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90" windowWidth="15180" windowHeight="9210" tabRatio="892" firstSheet="1" activeTab="11"/>
  </bookViews>
  <sheets>
    <sheet name="RiskSwappedFuncs" sheetId="26" state="hidden" r:id="rId1"/>
    <sheet name="Stmts RUS" sheetId="20" r:id="rId2"/>
    <sheet name="Trial Bal" sheetId="21" r:id="rId3"/>
    <sheet name="Regulatory Charge" sheetId="6" r:id="rId4"/>
    <sheet name="Fuel" sheetId="19" r:id="rId5"/>
    <sheet name="PCM" sheetId="8" r:id="rId6"/>
    <sheet name="Interest" sheetId="17" r:id="rId7"/>
    <sheet name="O&amp;M" sheetId="9" r:id="rId8"/>
    <sheet name="Capex &amp; Depr" sheetId="10" r:id="rId9"/>
    <sheet name="Debt" sheetId="12" r:id="rId10"/>
    <sheet name="Pat." sheetId="13" r:id="rId11"/>
    <sheet name="Rates" sheetId="3" r:id="rId12"/>
    <sheet name="Rates - Cash" sheetId="18" r:id="rId13"/>
    <sheet name="FAC, PPA, ES, SC" sheetId="5" r:id="rId14"/>
    <sheet name="ECP" sheetId="29" r:id="rId15"/>
    <sheet name="Charts" sheetId="27" r:id="rId16"/>
    <sheet name="Member Power Cost" sheetId="32" r:id="rId17"/>
    <sheet name="Bud. Adj." sheetId="28" r:id="rId18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G">'O&amp;M'!$A$17:$AZ$41</definedName>
    <definedName name="AGIP">'O&amp;M'!#REF!</definedName>
    <definedName name="Arb">'O&amp;M'!$A$48:$AZ$49</definedName>
    <definedName name="Ins">'O&amp;M'!$A$58:$AZ$65</definedName>
    <definedName name="NPLabor">'O&amp;M'!$A$137:$AZ$166</definedName>
    <definedName name="PLabor">'O&amp;M'!#REF!</definedName>
    <definedName name="_xlnm.Print_Area" localSheetId="1">'Stmts RUS'!$A$1:$AQ$416</definedName>
    <definedName name="_xlnm.Print_Titles" localSheetId="15">Charts!$1:$2</definedName>
    <definedName name="_xlnm.Print_Titles" localSheetId="1">'Stmts RUS'!$A:$B,'Stmts RUS'!$1:$2</definedName>
    <definedName name="Prod">'O&amp;M'!$A$115:$AZ$127</definedName>
    <definedName name="ProdS2" localSheetId="15">'O&amp;M'!#REF!</definedName>
    <definedName name="ProdS2">'O&amp;M'!#REF!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Tax">'O&amp;M'!$A$72:$AZ$82</definedName>
    <definedName name="Tran">'O&amp;M'!$A$92:$AZ$104</definedName>
    <definedName name="TranUp">'O&amp;M'!$A$107:$AZ$108</definedName>
  </definedNames>
  <calcPr calcId="145621"/>
</workbook>
</file>

<file path=xl/calcChain.xml><?xml version="1.0" encoding="utf-8"?>
<calcChain xmlns="http://schemas.openxmlformats.org/spreadsheetml/2006/main">
  <c r="Y83" i="3" l="1"/>
  <c r="B25" i="32" l="1"/>
  <c r="E12" i="32" l="1"/>
  <c r="F12" i="32"/>
  <c r="G12" i="32"/>
  <c r="H12" i="32"/>
  <c r="I12" i="32"/>
  <c r="J12" i="32"/>
  <c r="K12" i="32"/>
  <c r="L12" i="32"/>
  <c r="M12" i="32"/>
  <c r="N12" i="32"/>
  <c r="O12" i="32"/>
  <c r="D12" i="32"/>
  <c r="C12" i="32"/>
  <c r="B12" i="32"/>
  <c r="E11" i="32"/>
  <c r="F11" i="32"/>
  <c r="G11" i="32"/>
  <c r="H11" i="32"/>
  <c r="I11" i="32"/>
  <c r="J11" i="32"/>
  <c r="K11" i="32"/>
  <c r="L11" i="32"/>
  <c r="M11" i="32"/>
  <c r="N11" i="32"/>
  <c r="O11" i="32"/>
  <c r="D11" i="32"/>
  <c r="C11" i="32"/>
  <c r="B11" i="32"/>
  <c r="B22" i="32"/>
  <c r="B19" i="32"/>
  <c r="B18" i="32"/>
  <c r="B15" i="32"/>
  <c r="B14" i="32"/>
  <c r="B13" i="32"/>
  <c r="B10" i="32"/>
  <c r="B9" i="32"/>
  <c r="B8" i="32"/>
  <c r="B7" i="32"/>
  <c r="F176" i="27"/>
  <c r="F175" i="27"/>
  <c r="F179" i="27"/>
  <c r="F170" i="27"/>
  <c r="F162" i="27"/>
  <c r="F161" i="27"/>
  <c r="F160" i="27"/>
  <c r="F159" i="27"/>
  <c r="F155" i="27"/>
  <c r="F154" i="27"/>
  <c r="F153" i="27"/>
  <c r="F152" i="27"/>
  <c r="F145" i="27"/>
  <c r="F144" i="27"/>
  <c r="F143" i="27"/>
  <c r="F142" i="27"/>
  <c r="F141" i="27"/>
  <c r="F140" i="27"/>
  <c r="F137" i="27"/>
  <c r="F139" i="27" s="1"/>
  <c r="F130" i="27"/>
  <c r="F129" i="27"/>
  <c r="F127" i="27"/>
  <c r="F126" i="27"/>
  <c r="F125" i="27"/>
  <c r="F124" i="27"/>
  <c r="F123" i="27"/>
  <c r="F122" i="27"/>
  <c r="F115" i="27"/>
  <c r="F113" i="27"/>
  <c r="F112" i="27"/>
  <c r="F111" i="27"/>
  <c r="F110" i="27"/>
  <c r="F109" i="27"/>
  <c r="F98" i="27"/>
  <c r="F104" i="27"/>
  <c r="F102" i="27"/>
  <c r="F101" i="27"/>
  <c r="F103" i="27" s="1"/>
  <c r="F90" i="27"/>
  <c r="F92" i="27" s="1"/>
  <c r="F89" i="27"/>
  <c r="F87" i="27"/>
  <c r="F86" i="27"/>
  <c r="F78" i="27"/>
  <c r="F80" i="27" s="1"/>
  <c r="F77" i="27"/>
  <c r="F71" i="27"/>
  <c r="F70" i="27"/>
  <c r="F69" i="27"/>
  <c r="F73" i="27"/>
  <c r="F41" i="27"/>
  <c r="F40" i="27"/>
  <c r="F39" i="27"/>
  <c r="F38" i="27"/>
  <c r="F37" i="27"/>
  <c r="F36" i="27"/>
  <c r="F33" i="27"/>
  <c r="F32" i="27"/>
  <c r="F27" i="27"/>
  <c r="F25" i="27"/>
  <c r="F23" i="27"/>
  <c r="F20" i="27"/>
  <c r="G20" i="27"/>
  <c r="G19" i="27"/>
  <c r="F19" i="27"/>
  <c r="F18" i="27"/>
  <c r="F17" i="27"/>
  <c r="F16" i="27"/>
  <c r="F12" i="27"/>
  <c r="F11" i="27"/>
  <c r="F10" i="27"/>
  <c r="F9" i="27"/>
  <c r="F8" i="27"/>
  <c r="F7" i="27"/>
  <c r="E337" i="20"/>
  <c r="E313" i="20"/>
  <c r="E304" i="20"/>
  <c r="E321" i="20"/>
  <c r="E44" i="20"/>
  <c r="B16" i="32" l="1"/>
  <c r="B20" i="32" s="1"/>
  <c r="B23" i="32" s="1"/>
  <c r="F177" i="27"/>
  <c r="F180" i="27" s="1"/>
  <c r="F181" i="27" s="1"/>
  <c r="F156" i="27"/>
  <c r="F146" i="27"/>
  <c r="F131" i="27"/>
  <c r="F114" i="27"/>
  <c r="F116" i="27" s="1"/>
  <c r="F93" i="27"/>
  <c r="F79" i="27"/>
  <c r="F81" i="27" s="1"/>
  <c r="F72" i="27"/>
  <c r="F74" i="27" s="1"/>
  <c r="F42" i="27"/>
  <c r="F34" i="27"/>
  <c r="F21" i="27"/>
  <c r="F13" i="27"/>
  <c r="G259" i="20"/>
  <c r="K7" i="6"/>
  <c r="K32" i="6"/>
  <c r="E182" i="20" s="1"/>
  <c r="E161" i="20"/>
  <c r="M41" i="6"/>
  <c r="K43" i="6"/>
  <c r="E153" i="20"/>
  <c r="F44" i="27" l="1"/>
  <c r="AP490" i="9"/>
  <c r="AQ490" i="9"/>
  <c r="AR490" i="9"/>
  <c r="AS490" i="9"/>
  <c r="AT490" i="9"/>
  <c r="AU490" i="9"/>
  <c r="AV490" i="9"/>
  <c r="AW490" i="9"/>
  <c r="AX490" i="9"/>
  <c r="AY490" i="9"/>
  <c r="AO490" i="9"/>
  <c r="AC490" i="9"/>
  <c r="AD490" i="9"/>
  <c r="AE490" i="9"/>
  <c r="AF490" i="9"/>
  <c r="AG490" i="9"/>
  <c r="AH490" i="9"/>
  <c r="AI490" i="9"/>
  <c r="AJ490" i="9"/>
  <c r="AK490" i="9"/>
  <c r="AL490" i="9"/>
  <c r="AM490" i="9"/>
  <c r="AB490" i="9"/>
  <c r="P490" i="9"/>
  <c r="Q490" i="9"/>
  <c r="R490" i="9"/>
  <c r="S490" i="9"/>
  <c r="T490" i="9"/>
  <c r="U490" i="9"/>
  <c r="V490" i="9"/>
  <c r="W490" i="9"/>
  <c r="X490" i="9"/>
  <c r="Y490" i="9"/>
  <c r="Z490" i="9"/>
  <c r="O490" i="9"/>
  <c r="AP489" i="9"/>
  <c r="AQ489" i="9"/>
  <c r="AR489" i="9"/>
  <c r="AS489" i="9"/>
  <c r="AT489" i="9"/>
  <c r="AU489" i="9"/>
  <c r="AV489" i="9"/>
  <c r="AW489" i="9"/>
  <c r="AX489" i="9"/>
  <c r="AY489" i="9"/>
  <c r="AO489" i="9"/>
  <c r="AC489" i="9"/>
  <c r="AD489" i="9"/>
  <c r="AE489" i="9"/>
  <c r="AF489" i="9"/>
  <c r="AG489" i="9"/>
  <c r="AH489" i="9"/>
  <c r="AI489" i="9"/>
  <c r="AJ489" i="9"/>
  <c r="AK489" i="9"/>
  <c r="AL489" i="9"/>
  <c r="AM489" i="9"/>
  <c r="AB489" i="9"/>
  <c r="P489" i="9"/>
  <c r="Q489" i="9"/>
  <c r="R489" i="9"/>
  <c r="S489" i="9"/>
  <c r="T489" i="9"/>
  <c r="U489" i="9"/>
  <c r="V489" i="9"/>
  <c r="W489" i="9"/>
  <c r="X489" i="9"/>
  <c r="Y489" i="9"/>
  <c r="Z489" i="9"/>
  <c r="O489" i="9"/>
  <c r="AQ52" i="8" l="1"/>
  <c r="AR52" i="8" s="1"/>
  <c r="AS52" i="8" s="1"/>
  <c r="AT52" i="8" s="1"/>
  <c r="AU52" i="8" s="1"/>
  <c r="AV52" i="8" s="1"/>
  <c r="AW52" i="8" s="1"/>
  <c r="AX52" i="8" s="1"/>
  <c r="AQ53" i="8"/>
  <c r="AR53" i="8" s="1"/>
  <c r="AS53" i="8" s="1"/>
  <c r="AT53" i="8" s="1"/>
  <c r="AU53" i="8" s="1"/>
  <c r="AV53" i="8" s="1"/>
  <c r="AW53" i="8" s="1"/>
  <c r="AX53" i="8" s="1"/>
  <c r="AQ54" i="8"/>
  <c r="AR54" i="8" s="1"/>
  <c r="AS54" i="8" s="1"/>
  <c r="AT54" i="8" s="1"/>
  <c r="AU54" i="8" s="1"/>
  <c r="AV54" i="8" s="1"/>
  <c r="AW54" i="8" s="1"/>
  <c r="AX54" i="8" s="1"/>
  <c r="AQ55" i="8"/>
  <c r="AR55" i="8" s="1"/>
  <c r="AS55" i="8" s="1"/>
  <c r="AT55" i="8" s="1"/>
  <c r="AU55" i="8" s="1"/>
  <c r="AV55" i="8" s="1"/>
  <c r="AW55" i="8" s="1"/>
  <c r="AX55" i="8" s="1"/>
  <c r="AQ56" i="8"/>
  <c r="AR56" i="8" s="1"/>
  <c r="AS56" i="8" s="1"/>
  <c r="AT56" i="8" s="1"/>
  <c r="AU56" i="8" s="1"/>
  <c r="AV56" i="8" s="1"/>
  <c r="AW56" i="8" s="1"/>
  <c r="AX56" i="8" s="1"/>
  <c r="AQ57" i="8"/>
  <c r="AR57" i="8" s="1"/>
  <c r="AS57" i="8" s="1"/>
  <c r="AT57" i="8" s="1"/>
  <c r="AU57" i="8" s="1"/>
  <c r="AV57" i="8" s="1"/>
  <c r="AW57" i="8" s="1"/>
  <c r="AX57" i="8" s="1"/>
  <c r="AQ58" i="8"/>
  <c r="AR58" i="8" s="1"/>
  <c r="AS58" i="8" s="1"/>
  <c r="AT58" i="8" s="1"/>
  <c r="AU58" i="8" s="1"/>
  <c r="AV58" i="8" s="1"/>
  <c r="AW58" i="8" s="1"/>
  <c r="AX58" i="8" s="1"/>
  <c r="AP53" i="8"/>
  <c r="AP54" i="8"/>
  <c r="AP55" i="8"/>
  <c r="AP56" i="8"/>
  <c r="AP57" i="8"/>
  <c r="AP58" i="8"/>
  <c r="AP52" i="8"/>
  <c r="AS19" i="10" l="1"/>
  <c r="AS120" i="9"/>
  <c r="AS124" i="9" l="1"/>
  <c r="V31" i="3" l="1"/>
  <c r="U20" i="3" l="1"/>
  <c r="E160" i="20" l="1"/>
  <c r="Z63" i="29" l="1"/>
  <c r="AL433" i="6" l="1"/>
  <c r="AL434" i="6"/>
  <c r="AL435" i="6"/>
  <c r="AL436" i="6"/>
  <c r="AL437" i="6"/>
  <c r="AL438" i="6"/>
  <c r="AL439" i="6"/>
  <c r="AL440" i="6"/>
  <c r="AL441" i="6"/>
  <c r="AL442" i="6"/>
  <c r="AL443" i="6"/>
  <c r="AL444" i="6"/>
  <c r="AL445" i="6"/>
  <c r="AL446" i="6"/>
  <c r="AL447" i="6"/>
  <c r="AL448" i="6"/>
  <c r="AL449" i="6"/>
  <c r="AL450" i="6"/>
  <c r="AL451" i="6"/>
  <c r="AL452" i="6"/>
  <c r="AL453" i="6"/>
  <c r="AL454" i="6"/>
  <c r="AL455" i="6"/>
  <c r="AL456" i="6"/>
  <c r="AL457" i="6"/>
  <c r="AL458" i="6"/>
  <c r="AL459" i="6"/>
  <c r="AL460" i="6"/>
  <c r="AL461" i="6"/>
  <c r="AL462" i="6"/>
  <c r="AL463" i="6"/>
  <c r="AL464" i="6"/>
  <c r="AL465" i="6"/>
  <c r="AL466" i="6"/>
  <c r="AL467" i="6"/>
  <c r="AL468" i="6"/>
  <c r="AL469" i="6"/>
  <c r="AL470" i="6"/>
  <c r="AL471" i="6"/>
  <c r="AL472" i="6"/>
  <c r="AL473" i="6"/>
  <c r="AL474" i="6"/>
  <c r="AL475" i="6"/>
  <c r="AL476" i="6"/>
  <c r="AL477" i="6"/>
  <c r="AL478" i="6"/>
  <c r="AL479" i="6"/>
  <c r="AL480" i="6"/>
  <c r="AL481" i="6"/>
  <c r="AL482" i="6"/>
  <c r="AL483" i="6"/>
  <c r="AL484" i="6"/>
  <c r="AL485" i="6"/>
  <c r="AL486" i="6"/>
  <c r="AL487" i="6"/>
  <c r="AL488" i="6"/>
  <c r="AL489" i="6"/>
  <c r="AL490" i="6"/>
  <c r="AL491" i="6"/>
  <c r="AL492" i="6"/>
  <c r="AL493" i="6"/>
  <c r="AL494" i="6"/>
  <c r="AL495" i="6"/>
  <c r="AL496" i="6"/>
  <c r="AL497" i="6"/>
  <c r="AL498" i="6"/>
  <c r="AL499" i="6"/>
  <c r="AL500" i="6"/>
  <c r="AL501" i="6"/>
  <c r="AL502" i="6"/>
  <c r="AL503" i="6"/>
  <c r="AL504" i="6"/>
  <c r="AL506" i="6"/>
  <c r="AL507" i="6"/>
  <c r="AL508" i="6"/>
  <c r="AL509" i="6"/>
  <c r="AL510" i="6"/>
  <c r="AL511" i="6"/>
  <c r="AL512" i="6"/>
  <c r="AL513" i="6"/>
  <c r="AL514" i="6"/>
  <c r="AL515" i="6"/>
  <c r="AL516" i="6"/>
  <c r="AL517" i="6"/>
  <c r="AL518" i="6"/>
  <c r="AL519" i="6"/>
  <c r="AL520" i="6"/>
  <c r="AL522" i="6"/>
  <c r="AL523" i="6"/>
  <c r="AL524" i="6"/>
  <c r="AL525" i="6"/>
  <c r="AL526" i="6"/>
  <c r="AL527" i="6"/>
  <c r="AL528" i="6"/>
  <c r="AL529" i="6"/>
  <c r="AL530" i="6"/>
  <c r="AL531" i="6"/>
  <c r="AL532" i="6"/>
  <c r="AL533" i="6"/>
  <c r="AL534" i="6"/>
  <c r="AL535" i="6"/>
  <c r="AL536" i="6"/>
  <c r="AL537" i="6"/>
  <c r="AL538" i="6"/>
  <c r="AL539" i="6"/>
  <c r="AL540" i="6"/>
  <c r="AL541" i="6"/>
  <c r="AL542" i="6"/>
  <c r="AL543" i="6"/>
  <c r="AL544" i="6"/>
  <c r="AL545" i="6"/>
  <c r="AL546" i="6"/>
  <c r="AL547" i="6"/>
  <c r="AL548" i="6"/>
  <c r="AL549" i="6"/>
  <c r="AL550" i="6"/>
  <c r="AL551" i="6"/>
  <c r="AL552" i="6"/>
  <c r="AL553" i="6"/>
  <c r="AL554" i="6"/>
  <c r="AL555" i="6"/>
  <c r="AL556" i="6"/>
  <c r="AL557" i="6"/>
  <c r="AL558" i="6"/>
  <c r="AL559" i="6"/>
  <c r="AL560" i="6"/>
  <c r="AL562" i="6"/>
  <c r="AL563" i="6"/>
  <c r="AL564" i="6"/>
  <c r="AL565" i="6"/>
  <c r="AL566" i="6"/>
  <c r="AL567" i="6"/>
  <c r="AL568" i="6"/>
  <c r="AL569" i="6"/>
  <c r="Y522" i="6"/>
  <c r="Y523" i="6"/>
  <c r="Y524" i="6"/>
  <c r="Y525" i="6"/>
  <c r="Y526" i="6"/>
  <c r="Y527" i="6"/>
  <c r="Y528" i="6"/>
  <c r="Y529" i="6"/>
  <c r="Y530" i="6"/>
  <c r="Y531" i="6"/>
  <c r="Y532" i="6"/>
  <c r="Y533" i="6"/>
  <c r="Y534" i="6"/>
  <c r="Y535" i="6"/>
  <c r="Y536" i="6"/>
  <c r="Y537" i="6"/>
  <c r="Y538" i="6"/>
  <c r="Y539" i="6"/>
  <c r="Y540" i="6"/>
  <c r="Y541" i="6"/>
  <c r="Y542" i="6"/>
  <c r="Y543" i="6"/>
  <c r="Y544" i="6"/>
  <c r="Y545" i="6"/>
  <c r="Y546" i="6"/>
  <c r="Y547" i="6"/>
  <c r="Y548" i="6"/>
  <c r="Y549" i="6"/>
  <c r="Y550" i="6"/>
  <c r="Y551" i="6"/>
  <c r="Y552" i="6"/>
  <c r="Y553" i="6"/>
  <c r="Y554" i="6"/>
  <c r="Y555" i="6"/>
  <c r="Y556" i="6"/>
  <c r="Y557" i="6"/>
  <c r="Y558" i="6"/>
  <c r="Y559" i="6"/>
  <c r="Y560" i="6"/>
  <c r="Y562" i="6"/>
  <c r="Y563" i="6"/>
  <c r="Y564" i="6"/>
  <c r="Y565" i="6"/>
  <c r="Y566" i="6"/>
  <c r="Y567" i="6"/>
  <c r="Y568" i="6"/>
  <c r="Y569" i="6"/>
  <c r="Y570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8" i="6"/>
  <c r="Y459" i="6"/>
  <c r="Y460" i="6"/>
  <c r="Y461" i="6"/>
  <c r="Y462" i="6"/>
  <c r="Y463" i="6"/>
  <c r="Y464" i="6"/>
  <c r="Y465" i="6"/>
  <c r="Y466" i="6"/>
  <c r="Y467" i="6"/>
  <c r="Y468" i="6"/>
  <c r="Y469" i="6"/>
  <c r="Y470" i="6"/>
  <c r="Y471" i="6"/>
  <c r="Y472" i="6"/>
  <c r="Y473" i="6"/>
  <c r="Y474" i="6"/>
  <c r="Y475" i="6"/>
  <c r="Y476" i="6"/>
  <c r="Y477" i="6"/>
  <c r="Y478" i="6"/>
  <c r="Y479" i="6"/>
  <c r="Y480" i="6"/>
  <c r="Y481" i="6"/>
  <c r="Y482" i="6"/>
  <c r="Y483" i="6"/>
  <c r="Y484" i="6"/>
  <c r="Y485" i="6"/>
  <c r="Y486" i="6"/>
  <c r="Y487" i="6"/>
  <c r="Y488" i="6"/>
  <c r="Y489" i="6"/>
  <c r="Y490" i="6"/>
  <c r="Y491" i="6"/>
  <c r="Y492" i="6"/>
  <c r="Y493" i="6"/>
  <c r="Y494" i="6"/>
  <c r="Y495" i="6"/>
  <c r="Y496" i="6"/>
  <c r="Y497" i="6"/>
  <c r="Y498" i="6"/>
  <c r="Y499" i="6"/>
  <c r="Y500" i="6"/>
  <c r="Y501" i="6"/>
  <c r="Y502" i="6"/>
  <c r="Y503" i="6"/>
  <c r="Y504" i="6"/>
  <c r="Y506" i="6"/>
  <c r="Y507" i="6"/>
  <c r="Y508" i="6"/>
  <c r="Y509" i="6"/>
  <c r="Y510" i="6"/>
  <c r="Y511" i="6"/>
  <c r="Y512" i="6"/>
  <c r="Y513" i="6"/>
  <c r="Y514" i="6"/>
  <c r="Y515" i="6"/>
  <c r="Y516" i="6"/>
  <c r="Y517" i="6"/>
  <c r="Y518" i="6"/>
  <c r="Y519" i="6"/>
  <c r="Y520" i="6"/>
  <c r="AQ505" i="6"/>
  <c r="AR505" i="6"/>
  <c r="AS505" i="6"/>
  <c r="AT505" i="6"/>
  <c r="AU505" i="6"/>
  <c r="AV505" i="6"/>
  <c r="AW505" i="6"/>
  <c r="N505" i="6"/>
  <c r="O505" i="6"/>
  <c r="P505" i="6"/>
  <c r="Q505" i="6"/>
  <c r="R505" i="6"/>
  <c r="S505" i="6"/>
  <c r="T505" i="6"/>
  <c r="M505" i="6"/>
  <c r="AQ54" i="6"/>
  <c r="AR54" i="6"/>
  <c r="AS54" i="6"/>
  <c r="AT54" i="6"/>
  <c r="AU54" i="6"/>
  <c r="AV54" i="6"/>
  <c r="AW54" i="6"/>
  <c r="N54" i="6"/>
  <c r="O54" i="6"/>
  <c r="P54" i="6"/>
  <c r="Q54" i="6"/>
  <c r="R54" i="6"/>
  <c r="S54" i="6"/>
  <c r="T54" i="6"/>
  <c r="M54" i="6"/>
  <c r="AP47" i="6"/>
  <c r="AN47" i="6"/>
  <c r="AO47" i="6"/>
  <c r="AM47" i="6"/>
  <c r="AA47" i="6"/>
  <c r="AB47" i="6"/>
  <c r="AC47" i="6"/>
  <c r="AD47" i="6"/>
  <c r="AE47" i="6"/>
  <c r="AF47" i="6"/>
  <c r="AG47" i="6"/>
  <c r="AH47" i="6"/>
  <c r="AI47" i="6"/>
  <c r="AJ47" i="6"/>
  <c r="AK47" i="6"/>
  <c r="Z47" i="6"/>
  <c r="V47" i="6"/>
  <c r="W47" i="6"/>
  <c r="X47" i="6"/>
  <c r="U47" i="6"/>
  <c r="AM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N37" i="6"/>
  <c r="O37" i="6"/>
  <c r="P37" i="6"/>
  <c r="Q37" i="6"/>
  <c r="R37" i="6"/>
  <c r="S37" i="6"/>
  <c r="T37" i="6"/>
  <c r="U37" i="6"/>
  <c r="V37" i="6"/>
  <c r="W37" i="6"/>
  <c r="X37" i="6"/>
  <c r="M37" i="6"/>
  <c r="M48" i="6"/>
  <c r="N48" i="6" s="1"/>
  <c r="O48" i="6" s="1"/>
  <c r="P48" i="6" s="1"/>
  <c r="Q48" i="6" s="1"/>
  <c r="R48" i="6" s="1"/>
  <c r="S48" i="6" s="1"/>
  <c r="T48" i="6" s="1"/>
  <c r="AL47" i="6"/>
  <c r="A44" i="6"/>
  <c r="A45" i="6" s="1"/>
  <c r="A46" i="6" s="1"/>
  <c r="A47" i="6" s="1"/>
  <c r="A48" i="6" s="1"/>
  <c r="W54" i="6" l="1"/>
  <c r="U54" i="6"/>
  <c r="AK54" i="6"/>
  <c r="AI54" i="6"/>
  <c r="AG54" i="6"/>
  <c r="AE54" i="6"/>
  <c r="AC54" i="6"/>
  <c r="AA54" i="6"/>
  <c r="AM54" i="6"/>
  <c r="AP54" i="6"/>
  <c r="AN54" i="6"/>
  <c r="Y47" i="6"/>
  <c r="X54" i="6"/>
  <c r="V54" i="6"/>
  <c r="Z54" i="6"/>
  <c r="AJ54" i="6"/>
  <c r="AH54" i="6"/>
  <c r="AF54" i="6"/>
  <c r="AD54" i="6"/>
  <c r="AB54" i="6"/>
  <c r="AO54" i="6"/>
  <c r="U48" i="6"/>
  <c r="AA57" i="29"/>
  <c r="U57" i="29"/>
  <c r="M57" i="29"/>
  <c r="G57" i="29"/>
  <c r="H57" i="29"/>
  <c r="I57" i="29"/>
  <c r="J57" i="29"/>
  <c r="K57" i="29"/>
  <c r="L57" i="29"/>
  <c r="N57" i="29"/>
  <c r="O57" i="29"/>
  <c r="P57" i="29"/>
  <c r="Q57" i="29"/>
  <c r="R57" i="29"/>
  <c r="V57" i="29"/>
  <c r="W57" i="29"/>
  <c r="X57" i="29"/>
  <c r="Y57" i="29"/>
  <c r="Z57" i="29"/>
  <c r="T57" i="29"/>
  <c r="V53" i="29"/>
  <c r="W53" i="29"/>
  <c r="X53" i="29"/>
  <c r="Y53" i="29"/>
  <c r="Z53" i="29"/>
  <c r="AA53" i="29"/>
  <c r="U53" i="29"/>
  <c r="T53" i="29"/>
  <c r="I53" i="29"/>
  <c r="J53" i="29"/>
  <c r="K53" i="29"/>
  <c r="L53" i="29"/>
  <c r="M53" i="29"/>
  <c r="N53" i="29"/>
  <c r="O53" i="29"/>
  <c r="P53" i="29"/>
  <c r="Q53" i="29"/>
  <c r="R53" i="29"/>
  <c r="H53" i="29"/>
  <c r="G53" i="29"/>
  <c r="N208" i="3"/>
  <c r="O208" i="3"/>
  <c r="P208" i="3"/>
  <c r="Q208" i="3"/>
  <c r="R208" i="3"/>
  <c r="S208" i="3"/>
  <c r="M208" i="3"/>
  <c r="N72" i="3"/>
  <c r="O72" i="3"/>
  <c r="P72" i="3"/>
  <c r="Q72" i="3"/>
  <c r="R72" i="3"/>
  <c r="S72" i="3"/>
  <c r="M72" i="3"/>
  <c r="A28" i="20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V48" i="6" l="1"/>
  <c r="AO505" i="6"/>
  <c r="AD505" i="6"/>
  <c r="AH505" i="6"/>
  <c r="Z505" i="6"/>
  <c r="AL54" i="6"/>
  <c r="X505" i="6"/>
  <c r="AP505" i="6"/>
  <c r="AA505" i="6"/>
  <c r="AE505" i="6"/>
  <c r="AI505" i="6"/>
  <c r="U505" i="6"/>
  <c r="Y54" i="6"/>
  <c r="AB505" i="6"/>
  <c r="AF505" i="6"/>
  <c r="AJ505" i="6"/>
  <c r="V505" i="6"/>
  <c r="AN505" i="6"/>
  <c r="AM505" i="6"/>
  <c r="AC505" i="6"/>
  <c r="AG505" i="6"/>
  <c r="AK505" i="6"/>
  <c r="W505" i="6"/>
  <c r="AL569" i="3"/>
  <c r="AL568" i="3"/>
  <c r="AL567" i="3"/>
  <c r="AL566" i="3"/>
  <c r="AL565" i="3"/>
  <c r="AL564" i="3"/>
  <c r="AL563" i="3"/>
  <c r="AL562" i="3"/>
  <c r="AL561" i="3"/>
  <c r="AL560" i="3"/>
  <c r="AL559" i="3"/>
  <c r="AL558" i="3"/>
  <c r="AL557" i="3"/>
  <c r="AL556" i="3"/>
  <c r="AL555" i="3"/>
  <c r="AL554" i="3"/>
  <c r="AL553" i="3"/>
  <c r="AL552" i="3"/>
  <c r="AL551" i="3"/>
  <c r="AL550" i="3"/>
  <c r="AL549" i="3"/>
  <c r="AL548" i="3"/>
  <c r="AL547" i="3"/>
  <c r="AL546" i="3"/>
  <c r="AL545" i="3"/>
  <c r="AL544" i="3"/>
  <c r="AL543" i="3"/>
  <c r="AL542" i="3"/>
  <c r="AL541" i="3"/>
  <c r="AL540" i="3"/>
  <c r="AL539" i="3"/>
  <c r="AL538" i="3"/>
  <c r="AL537" i="3"/>
  <c r="AL536" i="3"/>
  <c r="AL535" i="3"/>
  <c r="AL534" i="3"/>
  <c r="AL533" i="3"/>
  <c r="AL532" i="3"/>
  <c r="AL531" i="3"/>
  <c r="AL530" i="3"/>
  <c r="AL529" i="3"/>
  <c r="AL528" i="3"/>
  <c r="AL527" i="3"/>
  <c r="AL526" i="3"/>
  <c r="AL525" i="3"/>
  <c r="AL524" i="3"/>
  <c r="AL523" i="3"/>
  <c r="AL522" i="3"/>
  <c r="AL521" i="3"/>
  <c r="AL520" i="3"/>
  <c r="AL519" i="3"/>
  <c r="AL518" i="3"/>
  <c r="AL517" i="3"/>
  <c r="AL516" i="3"/>
  <c r="AL515" i="3"/>
  <c r="AL514" i="3"/>
  <c r="AL513" i="3"/>
  <c r="AL512" i="3"/>
  <c r="AL511" i="3"/>
  <c r="AL510" i="3"/>
  <c r="AL509" i="3"/>
  <c r="AL508" i="3"/>
  <c r="AL507" i="3"/>
  <c r="AL506" i="3"/>
  <c r="AL505" i="3"/>
  <c r="AL504" i="3"/>
  <c r="AL503" i="3"/>
  <c r="AL502" i="3"/>
  <c r="AL501" i="3"/>
  <c r="AL500" i="3"/>
  <c r="AL499" i="3"/>
  <c r="AL498" i="3"/>
  <c r="AL497" i="3"/>
  <c r="AL496" i="3"/>
  <c r="AL495" i="3"/>
  <c r="AL494" i="3"/>
  <c r="AL493" i="3"/>
  <c r="AL492" i="3"/>
  <c r="AL491" i="3"/>
  <c r="AL490" i="3"/>
  <c r="AL489" i="3"/>
  <c r="AL488" i="3"/>
  <c r="AL487" i="3"/>
  <c r="AL486" i="3"/>
  <c r="AL485" i="3"/>
  <c r="AL484" i="3"/>
  <c r="AL483" i="3"/>
  <c r="AL482" i="3"/>
  <c r="AL481" i="3"/>
  <c r="AL480" i="3"/>
  <c r="AL479" i="3"/>
  <c r="AL478" i="3"/>
  <c r="AL477" i="3"/>
  <c r="AL476" i="3"/>
  <c r="AL475" i="3"/>
  <c r="AL474" i="3"/>
  <c r="AL473" i="3"/>
  <c r="AL472" i="3"/>
  <c r="AL471" i="3"/>
  <c r="AL470" i="3"/>
  <c r="AL469" i="3"/>
  <c r="AL468" i="3"/>
  <c r="AL467" i="3"/>
  <c r="AL463" i="3"/>
  <c r="AL462" i="3"/>
  <c r="AL461" i="3"/>
  <c r="AL460" i="3"/>
  <c r="AL459" i="3"/>
  <c r="AL458" i="3"/>
  <c r="AL457" i="3"/>
  <c r="AL456" i="3"/>
  <c r="AL455" i="3"/>
  <c r="AL454" i="3"/>
  <c r="AL453" i="3"/>
  <c r="AL452" i="3"/>
  <c r="AL451" i="3"/>
  <c r="AL450" i="3"/>
  <c r="AL449" i="3"/>
  <c r="AL448" i="3"/>
  <c r="AL447" i="3"/>
  <c r="AL446" i="3"/>
  <c r="AL445" i="3"/>
  <c r="AL444" i="3"/>
  <c r="AL443" i="3"/>
  <c r="AL442" i="3"/>
  <c r="AL441" i="3"/>
  <c r="AL440" i="3"/>
  <c r="AL439" i="3"/>
  <c r="AL438" i="3"/>
  <c r="AL437" i="3"/>
  <c r="AL436" i="3"/>
  <c r="AL435" i="3"/>
  <c r="AL434" i="3"/>
  <c r="AL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433" i="3"/>
  <c r="AU450" i="21"/>
  <c r="AV450" i="21"/>
  <c r="AW450" i="21"/>
  <c r="AX450" i="21"/>
  <c r="AY450" i="21"/>
  <c r="AZ450" i="21"/>
  <c r="BA450" i="21"/>
  <c r="BB450" i="21"/>
  <c r="BC450" i="21"/>
  <c r="AU452" i="21"/>
  <c r="AV452" i="21"/>
  <c r="AW452" i="21"/>
  <c r="AX452" i="21"/>
  <c r="AY452" i="21"/>
  <c r="AZ452" i="21"/>
  <c r="BA452" i="21"/>
  <c r="BB452" i="21"/>
  <c r="BC452" i="21"/>
  <c r="AU454" i="21"/>
  <c r="AV454" i="21"/>
  <c r="AW454" i="21"/>
  <c r="AX454" i="21"/>
  <c r="AY454" i="21"/>
  <c r="AZ454" i="21"/>
  <c r="BA454" i="21"/>
  <c r="BB454" i="21"/>
  <c r="BC454" i="21"/>
  <c r="AU460" i="21"/>
  <c r="AV460" i="21"/>
  <c r="AW460" i="21"/>
  <c r="AX460" i="21"/>
  <c r="AY460" i="21"/>
  <c r="AZ460" i="21"/>
  <c r="BA460" i="21"/>
  <c r="BB460" i="21"/>
  <c r="BC460" i="21"/>
  <c r="AU461" i="21"/>
  <c r="AV461" i="21"/>
  <c r="AW461" i="21"/>
  <c r="AX461" i="21"/>
  <c r="AY461" i="21"/>
  <c r="AZ461" i="21"/>
  <c r="BA461" i="21"/>
  <c r="BB461" i="21"/>
  <c r="BC461" i="21"/>
  <c r="AU462" i="21"/>
  <c r="AV462" i="21"/>
  <c r="AW462" i="21"/>
  <c r="AX462" i="21"/>
  <c r="AY462" i="21"/>
  <c r="AZ462" i="21"/>
  <c r="BA462" i="21"/>
  <c r="BB462" i="21"/>
  <c r="BC462" i="21"/>
  <c r="AU463" i="21"/>
  <c r="AV463" i="21"/>
  <c r="AW463" i="21"/>
  <c r="AX463" i="21"/>
  <c r="AY463" i="21"/>
  <c r="AZ463" i="21"/>
  <c r="BA463" i="21"/>
  <c r="BB463" i="21"/>
  <c r="BC463" i="21"/>
  <c r="AU467" i="21"/>
  <c r="AV467" i="21"/>
  <c r="AW467" i="21"/>
  <c r="AX467" i="21"/>
  <c r="AY467" i="21"/>
  <c r="AZ467" i="21"/>
  <c r="BA467" i="21"/>
  <c r="BB467" i="21"/>
  <c r="BC467" i="21"/>
  <c r="AU469" i="21"/>
  <c r="AV469" i="21"/>
  <c r="AW469" i="21"/>
  <c r="AX469" i="21"/>
  <c r="AY469" i="21"/>
  <c r="AZ469" i="21"/>
  <c r="BA469" i="21"/>
  <c r="BB469" i="21"/>
  <c r="BC469" i="21"/>
  <c r="AU500" i="21"/>
  <c r="AV500" i="21"/>
  <c r="AW500" i="21"/>
  <c r="AX500" i="21"/>
  <c r="AY500" i="21"/>
  <c r="AZ500" i="21"/>
  <c r="BA500" i="21"/>
  <c r="BB500" i="21"/>
  <c r="BC500" i="21"/>
  <c r="AU519" i="21"/>
  <c r="AV519" i="21"/>
  <c r="AW519" i="21"/>
  <c r="AX519" i="21"/>
  <c r="AY519" i="21"/>
  <c r="AZ519" i="21"/>
  <c r="BA519" i="21"/>
  <c r="BB519" i="21"/>
  <c r="BC519" i="21"/>
  <c r="AU558" i="21"/>
  <c r="AV558" i="21"/>
  <c r="AW558" i="21"/>
  <c r="AX558" i="21"/>
  <c r="AY558" i="21"/>
  <c r="AZ558" i="21"/>
  <c r="BA558" i="21"/>
  <c r="BB558" i="21"/>
  <c r="BC558" i="21"/>
  <c r="AU567" i="21"/>
  <c r="AV567" i="21"/>
  <c r="AW567" i="21"/>
  <c r="AX567" i="21"/>
  <c r="AY567" i="21"/>
  <c r="AZ567" i="21"/>
  <c r="BA567" i="21"/>
  <c r="BB567" i="21"/>
  <c r="BC567" i="21"/>
  <c r="AT450" i="21"/>
  <c r="AT452" i="21"/>
  <c r="AT454" i="21"/>
  <c r="AT460" i="21"/>
  <c r="AT461" i="21"/>
  <c r="AT462" i="21"/>
  <c r="AT463" i="21"/>
  <c r="AT467" i="21"/>
  <c r="AT519" i="21"/>
  <c r="AT558" i="21"/>
  <c r="AT567" i="21"/>
  <c r="AS567" i="21"/>
  <c r="AS558" i="21"/>
  <c r="AS519" i="21"/>
  <c r="AS467" i="21"/>
  <c r="AS463" i="21"/>
  <c r="AS462" i="21"/>
  <c r="AS461" i="21"/>
  <c r="AS460" i="21"/>
  <c r="AS454" i="21"/>
  <c r="AS452" i="21"/>
  <c r="AS450" i="21"/>
  <c r="AG448" i="21"/>
  <c r="AH448" i="21"/>
  <c r="AI448" i="21"/>
  <c r="AJ448" i="21"/>
  <c r="AK448" i="21"/>
  <c r="AL448" i="21"/>
  <c r="AM448" i="21"/>
  <c r="AN448" i="21"/>
  <c r="AO448" i="21"/>
  <c r="AP448" i="21"/>
  <c r="AQ448" i="21"/>
  <c r="AG450" i="21"/>
  <c r="AH450" i="21"/>
  <c r="AI450" i="21"/>
  <c r="AJ450" i="21"/>
  <c r="AK450" i="21"/>
  <c r="AL450" i="21"/>
  <c r="AM450" i="21"/>
  <c r="AN450" i="21"/>
  <c r="AO450" i="21"/>
  <c r="AP450" i="21"/>
  <c r="AQ450" i="21"/>
  <c r="AG451" i="21"/>
  <c r="AI451" i="21"/>
  <c r="AJ451" i="21"/>
  <c r="AK451" i="21"/>
  <c r="AL451" i="21"/>
  <c r="AM451" i="21"/>
  <c r="AN451" i="21"/>
  <c r="AO451" i="21"/>
  <c r="AP451" i="21"/>
  <c r="AQ451" i="21"/>
  <c r="AG452" i="21"/>
  <c r="AH452" i="21"/>
  <c r="AI452" i="21"/>
  <c r="AJ452" i="21"/>
  <c r="AK452" i="21"/>
  <c r="AL452" i="21"/>
  <c r="AM452" i="21"/>
  <c r="AN452" i="21"/>
  <c r="AO452" i="21"/>
  <c r="AP452" i="21"/>
  <c r="AQ452" i="21"/>
  <c r="AG454" i="21"/>
  <c r="AH454" i="21"/>
  <c r="AI454" i="21"/>
  <c r="AJ454" i="21"/>
  <c r="AK454" i="21"/>
  <c r="AL454" i="21"/>
  <c r="AM454" i="21"/>
  <c r="AN454" i="21"/>
  <c r="AO454" i="21"/>
  <c r="AP454" i="21"/>
  <c r="AQ454" i="21"/>
  <c r="AG460" i="21"/>
  <c r="AH460" i="21"/>
  <c r="AI460" i="21"/>
  <c r="AJ460" i="21"/>
  <c r="AK460" i="21"/>
  <c r="AL460" i="21"/>
  <c r="AM460" i="21"/>
  <c r="AN460" i="21"/>
  <c r="AO460" i="21"/>
  <c r="AP460" i="21"/>
  <c r="AQ460" i="21"/>
  <c r="AG461" i="21"/>
  <c r="AH461" i="21"/>
  <c r="AI461" i="21"/>
  <c r="AJ461" i="21"/>
  <c r="AK461" i="21"/>
  <c r="AL461" i="21"/>
  <c r="AM461" i="21"/>
  <c r="AN461" i="21"/>
  <c r="AO461" i="21"/>
  <c r="AP461" i="21"/>
  <c r="AQ461" i="21"/>
  <c r="AG462" i="21"/>
  <c r="AH462" i="21"/>
  <c r="AI462" i="21"/>
  <c r="AJ462" i="21"/>
  <c r="AK462" i="21"/>
  <c r="AL462" i="21"/>
  <c r="AM462" i="21"/>
  <c r="AN462" i="21"/>
  <c r="AO462" i="21"/>
  <c r="AP462" i="21"/>
  <c r="AQ462" i="21"/>
  <c r="AG463" i="21"/>
  <c r="AH463" i="21"/>
  <c r="AI463" i="21"/>
  <c r="AJ463" i="21"/>
  <c r="AK463" i="21"/>
  <c r="AL463" i="21"/>
  <c r="AM463" i="21"/>
  <c r="AN463" i="21"/>
  <c r="AO463" i="21"/>
  <c r="AP463" i="21"/>
  <c r="AQ463" i="21"/>
  <c r="AG467" i="21"/>
  <c r="AH467" i="21"/>
  <c r="AI467" i="21"/>
  <c r="AJ467" i="21"/>
  <c r="AK467" i="21"/>
  <c r="AL467" i="21"/>
  <c r="AM467" i="21"/>
  <c r="AN467" i="21"/>
  <c r="AO467" i="21"/>
  <c r="AP467" i="21"/>
  <c r="AQ467" i="21"/>
  <c r="AG519" i="21"/>
  <c r="AH519" i="21"/>
  <c r="AI519" i="21"/>
  <c r="AJ519" i="21"/>
  <c r="AK519" i="21"/>
  <c r="AL519" i="21"/>
  <c r="AM519" i="21"/>
  <c r="AN519" i="21"/>
  <c r="AO519" i="21"/>
  <c r="AP519" i="21"/>
  <c r="AQ519" i="21"/>
  <c r="AG558" i="21"/>
  <c r="AH558" i="21"/>
  <c r="AI558" i="21"/>
  <c r="AJ558" i="21"/>
  <c r="AK558" i="21"/>
  <c r="AL558" i="21"/>
  <c r="AM558" i="21"/>
  <c r="AN558" i="21"/>
  <c r="AO558" i="21"/>
  <c r="AP558" i="21"/>
  <c r="AQ558" i="21"/>
  <c r="AG567" i="21"/>
  <c r="AH567" i="21"/>
  <c r="AI567" i="21"/>
  <c r="AJ567" i="21"/>
  <c r="AK567" i="21"/>
  <c r="AL567" i="21"/>
  <c r="AM567" i="21"/>
  <c r="AN567" i="21"/>
  <c r="AO567" i="21"/>
  <c r="AP567" i="21"/>
  <c r="AQ567" i="21"/>
  <c r="AF567" i="21"/>
  <c r="AF558" i="21"/>
  <c r="AF519" i="21"/>
  <c r="AF467" i="21"/>
  <c r="AF463" i="21"/>
  <c r="AF462" i="21"/>
  <c r="AF461" i="21"/>
  <c r="AF460" i="21"/>
  <c r="AF454" i="21"/>
  <c r="AF452" i="21"/>
  <c r="AF451" i="21"/>
  <c r="AF450" i="21"/>
  <c r="AF448" i="21"/>
  <c r="S448" i="21"/>
  <c r="T448" i="21"/>
  <c r="U448" i="21"/>
  <c r="V448" i="21"/>
  <c r="W448" i="21"/>
  <c r="X448" i="21"/>
  <c r="Y448" i="21"/>
  <c r="Z448" i="21"/>
  <c r="AA448" i="21"/>
  <c r="AB448" i="21"/>
  <c r="AC448" i="21"/>
  <c r="AD448" i="21"/>
  <c r="S450" i="21"/>
  <c r="T450" i="21"/>
  <c r="U450" i="21"/>
  <c r="V450" i="21"/>
  <c r="W450" i="21"/>
  <c r="X450" i="21"/>
  <c r="Y450" i="21"/>
  <c r="Z450" i="21"/>
  <c r="AA450" i="21"/>
  <c r="AB450" i="21"/>
  <c r="AC450" i="21"/>
  <c r="AD450" i="21"/>
  <c r="S451" i="21"/>
  <c r="T451" i="21"/>
  <c r="V451" i="21"/>
  <c r="W451" i="21"/>
  <c r="X451" i="21"/>
  <c r="Y451" i="21"/>
  <c r="Z451" i="21"/>
  <c r="AA451" i="21"/>
  <c r="AB451" i="21"/>
  <c r="AC451" i="21"/>
  <c r="AD451" i="21"/>
  <c r="S452" i="21"/>
  <c r="T452" i="21"/>
  <c r="U452" i="21"/>
  <c r="V452" i="21"/>
  <c r="W452" i="21"/>
  <c r="X452" i="21"/>
  <c r="Y452" i="21"/>
  <c r="Z452" i="21"/>
  <c r="AA452" i="21"/>
  <c r="AB452" i="21"/>
  <c r="AC452" i="21"/>
  <c r="AD452" i="21"/>
  <c r="S454" i="21"/>
  <c r="T454" i="21"/>
  <c r="U454" i="21"/>
  <c r="V454" i="21"/>
  <c r="W454" i="21"/>
  <c r="X454" i="21"/>
  <c r="Y454" i="21"/>
  <c r="Z454" i="21"/>
  <c r="AA454" i="21"/>
  <c r="AB454" i="21"/>
  <c r="AC454" i="21"/>
  <c r="AD454" i="21"/>
  <c r="S460" i="21"/>
  <c r="T460" i="21"/>
  <c r="U460" i="21"/>
  <c r="V460" i="21"/>
  <c r="W460" i="21"/>
  <c r="X460" i="21"/>
  <c r="Y460" i="21"/>
  <c r="Z460" i="21"/>
  <c r="AA460" i="21"/>
  <c r="AB460" i="21"/>
  <c r="AC460" i="21"/>
  <c r="AD460" i="21"/>
  <c r="S461" i="21"/>
  <c r="T461" i="21"/>
  <c r="U461" i="21"/>
  <c r="V461" i="21"/>
  <c r="W461" i="21"/>
  <c r="X461" i="21"/>
  <c r="Y461" i="21"/>
  <c r="Z461" i="21"/>
  <c r="AA461" i="21"/>
  <c r="AB461" i="21"/>
  <c r="AC461" i="21"/>
  <c r="AD461" i="21"/>
  <c r="S462" i="21"/>
  <c r="T462" i="21"/>
  <c r="U462" i="21"/>
  <c r="V462" i="21"/>
  <c r="W462" i="21"/>
  <c r="X462" i="21"/>
  <c r="Y462" i="21"/>
  <c r="Z462" i="21"/>
  <c r="AA462" i="21"/>
  <c r="AB462" i="21"/>
  <c r="AC462" i="21"/>
  <c r="AD462" i="21"/>
  <c r="S463" i="21"/>
  <c r="T463" i="21"/>
  <c r="U463" i="21"/>
  <c r="V463" i="21"/>
  <c r="W463" i="21"/>
  <c r="X463" i="21"/>
  <c r="Y463" i="21"/>
  <c r="Z463" i="21"/>
  <c r="AA463" i="21"/>
  <c r="AB463" i="21"/>
  <c r="AC463" i="21"/>
  <c r="AD463" i="21"/>
  <c r="S467" i="21"/>
  <c r="T467" i="21"/>
  <c r="U467" i="21"/>
  <c r="V467" i="21"/>
  <c r="W467" i="21"/>
  <c r="X467" i="21"/>
  <c r="Y467" i="21"/>
  <c r="Z467" i="21"/>
  <c r="AA467" i="21"/>
  <c r="AB467" i="21"/>
  <c r="AC467" i="21"/>
  <c r="AD467" i="21"/>
  <c r="S519" i="21"/>
  <c r="T519" i="21"/>
  <c r="U519" i="21"/>
  <c r="V519" i="21"/>
  <c r="W519" i="21"/>
  <c r="X519" i="21"/>
  <c r="Y519" i="21"/>
  <c r="Z519" i="21"/>
  <c r="AA519" i="21"/>
  <c r="AB519" i="21"/>
  <c r="AC519" i="21"/>
  <c r="AD519" i="21"/>
  <c r="S558" i="21"/>
  <c r="T558" i="21"/>
  <c r="U558" i="21"/>
  <c r="V558" i="21"/>
  <c r="W558" i="21"/>
  <c r="X558" i="21"/>
  <c r="Y558" i="21"/>
  <c r="Z558" i="21"/>
  <c r="AA558" i="21"/>
  <c r="AB558" i="21"/>
  <c r="AC558" i="21"/>
  <c r="AD558" i="21"/>
  <c r="S567" i="21"/>
  <c r="T567" i="21"/>
  <c r="U567" i="21"/>
  <c r="V567" i="21"/>
  <c r="W567" i="21"/>
  <c r="X567" i="21"/>
  <c r="Y567" i="21"/>
  <c r="Z567" i="21"/>
  <c r="AA567" i="21"/>
  <c r="AB567" i="21"/>
  <c r="AC567" i="21"/>
  <c r="AD567" i="21"/>
  <c r="Y505" i="6" l="1"/>
  <c r="AL505" i="6"/>
  <c r="W48" i="6"/>
  <c r="X48" i="6" l="1"/>
  <c r="Z48" i="6" l="1"/>
  <c r="AN50" i="12"/>
  <c r="AH50" i="12"/>
  <c r="AA50" i="12"/>
  <c r="U50" i="12"/>
  <c r="AA48" i="6" l="1"/>
  <c r="AP124" i="12"/>
  <c r="AN124" i="12"/>
  <c r="AA124" i="12"/>
  <c r="AD124" i="12"/>
  <c r="AE124" i="12"/>
  <c r="AF124" i="12"/>
  <c r="AG124" i="12"/>
  <c r="AH124" i="12"/>
  <c r="AI124" i="12"/>
  <c r="AJ124" i="12"/>
  <c r="AK124" i="12"/>
  <c r="AL124" i="12"/>
  <c r="AM124" i="12"/>
  <c r="AC124" i="12"/>
  <c r="W124" i="12"/>
  <c r="X124" i="12"/>
  <c r="Y124" i="12"/>
  <c r="Z124" i="12"/>
  <c r="P124" i="12"/>
  <c r="Q124" i="12"/>
  <c r="R124" i="12"/>
  <c r="S124" i="12"/>
  <c r="T124" i="12"/>
  <c r="U124" i="12"/>
  <c r="V124" i="12"/>
  <c r="AB48" i="6" l="1"/>
  <c r="AB11" i="12"/>
  <c r="AC48" i="6" l="1"/>
  <c r="AE433" i="13"/>
  <c r="AE434" i="13"/>
  <c r="AE435" i="13"/>
  <c r="AE436" i="13"/>
  <c r="AE437" i="13"/>
  <c r="AE438" i="13"/>
  <c r="AE439" i="13"/>
  <c r="AE440" i="13"/>
  <c r="AE441" i="13"/>
  <c r="AE442" i="13"/>
  <c r="AE443" i="13"/>
  <c r="AE444" i="13"/>
  <c r="AE445" i="13"/>
  <c r="AE446" i="13"/>
  <c r="AE447" i="13"/>
  <c r="AE448" i="13"/>
  <c r="AE450" i="13"/>
  <c r="AE452" i="13"/>
  <c r="AE453" i="13"/>
  <c r="AE454" i="13"/>
  <c r="AE455" i="13"/>
  <c r="AE456" i="13"/>
  <c r="AE458" i="13"/>
  <c r="AE459" i="13"/>
  <c r="AE460" i="13"/>
  <c r="AE461" i="13"/>
  <c r="AE462" i="13"/>
  <c r="AE463" i="13"/>
  <c r="AE464" i="13"/>
  <c r="AE465" i="13"/>
  <c r="AE466" i="13"/>
  <c r="AE467" i="13"/>
  <c r="AE468" i="13"/>
  <c r="AE469" i="13"/>
  <c r="AE470" i="13"/>
  <c r="AE471" i="13"/>
  <c r="AE472" i="13"/>
  <c r="AE473" i="13"/>
  <c r="AE474" i="13"/>
  <c r="AE475" i="13"/>
  <c r="AE476" i="13"/>
  <c r="AE477" i="13"/>
  <c r="AE478" i="13"/>
  <c r="AE479" i="13"/>
  <c r="AE480" i="13"/>
  <c r="AE481" i="13"/>
  <c r="AE482" i="13"/>
  <c r="AE483" i="13"/>
  <c r="AE484" i="13"/>
  <c r="AE485" i="13"/>
  <c r="AE486" i="13"/>
  <c r="AE487" i="13"/>
  <c r="AE488" i="13"/>
  <c r="AE489" i="13"/>
  <c r="AE490" i="13"/>
  <c r="AE491" i="13"/>
  <c r="AE492" i="13"/>
  <c r="AE493" i="13"/>
  <c r="AE494" i="13"/>
  <c r="AE495" i="13"/>
  <c r="AE496" i="13"/>
  <c r="AE497" i="13"/>
  <c r="AE498" i="13"/>
  <c r="AE499" i="13"/>
  <c r="AE500" i="13"/>
  <c r="AE501" i="13"/>
  <c r="AE502" i="13"/>
  <c r="AE503" i="13"/>
  <c r="AE504" i="13"/>
  <c r="AE505" i="13"/>
  <c r="AE506" i="13"/>
  <c r="AE507" i="13"/>
  <c r="AE508" i="13"/>
  <c r="AE509" i="13"/>
  <c r="AE510" i="13"/>
  <c r="AE511" i="13"/>
  <c r="AE512" i="13"/>
  <c r="AE513" i="13"/>
  <c r="AE514" i="13"/>
  <c r="AE515" i="13"/>
  <c r="AE516" i="13"/>
  <c r="AE517" i="13"/>
  <c r="AE518" i="13"/>
  <c r="AE519" i="13"/>
  <c r="AE520" i="13"/>
  <c r="AE521" i="13"/>
  <c r="AE522" i="13"/>
  <c r="AE523" i="13"/>
  <c r="AE524" i="13"/>
  <c r="AE525" i="13"/>
  <c r="AE526" i="13"/>
  <c r="AE527" i="13"/>
  <c r="AE528" i="13"/>
  <c r="AE529" i="13"/>
  <c r="AE530" i="13"/>
  <c r="AE531" i="13"/>
  <c r="AE532" i="13"/>
  <c r="AE533" i="13"/>
  <c r="AE534" i="13"/>
  <c r="AE535" i="13"/>
  <c r="AE536" i="13"/>
  <c r="AE537" i="13"/>
  <c r="AE538" i="13"/>
  <c r="AE539" i="13"/>
  <c r="AE540" i="13"/>
  <c r="AE541" i="13"/>
  <c r="AE542" i="13"/>
  <c r="AE543" i="13"/>
  <c r="AE544" i="13"/>
  <c r="AE545" i="13"/>
  <c r="AE546" i="13"/>
  <c r="AE547" i="13"/>
  <c r="AE548" i="13"/>
  <c r="AE549" i="13"/>
  <c r="AE550" i="13"/>
  <c r="AE551" i="13"/>
  <c r="AE552" i="13"/>
  <c r="AE553" i="13"/>
  <c r="AE554" i="13"/>
  <c r="AE555" i="13"/>
  <c r="AE556" i="13"/>
  <c r="AE557" i="13"/>
  <c r="AE558" i="13"/>
  <c r="AE559" i="13"/>
  <c r="AE560" i="13"/>
  <c r="AE561" i="13"/>
  <c r="AE562" i="13"/>
  <c r="AE563" i="13"/>
  <c r="AE564" i="13"/>
  <c r="AE565" i="13"/>
  <c r="AE566" i="13"/>
  <c r="AE567" i="13"/>
  <c r="AE568" i="13"/>
  <c r="R433" i="13"/>
  <c r="R434" i="13"/>
  <c r="R435" i="13"/>
  <c r="R436" i="13"/>
  <c r="R437" i="13"/>
  <c r="R438" i="13"/>
  <c r="R439" i="13"/>
  <c r="R440" i="13"/>
  <c r="R441" i="13"/>
  <c r="R442" i="13"/>
  <c r="R443" i="13"/>
  <c r="R444" i="13"/>
  <c r="R445" i="13"/>
  <c r="R446" i="13"/>
  <c r="R447" i="13"/>
  <c r="R448" i="13"/>
  <c r="R450" i="13"/>
  <c r="R452" i="13"/>
  <c r="R453" i="13"/>
  <c r="R454" i="13"/>
  <c r="R455" i="13"/>
  <c r="R456" i="13"/>
  <c r="R458" i="13"/>
  <c r="R459" i="13"/>
  <c r="R460" i="13"/>
  <c r="R461" i="13"/>
  <c r="R462" i="13"/>
  <c r="R463" i="13"/>
  <c r="R464" i="13"/>
  <c r="R465" i="13"/>
  <c r="R466" i="13"/>
  <c r="R467" i="13"/>
  <c r="R468" i="13"/>
  <c r="R469" i="13"/>
  <c r="R470" i="13"/>
  <c r="R471" i="13"/>
  <c r="R472" i="13"/>
  <c r="R473" i="13"/>
  <c r="R474" i="13"/>
  <c r="R475" i="13"/>
  <c r="R476" i="13"/>
  <c r="R477" i="13"/>
  <c r="R478" i="13"/>
  <c r="R479" i="13"/>
  <c r="R480" i="13"/>
  <c r="R481" i="13"/>
  <c r="R482" i="13"/>
  <c r="R483" i="13"/>
  <c r="R484" i="13"/>
  <c r="R485" i="13"/>
  <c r="R486" i="13"/>
  <c r="R487" i="13"/>
  <c r="R488" i="13"/>
  <c r="R489" i="13"/>
  <c r="R490" i="13"/>
  <c r="R491" i="13"/>
  <c r="R492" i="13"/>
  <c r="R493" i="13"/>
  <c r="R494" i="13"/>
  <c r="R495" i="13"/>
  <c r="R496" i="13"/>
  <c r="R497" i="13"/>
  <c r="R498" i="13"/>
  <c r="R499" i="13"/>
  <c r="R500" i="13"/>
  <c r="R501" i="13"/>
  <c r="R502" i="13"/>
  <c r="R503" i="13"/>
  <c r="R504" i="13"/>
  <c r="R505" i="13"/>
  <c r="R506" i="13"/>
  <c r="R507" i="13"/>
  <c r="R508" i="13"/>
  <c r="R509" i="13"/>
  <c r="R510" i="13"/>
  <c r="R511" i="13"/>
  <c r="R512" i="13"/>
  <c r="R513" i="13"/>
  <c r="R514" i="13"/>
  <c r="R515" i="13"/>
  <c r="R516" i="13"/>
  <c r="R517" i="13"/>
  <c r="R518" i="13"/>
  <c r="R519" i="13"/>
  <c r="R520" i="13"/>
  <c r="R521" i="13"/>
  <c r="R522" i="13"/>
  <c r="R523" i="13"/>
  <c r="R524" i="13"/>
  <c r="R525" i="13"/>
  <c r="R526" i="13"/>
  <c r="R527" i="13"/>
  <c r="R528" i="13"/>
  <c r="R529" i="13"/>
  <c r="R530" i="13"/>
  <c r="R531" i="13"/>
  <c r="R532" i="13"/>
  <c r="R533" i="13"/>
  <c r="R534" i="13"/>
  <c r="R535" i="13"/>
  <c r="R536" i="13"/>
  <c r="R537" i="13"/>
  <c r="R538" i="13"/>
  <c r="R539" i="13"/>
  <c r="R540" i="13"/>
  <c r="R541" i="13"/>
  <c r="R542" i="13"/>
  <c r="R543" i="13"/>
  <c r="R544" i="13"/>
  <c r="R545" i="13"/>
  <c r="R546" i="13"/>
  <c r="R547" i="13"/>
  <c r="R548" i="13"/>
  <c r="R549" i="13"/>
  <c r="R550" i="13"/>
  <c r="R551" i="13"/>
  <c r="R552" i="13"/>
  <c r="R553" i="13"/>
  <c r="R554" i="13"/>
  <c r="R555" i="13"/>
  <c r="R556" i="13"/>
  <c r="R557" i="13"/>
  <c r="R558" i="13"/>
  <c r="R559" i="13"/>
  <c r="R560" i="13"/>
  <c r="R561" i="13"/>
  <c r="R562" i="13"/>
  <c r="R563" i="13"/>
  <c r="R564" i="13"/>
  <c r="R565" i="13"/>
  <c r="R566" i="13"/>
  <c r="R567" i="13"/>
  <c r="R568" i="13"/>
  <c r="AO434" i="12"/>
  <c r="AO435" i="12"/>
  <c r="AO436" i="12"/>
  <c r="AO437" i="12"/>
  <c r="AO438" i="12"/>
  <c r="AO439" i="12"/>
  <c r="AO440" i="12"/>
  <c r="AO441" i="12"/>
  <c r="AO442" i="12"/>
  <c r="AO443" i="12"/>
  <c r="AO444" i="12"/>
  <c r="AO445" i="12"/>
  <c r="AO446" i="12"/>
  <c r="AO447" i="12"/>
  <c r="AO448" i="12"/>
  <c r="AO449" i="12"/>
  <c r="AO450" i="12"/>
  <c r="AO451" i="12"/>
  <c r="AO452" i="12"/>
  <c r="AO453" i="12"/>
  <c r="AO454" i="12"/>
  <c r="AO455" i="12"/>
  <c r="AO456" i="12"/>
  <c r="AO461" i="12"/>
  <c r="AO462" i="12"/>
  <c r="AO463" i="12"/>
  <c r="AO464" i="12"/>
  <c r="AO465" i="12"/>
  <c r="AO466" i="12"/>
  <c r="AO467" i="12"/>
  <c r="AO468" i="12"/>
  <c r="AO469" i="12"/>
  <c r="AO470" i="12"/>
  <c r="AO471" i="12"/>
  <c r="AO472" i="12"/>
  <c r="AO473" i="12"/>
  <c r="AO474" i="12"/>
  <c r="AO475" i="12"/>
  <c r="AO476" i="12"/>
  <c r="AO477" i="12"/>
  <c r="AO478" i="12"/>
  <c r="AO479" i="12"/>
  <c r="AO480" i="12"/>
  <c r="AO481" i="12"/>
  <c r="AO482" i="12"/>
  <c r="AO483" i="12"/>
  <c r="AO484" i="12"/>
  <c r="AO485" i="12"/>
  <c r="AO486" i="12"/>
  <c r="AO487" i="12"/>
  <c r="AO488" i="12"/>
  <c r="AO489" i="12"/>
  <c r="AO490" i="12"/>
  <c r="AO491" i="12"/>
  <c r="AO492" i="12"/>
  <c r="AO493" i="12"/>
  <c r="AO494" i="12"/>
  <c r="AO495" i="12"/>
  <c r="AO496" i="12"/>
  <c r="AO497" i="12"/>
  <c r="AO498" i="12"/>
  <c r="AO499" i="12"/>
  <c r="AO500" i="12"/>
  <c r="AO501" i="12"/>
  <c r="AO502" i="12"/>
  <c r="AO503" i="12"/>
  <c r="AO504" i="12"/>
  <c r="AO505" i="12"/>
  <c r="AO506" i="12"/>
  <c r="AO507" i="12"/>
  <c r="AO508" i="12"/>
  <c r="AO509" i="12"/>
  <c r="AO510" i="12"/>
  <c r="AO511" i="12"/>
  <c r="AO512" i="12"/>
  <c r="AO513" i="12"/>
  <c r="AO514" i="12"/>
  <c r="AO515" i="12"/>
  <c r="AO516" i="12"/>
  <c r="AO517" i="12"/>
  <c r="AO518" i="12"/>
  <c r="AO519" i="12"/>
  <c r="AO520" i="12"/>
  <c r="AO521" i="12"/>
  <c r="AO522" i="12"/>
  <c r="AO523" i="12"/>
  <c r="AO524" i="12"/>
  <c r="AO525" i="12"/>
  <c r="AO526" i="12"/>
  <c r="AO527" i="12"/>
  <c r="AO528" i="12"/>
  <c r="AO529" i="12"/>
  <c r="AO530" i="12"/>
  <c r="AO531" i="12"/>
  <c r="AO532" i="12"/>
  <c r="AO533" i="12"/>
  <c r="AO534" i="12"/>
  <c r="AO535" i="12"/>
  <c r="AO536" i="12"/>
  <c r="AO537" i="12"/>
  <c r="AO538" i="12"/>
  <c r="AO539" i="12"/>
  <c r="AO540" i="12"/>
  <c r="AO541" i="12"/>
  <c r="AO542" i="12"/>
  <c r="AO543" i="12"/>
  <c r="AO544" i="12"/>
  <c r="AO545" i="12"/>
  <c r="AO546" i="12"/>
  <c r="AO547" i="12"/>
  <c r="AO548" i="12"/>
  <c r="AO549" i="12"/>
  <c r="AO550" i="12"/>
  <c r="AO551" i="12"/>
  <c r="AO552" i="12"/>
  <c r="AO553" i="12"/>
  <c r="AO554" i="12"/>
  <c r="AO555" i="12"/>
  <c r="AO556" i="12"/>
  <c r="AO557" i="12"/>
  <c r="AO558" i="12"/>
  <c r="AO559" i="12"/>
  <c r="AO560" i="12"/>
  <c r="AO561" i="12"/>
  <c r="AO562" i="12"/>
  <c r="AO563" i="12"/>
  <c r="AO564" i="12"/>
  <c r="AO565" i="12"/>
  <c r="AO566" i="12"/>
  <c r="AO567" i="12"/>
  <c r="AO568" i="12"/>
  <c r="AO569" i="12"/>
  <c r="AB434" i="12"/>
  <c r="AB435" i="12"/>
  <c r="AB436" i="12"/>
  <c r="AB437" i="12"/>
  <c r="AB438" i="12"/>
  <c r="AB439" i="12"/>
  <c r="AB440" i="12"/>
  <c r="AB441" i="12"/>
  <c r="AB442" i="12"/>
  <c r="AB443" i="12"/>
  <c r="AB444" i="12"/>
  <c r="AB445" i="12"/>
  <c r="AB446" i="12"/>
  <c r="AB447" i="12"/>
  <c r="AB448" i="12"/>
  <c r="AB449" i="12"/>
  <c r="AB450" i="12"/>
  <c r="AB451" i="12"/>
  <c r="AB452" i="12"/>
  <c r="AB453" i="12"/>
  <c r="AB454" i="12"/>
  <c r="AB455" i="12"/>
  <c r="AB456" i="12"/>
  <c r="AB461" i="12"/>
  <c r="AB462" i="12"/>
  <c r="AB463" i="12"/>
  <c r="AB464" i="12"/>
  <c r="AB465" i="12"/>
  <c r="AB466" i="12"/>
  <c r="AB467" i="12"/>
  <c r="AB468" i="12"/>
  <c r="AB469" i="12"/>
  <c r="AB470" i="12"/>
  <c r="AB471" i="12"/>
  <c r="AB472" i="12"/>
  <c r="AB473" i="12"/>
  <c r="AB474" i="12"/>
  <c r="AB475" i="12"/>
  <c r="AB476" i="12"/>
  <c r="AB477" i="12"/>
  <c r="AB478" i="12"/>
  <c r="AB479" i="12"/>
  <c r="AB480" i="12"/>
  <c r="AB481" i="12"/>
  <c r="AB482" i="12"/>
  <c r="AB483" i="12"/>
  <c r="AB484" i="12"/>
  <c r="AB485" i="12"/>
  <c r="AB486" i="12"/>
  <c r="AB487" i="12"/>
  <c r="AB488" i="12"/>
  <c r="AB489" i="12"/>
  <c r="AB490" i="12"/>
  <c r="AB491" i="12"/>
  <c r="AB492" i="12"/>
  <c r="AB493" i="12"/>
  <c r="AB494" i="12"/>
  <c r="AB495" i="12"/>
  <c r="AB496" i="12"/>
  <c r="AB497" i="12"/>
  <c r="AB498" i="12"/>
  <c r="AB499" i="12"/>
  <c r="AB500" i="12"/>
  <c r="AB501" i="12"/>
  <c r="AB502" i="12"/>
  <c r="AB503" i="12"/>
  <c r="AB504" i="12"/>
  <c r="AB505" i="12"/>
  <c r="AB506" i="12"/>
  <c r="AB507" i="12"/>
  <c r="AB508" i="12"/>
  <c r="AB509" i="12"/>
  <c r="AB510" i="12"/>
  <c r="AB511" i="12"/>
  <c r="AB512" i="12"/>
  <c r="AB513" i="12"/>
  <c r="AB514" i="12"/>
  <c r="AB515" i="12"/>
  <c r="AB516" i="12"/>
  <c r="AB517" i="12"/>
  <c r="AB518" i="12"/>
  <c r="AB519" i="12"/>
  <c r="AB520" i="12"/>
  <c r="AB521" i="12"/>
  <c r="AB522" i="12"/>
  <c r="AB523" i="12"/>
  <c r="AB524" i="12"/>
  <c r="AB525" i="12"/>
  <c r="AB526" i="12"/>
  <c r="AB527" i="12"/>
  <c r="AB528" i="12"/>
  <c r="AB529" i="12"/>
  <c r="AB530" i="12"/>
  <c r="AB531" i="12"/>
  <c r="AB532" i="12"/>
  <c r="AB533" i="12"/>
  <c r="AB534" i="12"/>
  <c r="AB535" i="12"/>
  <c r="AB536" i="12"/>
  <c r="AB537" i="12"/>
  <c r="AB538" i="12"/>
  <c r="AB539" i="12"/>
  <c r="AB540" i="12"/>
  <c r="AB541" i="12"/>
  <c r="AB542" i="12"/>
  <c r="AB543" i="12"/>
  <c r="AB544" i="12"/>
  <c r="AB545" i="12"/>
  <c r="AB546" i="12"/>
  <c r="AB547" i="12"/>
  <c r="AB548" i="12"/>
  <c r="AB549" i="12"/>
  <c r="AB550" i="12"/>
  <c r="AB551" i="12"/>
  <c r="AB552" i="12"/>
  <c r="AB553" i="12"/>
  <c r="AB554" i="12"/>
  <c r="AB555" i="12"/>
  <c r="AB556" i="12"/>
  <c r="AB557" i="12"/>
  <c r="AB558" i="12"/>
  <c r="AB559" i="12"/>
  <c r="AB560" i="12"/>
  <c r="AB561" i="12"/>
  <c r="AB562" i="12"/>
  <c r="AB563" i="12"/>
  <c r="AB564" i="12"/>
  <c r="AB565" i="12"/>
  <c r="AB566" i="12"/>
  <c r="AB567" i="12"/>
  <c r="AB568" i="12"/>
  <c r="AB569" i="12"/>
  <c r="AN446" i="10"/>
  <c r="AN447" i="10"/>
  <c r="AN448" i="10"/>
  <c r="AN449" i="10"/>
  <c r="AN450" i="10"/>
  <c r="AN451" i="10"/>
  <c r="AN452" i="10"/>
  <c r="AN453" i="10"/>
  <c r="AN454" i="10"/>
  <c r="AN455" i="10"/>
  <c r="AN456" i="10"/>
  <c r="AN457" i="10"/>
  <c r="AN458" i="10"/>
  <c r="AN459" i="10"/>
  <c r="AN460" i="10"/>
  <c r="AN461" i="10"/>
  <c r="AN462" i="10"/>
  <c r="AN463" i="10"/>
  <c r="AN464" i="10"/>
  <c r="AN465" i="10"/>
  <c r="AN466" i="10"/>
  <c r="AN467" i="10"/>
  <c r="AN468" i="10"/>
  <c r="AN469" i="10"/>
  <c r="AN470" i="10"/>
  <c r="AN471" i="10"/>
  <c r="AN472" i="10"/>
  <c r="AN473" i="10"/>
  <c r="AN474" i="10"/>
  <c r="AN475" i="10"/>
  <c r="AN476" i="10"/>
  <c r="AN477" i="10"/>
  <c r="AN478" i="10"/>
  <c r="AN479" i="10"/>
  <c r="AN480" i="10"/>
  <c r="AN481" i="10"/>
  <c r="AN482" i="10"/>
  <c r="AN483" i="10"/>
  <c r="AN484" i="10"/>
  <c r="AN485" i="10"/>
  <c r="AN486" i="10"/>
  <c r="AN487" i="10"/>
  <c r="AN488" i="10"/>
  <c r="AN489" i="10"/>
  <c r="AN490" i="10"/>
  <c r="AN491" i="10"/>
  <c r="AN492" i="10"/>
  <c r="AN493" i="10"/>
  <c r="AN494" i="10"/>
  <c r="AN495" i="10"/>
  <c r="AN496" i="10"/>
  <c r="AN497" i="10"/>
  <c r="AN498" i="10"/>
  <c r="AN499" i="10"/>
  <c r="AN500" i="10"/>
  <c r="AN501" i="10"/>
  <c r="AN502" i="10"/>
  <c r="AN503" i="10"/>
  <c r="AN504" i="10"/>
  <c r="AN505" i="10"/>
  <c r="AN506" i="10"/>
  <c r="AN507" i="10"/>
  <c r="AN508" i="10"/>
  <c r="AN509" i="10"/>
  <c r="AN510" i="10"/>
  <c r="AN511" i="10"/>
  <c r="AN512" i="10"/>
  <c r="AN513" i="10"/>
  <c r="AN514" i="10"/>
  <c r="AN515" i="10"/>
  <c r="AN518" i="10"/>
  <c r="AN519" i="10"/>
  <c r="AN520" i="10"/>
  <c r="AN521" i="10"/>
  <c r="AN522" i="10"/>
  <c r="AN523" i="10"/>
  <c r="AN524" i="10"/>
  <c r="AN525" i="10"/>
  <c r="AN526" i="10"/>
  <c r="AN527" i="10"/>
  <c r="AN528" i="10"/>
  <c r="AN529" i="10"/>
  <c r="AN530" i="10"/>
  <c r="AN531" i="10"/>
  <c r="AN532" i="10"/>
  <c r="AN533" i="10"/>
  <c r="AN534" i="10"/>
  <c r="AN535" i="10"/>
  <c r="AN536" i="10"/>
  <c r="AN537" i="10"/>
  <c r="AN538" i="10"/>
  <c r="AN539" i="10"/>
  <c r="AN540" i="10"/>
  <c r="AN541" i="10"/>
  <c r="AN542" i="10"/>
  <c r="AN543" i="10"/>
  <c r="AN544" i="10"/>
  <c r="AN545" i="10"/>
  <c r="AN546" i="10"/>
  <c r="AN547" i="10"/>
  <c r="AN548" i="10"/>
  <c r="AN549" i="10"/>
  <c r="AN550" i="10"/>
  <c r="AN551" i="10"/>
  <c r="AN552" i="10"/>
  <c r="AN553" i="10"/>
  <c r="AN554" i="10"/>
  <c r="AN555" i="10"/>
  <c r="AN556" i="10"/>
  <c r="AN557" i="10"/>
  <c r="AN558" i="10"/>
  <c r="AN559" i="10"/>
  <c r="AN560" i="10"/>
  <c r="AN561" i="10"/>
  <c r="AN562" i="10"/>
  <c r="AN563" i="10"/>
  <c r="AN564" i="10"/>
  <c r="AN565" i="10"/>
  <c r="AN566" i="10"/>
  <c r="AN567" i="10"/>
  <c r="AN568" i="10"/>
  <c r="AN569" i="10"/>
  <c r="AN570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1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AA545" i="10"/>
  <c r="AA546" i="10"/>
  <c r="AA547" i="10"/>
  <c r="AA548" i="10"/>
  <c r="AA549" i="10"/>
  <c r="AA550" i="10"/>
  <c r="AA551" i="10"/>
  <c r="AA552" i="10"/>
  <c r="AA553" i="10"/>
  <c r="AA554" i="10"/>
  <c r="AA555" i="10"/>
  <c r="AA556" i="10"/>
  <c r="AA557" i="10"/>
  <c r="AA558" i="10"/>
  <c r="AA559" i="10"/>
  <c r="AA560" i="10"/>
  <c r="AA561" i="10"/>
  <c r="AA562" i="10"/>
  <c r="AA563" i="10"/>
  <c r="AA564" i="10"/>
  <c r="AA565" i="10"/>
  <c r="AA566" i="10"/>
  <c r="AA567" i="10"/>
  <c r="AA568" i="10"/>
  <c r="AA569" i="10"/>
  <c r="AA570" i="10"/>
  <c r="AN434" i="9"/>
  <c r="AN435" i="9"/>
  <c r="AN436" i="9"/>
  <c r="AN437" i="9"/>
  <c r="AN438" i="9"/>
  <c r="AN439" i="9"/>
  <c r="AN440" i="9"/>
  <c r="AN441" i="9"/>
  <c r="AN442" i="9"/>
  <c r="AN443" i="9"/>
  <c r="AN444" i="9"/>
  <c r="AN445" i="9"/>
  <c r="AN448" i="9"/>
  <c r="AN449" i="9"/>
  <c r="AN450" i="9"/>
  <c r="AN451" i="9"/>
  <c r="AN452" i="9"/>
  <c r="AN454" i="9"/>
  <c r="AN457" i="9"/>
  <c r="AN458" i="9"/>
  <c r="AN459" i="9"/>
  <c r="AN460" i="9"/>
  <c r="AN461" i="9"/>
  <c r="AN462" i="9"/>
  <c r="AN463" i="9"/>
  <c r="AN464" i="9"/>
  <c r="AN465" i="9"/>
  <c r="AN466" i="9"/>
  <c r="AN467" i="9"/>
  <c r="AN468" i="9"/>
  <c r="AN474" i="9"/>
  <c r="AN476" i="9"/>
  <c r="AN477" i="9"/>
  <c r="AN479" i="9"/>
  <c r="AN481" i="9"/>
  <c r="AN482" i="9"/>
  <c r="AN483" i="9"/>
  <c r="AN484" i="9"/>
  <c r="AN485" i="9"/>
  <c r="AN486" i="9"/>
  <c r="AN492" i="9"/>
  <c r="AN500" i="9"/>
  <c r="AN501" i="9"/>
  <c r="AN515" i="9"/>
  <c r="AN518" i="9"/>
  <c r="AN519" i="9"/>
  <c r="AN521" i="9"/>
  <c r="AN561" i="9"/>
  <c r="AA434" i="9"/>
  <c r="AA435" i="9"/>
  <c r="AA436" i="9"/>
  <c r="AA437" i="9"/>
  <c r="AA438" i="9"/>
  <c r="AA439" i="9"/>
  <c r="AA440" i="9"/>
  <c r="AA441" i="9"/>
  <c r="AA442" i="9"/>
  <c r="AA443" i="9"/>
  <c r="AA444" i="9"/>
  <c r="AA445" i="9"/>
  <c r="AA448" i="9"/>
  <c r="AA449" i="9"/>
  <c r="AA450" i="9"/>
  <c r="AA451" i="9"/>
  <c r="AA452" i="9"/>
  <c r="AA454" i="9"/>
  <c r="AA457" i="9"/>
  <c r="AA458" i="9"/>
  <c r="AA459" i="9"/>
  <c r="AA460" i="9"/>
  <c r="AA461" i="9"/>
  <c r="AA462" i="9"/>
  <c r="AA463" i="9"/>
  <c r="AA464" i="9"/>
  <c r="AA465" i="9"/>
  <c r="AA466" i="9"/>
  <c r="AA467" i="9"/>
  <c r="AA468" i="9"/>
  <c r="AA474" i="9"/>
  <c r="AA476" i="9"/>
  <c r="AA477" i="9"/>
  <c r="AA479" i="9"/>
  <c r="AA481" i="9"/>
  <c r="AA482" i="9"/>
  <c r="AA483" i="9"/>
  <c r="AA484" i="9"/>
  <c r="AA485" i="9"/>
  <c r="AA486" i="9"/>
  <c r="AA492" i="9"/>
  <c r="AA500" i="9"/>
  <c r="AA501" i="9"/>
  <c r="AA515" i="9"/>
  <c r="AA518" i="9"/>
  <c r="AA519" i="9"/>
  <c r="AA521" i="9"/>
  <c r="AA561" i="9"/>
  <c r="AM434" i="8"/>
  <c r="AM435" i="8"/>
  <c r="AM436" i="8"/>
  <c r="AM437" i="8"/>
  <c r="AM438" i="8"/>
  <c r="AM439" i="8"/>
  <c r="AM440" i="8"/>
  <c r="AM441" i="8"/>
  <c r="AM442" i="8"/>
  <c r="AM443" i="8"/>
  <c r="AM444" i="8"/>
  <c r="AM445" i="8"/>
  <c r="AM446" i="8"/>
  <c r="AM447" i="8"/>
  <c r="AM449" i="8"/>
  <c r="AM450" i="8"/>
  <c r="AM451" i="8"/>
  <c r="AM452" i="8"/>
  <c r="AM453" i="8"/>
  <c r="AM454" i="8"/>
  <c r="AM455" i="8"/>
  <c r="AM456" i="8"/>
  <c r="AM457" i="8"/>
  <c r="AM458" i="8"/>
  <c r="AM459" i="8"/>
  <c r="AM460" i="8"/>
  <c r="AM461" i="8"/>
  <c r="AM462" i="8"/>
  <c r="AM463" i="8"/>
  <c r="AM464" i="8"/>
  <c r="AM465" i="8"/>
  <c r="AM466" i="8"/>
  <c r="AM467" i="8"/>
  <c r="AM469" i="8"/>
  <c r="AM470" i="8"/>
  <c r="AM471" i="8"/>
  <c r="AM472" i="8"/>
  <c r="AM473" i="8"/>
  <c r="AM474" i="8"/>
  <c r="AM475" i="8"/>
  <c r="AM476" i="8"/>
  <c r="AM477" i="8"/>
  <c r="AM478" i="8"/>
  <c r="AM479" i="8"/>
  <c r="AM480" i="8"/>
  <c r="AM481" i="8"/>
  <c r="AM482" i="8"/>
  <c r="AM484" i="8"/>
  <c r="AM485" i="8"/>
  <c r="AM486" i="8"/>
  <c r="AM487" i="8"/>
  <c r="AM488" i="8"/>
  <c r="AM489" i="8"/>
  <c r="AM490" i="8"/>
  <c r="AM491" i="8"/>
  <c r="AM493" i="8"/>
  <c r="AM494" i="8"/>
  <c r="AM495" i="8"/>
  <c r="AM496" i="8"/>
  <c r="AM497" i="8"/>
  <c r="AM498" i="8"/>
  <c r="AM499" i="8"/>
  <c r="AM502" i="8"/>
  <c r="AM503" i="8"/>
  <c r="AM504" i="8"/>
  <c r="AM505" i="8"/>
  <c r="AM506" i="8"/>
  <c r="AM507" i="8"/>
  <c r="AM508" i="8"/>
  <c r="AM509" i="8"/>
  <c r="AM510" i="8"/>
  <c r="AM511" i="8"/>
  <c r="AM512" i="8"/>
  <c r="AM513" i="8"/>
  <c r="AM514" i="8"/>
  <c r="AM519" i="8"/>
  <c r="AM520" i="8"/>
  <c r="AM521" i="8"/>
  <c r="AM522" i="8"/>
  <c r="AM523" i="8"/>
  <c r="AM524" i="8"/>
  <c r="AM525" i="8"/>
  <c r="AM526" i="8"/>
  <c r="AM527" i="8"/>
  <c r="AM528" i="8"/>
  <c r="AM529" i="8"/>
  <c r="AM530" i="8"/>
  <c r="AM531" i="8"/>
  <c r="AM532" i="8"/>
  <c r="AM533" i="8"/>
  <c r="AM534" i="8"/>
  <c r="AM535" i="8"/>
  <c r="AM536" i="8"/>
  <c r="AM537" i="8"/>
  <c r="AM538" i="8"/>
  <c r="AM539" i="8"/>
  <c r="AM540" i="8"/>
  <c r="AM541" i="8"/>
  <c r="AM542" i="8"/>
  <c r="AM543" i="8"/>
  <c r="AM544" i="8"/>
  <c r="AM545" i="8"/>
  <c r="AM546" i="8"/>
  <c r="AM547" i="8"/>
  <c r="AM548" i="8"/>
  <c r="AM549" i="8"/>
  <c r="AM550" i="8"/>
  <c r="AM551" i="8"/>
  <c r="AM552" i="8"/>
  <c r="AM553" i="8"/>
  <c r="AM554" i="8"/>
  <c r="AM555" i="8"/>
  <c r="AM556" i="8"/>
  <c r="AM557" i="8"/>
  <c r="AM558" i="8"/>
  <c r="AM559" i="8"/>
  <c r="AM560" i="8"/>
  <c r="AM561" i="8"/>
  <c r="AM562" i="8"/>
  <c r="AM563" i="8"/>
  <c r="AM564" i="8"/>
  <c r="AM565" i="8"/>
  <c r="AM566" i="8"/>
  <c r="AM567" i="8"/>
  <c r="AM568" i="8"/>
  <c r="AM569" i="8"/>
  <c r="AM570" i="8"/>
  <c r="Z434" i="8"/>
  <c r="Z435" i="8"/>
  <c r="Z436" i="8"/>
  <c r="Z437" i="8"/>
  <c r="Z438" i="8"/>
  <c r="Z439" i="8"/>
  <c r="Z440" i="8"/>
  <c r="Z441" i="8"/>
  <c r="Z442" i="8"/>
  <c r="Z443" i="8"/>
  <c r="Z444" i="8"/>
  <c r="Z445" i="8"/>
  <c r="Z446" i="8"/>
  <c r="Z447" i="8"/>
  <c r="Z449" i="8"/>
  <c r="Z450" i="8"/>
  <c r="Z451" i="8"/>
  <c r="Z452" i="8"/>
  <c r="Z453" i="8"/>
  <c r="Z454" i="8"/>
  <c r="Z455" i="8"/>
  <c r="Z456" i="8"/>
  <c r="Z457" i="8"/>
  <c r="Z458" i="8"/>
  <c r="Z459" i="8"/>
  <c r="Z460" i="8"/>
  <c r="Z461" i="8"/>
  <c r="Z462" i="8"/>
  <c r="Z463" i="8"/>
  <c r="Z464" i="8"/>
  <c r="Z465" i="8"/>
  <c r="Z466" i="8"/>
  <c r="Z467" i="8"/>
  <c r="Z469" i="8"/>
  <c r="Z470" i="8"/>
  <c r="Z471" i="8"/>
  <c r="Z472" i="8"/>
  <c r="Z473" i="8"/>
  <c r="Z474" i="8"/>
  <c r="Z475" i="8"/>
  <c r="Z476" i="8"/>
  <c r="Z477" i="8"/>
  <c r="Z478" i="8"/>
  <c r="Z479" i="8"/>
  <c r="Z480" i="8"/>
  <c r="Z481" i="8"/>
  <c r="Z482" i="8"/>
  <c r="Z484" i="8"/>
  <c r="Z485" i="8"/>
  <c r="Z486" i="8"/>
  <c r="Z487" i="8"/>
  <c r="Z488" i="8"/>
  <c r="Z489" i="8"/>
  <c r="Z490" i="8"/>
  <c r="Z491" i="8"/>
  <c r="Z493" i="8"/>
  <c r="Z494" i="8"/>
  <c r="Z495" i="8"/>
  <c r="Z496" i="8"/>
  <c r="Z497" i="8"/>
  <c r="Z498" i="8"/>
  <c r="Z499" i="8"/>
  <c r="Z502" i="8"/>
  <c r="Z503" i="8"/>
  <c r="Z504" i="8"/>
  <c r="Z505" i="8"/>
  <c r="Z506" i="8"/>
  <c r="Z507" i="8"/>
  <c r="Z508" i="8"/>
  <c r="Z509" i="8"/>
  <c r="Z510" i="8"/>
  <c r="Z511" i="8"/>
  <c r="Z512" i="8"/>
  <c r="Z513" i="8"/>
  <c r="Z514" i="8"/>
  <c r="Z519" i="8"/>
  <c r="Z520" i="8"/>
  <c r="Z521" i="8"/>
  <c r="Z522" i="8"/>
  <c r="Z523" i="8"/>
  <c r="Z524" i="8"/>
  <c r="Z525" i="8"/>
  <c r="Z526" i="8"/>
  <c r="Z527" i="8"/>
  <c r="Z528" i="8"/>
  <c r="Z529" i="8"/>
  <c r="Z530" i="8"/>
  <c r="Z531" i="8"/>
  <c r="Z532" i="8"/>
  <c r="Z533" i="8"/>
  <c r="Z534" i="8"/>
  <c r="Z535" i="8"/>
  <c r="Z536" i="8"/>
  <c r="Z537" i="8"/>
  <c r="Z538" i="8"/>
  <c r="Z539" i="8"/>
  <c r="Z540" i="8"/>
  <c r="Z541" i="8"/>
  <c r="Z542" i="8"/>
  <c r="Z543" i="8"/>
  <c r="Z544" i="8"/>
  <c r="Z545" i="8"/>
  <c r="Z546" i="8"/>
  <c r="Z547" i="8"/>
  <c r="Z548" i="8"/>
  <c r="Z549" i="8"/>
  <c r="Z550" i="8"/>
  <c r="Z551" i="8"/>
  <c r="Z552" i="8"/>
  <c r="Z553" i="8"/>
  <c r="Z554" i="8"/>
  <c r="Z555" i="8"/>
  <c r="Z556" i="8"/>
  <c r="Z557" i="8"/>
  <c r="Z558" i="8"/>
  <c r="Z559" i="8"/>
  <c r="Z560" i="8"/>
  <c r="Z561" i="8"/>
  <c r="Z562" i="8"/>
  <c r="Z563" i="8"/>
  <c r="Z564" i="8"/>
  <c r="Z565" i="8"/>
  <c r="Z566" i="8"/>
  <c r="Z567" i="8"/>
  <c r="Z568" i="8"/>
  <c r="Z569" i="8"/>
  <c r="Z570" i="8"/>
  <c r="AL434" i="19"/>
  <c r="AL435" i="19"/>
  <c r="AL436" i="19"/>
  <c r="AL437" i="19"/>
  <c r="AL438" i="19"/>
  <c r="AL439" i="19"/>
  <c r="AL440" i="19"/>
  <c r="AL441" i="19"/>
  <c r="AL442" i="19"/>
  <c r="AL443" i="19"/>
  <c r="AL444" i="19"/>
  <c r="AL445" i="19"/>
  <c r="AL446" i="19"/>
  <c r="AL447" i="19"/>
  <c r="AL448" i="19"/>
  <c r="AL449" i="19"/>
  <c r="AL450" i="19"/>
  <c r="AL451" i="19"/>
  <c r="AL452" i="19"/>
  <c r="AL453" i="19"/>
  <c r="AL454" i="19"/>
  <c r="AL455" i="19"/>
  <c r="AL456" i="19"/>
  <c r="AL457" i="19"/>
  <c r="AL458" i="19"/>
  <c r="AL459" i="19"/>
  <c r="AL460" i="19"/>
  <c r="AL461" i="19"/>
  <c r="AL462" i="19"/>
  <c r="AL463" i="19"/>
  <c r="AL464" i="19"/>
  <c r="AL465" i="19"/>
  <c r="AL466" i="19"/>
  <c r="AL467" i="19"/>
  <c r="AL468" i="19"/>
  <c r="AL469" i="19"/>
  <c r="AL470" i="19"/>
  <c r="AL471" i="19"/>
  <c r="AL472" i="19"/>
  <c r="AL473" i="19"/>
  <c r="AL475" i="19"/>
  <c r="AL478" i="19"/>
  <c r="AL480" i="19"/>
  <c r="AL483" i="19"/>
  <c r="AL487" i="19"/>
  <c r="AL488" i="19"/>
  <c r="AL489" i="19"/>
  <c r="AL490" i="19"/>
  <c r="AL491" i="19"/>
  <c r="AL492" i="19"/>
  <c r="AL493" i="19"/>
  <c r="AL494" i="19"/>
  <c r="AL495" i="19"/>
  <c r="AL496" i="19"/>
  <c r="AL497" i="19"/>
  <c r="AL498" i="19"/>
  <c r="AL499" i="19"/>
  <c r="AL500" i="19"/>
  <c r="AL501" i="19"/>
  <c r="AL502" i="19"/>
  <c r="AL503" i="19"/>
  <c r="AL504" i="19"/>
  <c r="AL505" i="19"/>
  <c r="AL506" i="19"/>
  <c r="AL507" i="19"/>
  <c r="AL508" i="19"/>
  <c r="AL509" i="19"/>
  <c r="AL510" i="19"/>
  <c r="AL511" i="19"/>
  <c r="AL512" i="19"/>
  <c r="AL513" i="19"/>
  <c r="AL514" i="19"/>
  <c r="AL515" i="19"/>
  <c r="AL517" i="19"/>
  <c r="AL518" i="19"/>
  <c r="AL519" i="19"/>
  <c r="AL520" i="19"/>
  <c r="AL521" i="19"/>
  <c r="AL522" i="19"/>
  <c r="AL523" i="19"/>
  <c r="AL524" i="19"/>
  <c r="AL525" i="19"/>
  <c r="AL526" i="19"/>
  <c r="AL527" i="19"/>
  <c r="AL528" i="19"/>
  <c r="AL529" i="19"/>
  <c r="AL530" i="19"/>
  <c r="AL531" i="19"/>
  <c r="AL532" i="19"/>
  <c r="AL533" i="19"/>
  <c r="AL534" i="19"/>
  <c r="AL535" i="19"/>
  <c r="AL536" i="19"/>
  <c r="AL537" i="19"/>
  <c r="AL538" i="19"/>
  <c r="AL539" i="19"/>
  <c r="AL540" i="19"/>
  <c r="AL541" i="19"/>
  <c r="AL542" i="19"/>
  <c r="AL543" i="19"/>
  <c r="AL544" i="19"/>
  <c r="AL545" i="19"/>
  <c r="AL546" i="19"/>
  <c r="AL547" i="19"/>
  <c r="AL548" i="19"/>
  <c r="AL549" i="19"/>
  <c r="AL550" i="19"/>
  <c r="AL551" i="19"/>
  <c r="AL552" i="19"/>
  <c r="AL553" i="19"/>
  <c r="AL554" i="19"/>
  <c r="AL555" i="19"/>
  <c r="AL556" i="19"/>
  <c r="AL557" i="19"/>
  <c r="AL558" i="19"/>
  <c r="AL559" i="19"/>
  <c r="AL560" i="19"/>
  <c r="AL561" i="19"/>
  <c r="AL562" i="19"/>
  <c r="AL563" i="19"/>
  <c r="AL564" i="19"/>
  <c r="AL565" i="19"/>
  <c r="AL566" i="19"/>
  <c r="AL567" i="19"/>
  <c r="AL568" i="19"/>
  <c r="AL569" i="19"/>
  <c r="AL570" i="19"/>
  <c r="Y433" i="19"/>
  <c r="Y434" i="19"/>
  <c r="Y435" i="19"/>
  <c r="Y436" i="19"/>
  <c r="Y437" i="19"/>
  <c r="Y438" i="19"/>
  <c r="Y439" i="19"/>
  <c r="Y440" i="19"/>
  <c r="Y441" i="19"/>
  <c r="Y442" i="19"/>
  <c r="Y443" i="19"/>
  <c r="Y444" i="19"/>
  <c r="Y445" i="19"/>
  <c r="Y553" i="19"/>
  <c r="Y554" i="19"/>
  <c r="Y555" i="19"/>
  <c r="Y556" i="19"/>
  <c r="Y557" i="19"/>
  <c r="Y558" i="19"/>
  <c r="Y559" i="19"/>
  <c r="Y560" i="19"/>
  <c r="Y561" i="19"/>
  <c r="Y562" i="19"/>
  <c r="Y563" i="19"/>
  <c r="Y564" i="19"/>
  <c r="Y565" i="19"/>
  <c r="Y566" i="19"/>
  <c r="Y567" i="19"/>
  <c r="Y568" i="19"/>
  <c r="Y569" i="19"/>
  <c r="Y521" i="19"/>
  <c r="Y522" i="19"/>
  <c r="Y523" i="19"/>
  <c r="Y524" i="19"/>
  <c r="Y525" i="19"/>
  <c r="Y526" i="19"/>
  <c r="Y527" i="19"/>
  <c r="Y528" i="19"/>
  <c r="Y529" i="19"/>
  <c r="Y530" i="19"/>
  <c r="Y531" i="19"/>
  <c r="Y532" i="19"/>
  <c r="Y533" i="19"/>
  <c r="Y534" i="19"/>
  <c r="Y535" i="19"/>
  <c r="Y536" i="19"/>
  <c r="Y537" i="19"/>
  <c r="Y538" i="19"/>
  <c r="Y539" i="19"/>
  <c r="Y540" i="19"/>
  <c r="Y541" i="19"/>
  <c r="Y542" i="19"/>
  <c r="Y543" i="19"/>
  <c r="Y544" i="19"/>
  <c r="Y545" i="19"/>
  <c r="Y546" i="19"/>
  <c r="Y547" i="19"/>
  <c r="Y548" i="19"/>
  <c r="Y549" i="19"/>
  <c r="Y550" i="19"/>
  <c r="Y551" i="19"/>
  <c r="Y552" i="19"/>
  <c r="AD48" i="6" l="1"/>
  <c r="AE48" i="6" l="1"/>
  <c r="K14" i="6"/>
  <c r="AF48" i="6" l="1"/>
  <c r="AP85" i="9"/>
  <c r="AO85" i="9"/>
  <c r="L7" i="6"/>
  <c r="AG48" i="6" l="1"/>
  <c r="M53" i="6"/>
  <c r="AH48" i="6" l="1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AP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C123" i="12"/>
  <c r="W123" i="12"/>
  <c r="X123" i="12"/>
  <c r="Y123" i="12"/>
  <c r="Z123" i="12"/>
  <c r="AA123" i="12"/>
  <c r="R123" i="12"/>
  <c r="S123" i="12"/>
  <c r="T123" i="12"/>
  <c r="U123" i="12"/>
  <c r="V123" i="12"/>
  <c r="AI48" i="6" l="1"/>
  <c r="AN83" i="3"/>
  <c r="AM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X83" i="3"/>
  <c r="W83" i="3"/>
  <c r="V83" i="3"/>
  <c r="U83" i="3"/>
  <c r="T83" i="3"/>
  <c r="S83" i="3"/>
  <c r="R83" i="3"/>
  <c r="Q83" i="3"/>
  <c r="P83" i="3"/>
  <c r="O83" i="3"/>
  <c r="N83" i="3"/>
  <c r="M83" i="3"/>
  <c r="AO151" i="8"/>
  <c r="AN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AJ48" i="6" l="1"/>
  <c r="AK48" i="6" l="1"/>
  <c r="AF7" i="28"/>
  <c r="AM48" i="6" l="1"/>
  <c r="AM64" i="8"/>
  <c r="Z64" i="8"/>
  <c r="AN48" i="6" l="1"/>
  <c r="AO48" i="6" l="1"/>
  <c r="AM62" i="8"/>
  <c r="Z57" i="8"/>
  <c r="Z56" i="8"/>
  <c r="Z54" i="8"/>
  <c r="Z53" i="8"/>
  <c r="Z52" i="8"/>
  <c r="Z51" i="8"/>
  <c r="Z62" i="8"/>
  <c r="AP48" i="6" l="1"/>
  <c r="Z58" i="8"/>
  <c r="Z55" i="8"/>
  <c r="AO53" i="6"/>
  <c r="AP53" i="6"/>
  <c r="AQ53" i="6"/>
  <c r="AR53" i="6"/>
  <c r="AS53" i="6"/>
  <c r="AT53" i="6"/>
  <c r="AU53" i="6"/>
  <c r="AV53" i="6"/>
  <c r="AW53" i="6"/>
  <c r="N53" i="6"/>
  <c r="O53" i="6"/>
  <c r="P53" i="6"/>
  <c r="Q53" i="6"/>
  <c r="R53" i="6"/>
  <c r="S53" i="6"/>
  <c r="T53" i="6"/>
  <c r="AQ48" i="6" l="1"/>
  <c r="M43" i="6"/>
  <c r="M38" i="6"/>
  <c r="N43" i="6" l="1"/>
  <c r="AR48" i="6"/>
  <c r="AW141" i="12"/>
  <c r="AR141" i="12"/>
  <c r="O43" i="6" l="1"/>
  <c r="AS48" i="6"/>
  <c r="AF33" i="13"/>
  <c r="AC33" i="13"/>
  <c r="Z33" i="13"/>
  <c r="W33" i="13"/>
  <c r="T33" i="13"/>
  <c r="P33" i="13"/>
  <c r="M33" i="13"/>
  <c r="J33" i="13"/>
  <c r="G33" i="13"/>
  <c r="P43" i="6" l="1"/>
  <c r="AT48" i="6"/>
  <c r="Q43" i="6" l="1"/>
  <c r="AU48" i="6"/>
  <c r="AO25" i="12"/>
  <c r="AB25" i="12"/>
  <c r="AO26" i="12"/>
  <c r="AB26" i="12"/>
  <c r="R43" i="6" l="1"/>
  <c r="AV48" i="6"/>
  <c r="AO19" i="12"/>
  <c r="AO18" i="12"/>
  <c r="AB19" i="12"/>
  <c r="AB18" i="12"/>
  <c r="S43" i="6" l="1"/>
  <c r="AW48" i="6"/>
  <c r="AO17" i="12"/>
  <c r="T43" i="6" l="1"/>
  <c r="AB17" i="12"/>
  <c r="AM42" i="6" l="1"/>
  <c r="AM53" i="6" s="1"/>
  <c r="AB42" i="6"/>
  <c r="AB53" i="6" s="1"/>
  <c r="AD42" i="6"/>
  <c r="AD53" i="6" s="1"/>
  <c r="AF42" i="6"/>
  <c r="AF53" i="6" s="1"/>
  <c r="AH42" i="6"/>
  <c r="AH53" i="6" s="1"/>
  <c r="AJ42" i="6"/>
  <c r="AJ53" i="6" s="1"/>
  <c r="Z42" i="6"/>
  <c r="W42" i="6"/>
  <c r="W53" i="6" s="1"/>
  <c r="U42" i="6"/>
  <c r="AN42" i="6"/>
  <c r="AN53" i="6" s="1"/>
  <c r="AA42" i="6"/>
  <c r="AA53" i="6" s="1"/>
  <c r="AC42" i="6"/>
  <c r="AC53" i="6" s="1"/>
  <c r="AE42" i="6"/>
  <c r="AE53" i="6" s="1"/>
  <c r="AG42" i="6"/>
  <c r="AG53" i="6" s="1"/>
  <c r="AI42" i="6"/>
  <c r="AI53" i="6" s="1"/>
  <c r="AK42" i="6"/>
  <c r="AK53" i="6" s="1"/>
  <c r="V42" i="6"/>
  <c r="V53" i="6" s="1"/>
  <c r="X42" i="6"/>
  <c r="X53" i="6" s="1"/>
  <c r="T52" i="5"/>
  <c r="AQ52" i="5"/>
  <c r="AR52" i="5"/>
  <c r="AS52" i="5"/>
  <c r="AT52" i="5"/>
  <c r="AU52" i="5"/>
  <c r="AV52" i="5"/>
  <c r="AW52" i="5"/>
  <c r="AP52" i="5"/>
  <c r="AO52" i="5"/>
  <c r="AN52" i="5"/>
  <c r="AM52" i="5"/>
  <c r="AA52" i="5"/>
  <c r="AB52" i="5"/>
  <c r="AC52" i="5"/>
  <c r="AD52" i="5"/>
  <c r="AE52" i="5"/>
  <c r="AF52" i="5"/>
  <c r="AG52" i="5"/>
  <c r="AH52" i="5"/>
  <c r="AI52" i="5"/>
  <c r="AJ52" i="5"/>
  <c r="AK52" i="5"/>
  <c r="Z52" i="5"/>
  <c r="V52" i="5"/>
  <c r="W52" i="5"/>
  <c r="X52" i="5"/>
  <c r="U52" i="5"/>
  <c r="U53" i="6" l="1"/>
  <c r="Y42" i="6"/>
  <c r="Z53" i="6"/>
  <c r="AL42" i="6"/>
  <c r="U43" i="6"/>
  <c r="AH50" i="29"/>
  <c r="AI50" i="29" s="1"/>
  <c r="AJ50" i="29" s="1"/>
  <c r="AK50" i="29" s="1"/>
  <c r="AL50" i="29" s="1"/>
  <c r="AM50" i="29" s="1"/>
  <c r="AN50" i="29" s="1"/>
  <c r="AO50" i="29" s="1"/>
  <c r="AP50" i="29" s="1"/>
  <c r="AQ50" i="29" s="1"/>
  <c r="AG50" i="29"/>
  <c r="AB50" i="29"/>
  <c r="AC50" i="29"/>
  <c r="AD50" i="29"/>
  <c r="AE50" i="29"/>
  <c r="AA50" i="29"/>
  <c r="V43" i="6" l="1"/>
  <c r="AL53" i="6"/>
  <c r="Y53" i="6"/>
  <c r="AH49" i="29"/>
  <c r="AI49" i="29" s="1"/>
  <c r="AJ49" i="29" s="1"/>
  <c r="W43" i="6" l="1"/>
  <c r="AF41" i="29"/>
  <c r="S41" i="29"/>
  <c r="AQ19" i="10"/>
  <c r="X43" i="6" l="1"/>
  <c r="R14" i="29"/>
  <c r="R16" i="29"/>
  <c r="R15" i="29"/>
  <c r="P14" i="29"/>
  <c r="P16" i="29"/>
  <c r="P15" i="29"/>
  <c r="N14" i="29"/>
  <c r="N16" i="29"/>
  <c r="N15" i="29"/>
  <c r="L14" i="29"/>
  <c r="L16" i="29"/>
  <c r="L15" i="29"/>
  <c r="J14" i="29"/>
  <c r="J16" i="29"/>
  <c r="J15" i="29"/>
  <c r="H14" i="29"/>
  <c r="H16" i="29"/>
  <c r="H15" i="29"/>
  <c r="Y14" i="29"/>
  <c r="Y16" i="29"/>
  <c r="Y15" i="29"/>
  <c r="Y17" i="29"/>
  <c r="W14" i="29"/>
  <c r="W16" i="29"/>
  <c r="W15" i="29"/>
  <c r="W17" i="29"/>
  <c r="U14" i="29"/>
  <c r="U16" i="29"/>
  <c r="U15" i="29"/>
  <c r="U17" i="29"/>
  <c r="G15" i="29"/>
  <c r="G16" i="29"/>
  <c r="G14" i="29"/>
  <c r="Q15" i="29"/>
  <c r="Q14" i="29"/>
  <c r="Q16" i="29"/>
  <c r="O15" i="29"/>
  <c r="O14" i="29"/>
  <c r="O16" i="29"/>
  <c r="M15" i="29"/>
  <c r="M14" i="29"/>
  <c r="M16" i="29"/>
  <c r="K15" i="29"/>
  <c r="K14" i="29"/>
  <c r="K16" i="29"/>
  <c r="I15" i="29"/>
  <c r="I14" i="29"/>
  <c r="I16" i="29"/>
  <c r="T17" i="29"/>
  <c r="T15" i="29"/>
  <c r="T16" i="29"/>
  <c r="T14" i="29"/>
  <c r="X15" i="29"/>
  <c r="X17" i="29"/>
  <c r="X14" i="29"/>
  <c r="X16" i="29"/>
  <c r="V15" i="29"/>
  <c r="V17" i="29"/>
  <c r="V14" i="29"/>
  <c r="V16" i="29"/>
  <c r="Z43" i="6" l="1"/>
  <c r="F174" i="27"/>
  <c r="F150" i="27"/>
  <c r="F135" i="27"/>
  <c r="F120" i="27"/>
  <c r="F108" i="27"/>
  <c r="F97" i="27"/>
  <c r="F85" i="27"/>
  <c r="F67" i="27"/>
  <c r="F31" i="27"/>
  <c r="D137" i="27"/>
  <c r="E102" i="27"/>
  <c r="D97" i="27"/>
  <c r="E97" i="27"/>
  <c r="D93" i="27"/>
  <c r="D67" i="27"/>
  <c r="E67" i="27"/>
  <c r="D177" i="27"/>
  <c r="E177" i="27"/>
  <c r="D179" i="27"/>
  <c r="E179" i="27"/>
  <c r="D180" i="27"/>
  <c r="E180" i="27"/>
  <c r="D181" i="27"/>
  <c r="E181" i="27"/>
  <c r="D170" i="27"/>
  <c r="E170" i="27"/>
  <c r="D156" i="27"/>
  <c r="E156" i="27"/>
  <c r="D146" i="27"/>
  <c r="D131" i="27"/>
  <c r="D116" i="27"/>
  <c r="E116" i="27"/>
  <c r="D114" i="27"/>
  <c r="E114" i="27"/>
  <c r="D104" i="27"/>
  <c r="D101" i="27"/>
  <c r="D103" i="27" s="1"/>
  <c r="D92" i="27"/>
  <c r="D89" i="27"/>
  <c r="D79" i="27"/>
  <c r="D81" i="27" s="1"/>
  <c r="D72" i="27"/>
  <c r="D74" i="27" s="1"/>
  <c r="D42" i="27"/>
  <c r="D34" i="27"/>
  <c r="D23" i="27"/>
  <c r="D21" i="27"/>
  <c r="D13" i="27"/>
  <c r="D27" i="27" s="1"/>
  <c r="D174" i="27"/>
  <c r="E174" i="27"/>
  <c r="D150" i="27"/>
  <c r="E150" i="27"/>
  <c r="D135" i="27"/>
  <c r="E135" i="27"/>
  <c r="D120" i="27"/>
  <c r="E120" i="27"/>
  <c r="D108" i="27"/>
  <c r="E108" i="27"/>
  <c r="D85" i="27"/>
  <c r="E85" i="27"/>
  <c r="E31" i="27"/>
  <c r="E13" i="27"/>
  <c r="E25" i="27" s="1"/>
  <c r="E21" i="27"/>
  <c r="E23" i="27"/>
  <c r="E34" i="27"/>
  <c r="E42" i="27"/>
  <c r="E72" i="27"/>
  <c r="E74" i="27" s="1"/>
  <c r="E79" i="27"/>
  <c r="E81" i="27" s="1"/>
  <c r="E89" i="27"/>
  <c r="E92" i="27"/>
  <c r="E101" i="27"/>
  <c r="E103" i="27" s="1"/>
  <c r="E104" i="27"/>
  <c r="E131" i="27"/>
  <c r="E146" i="27"/>
  <c r="AA43" i="6" l="1"/>
  <c r="D44" i="27"/>
  <c r="E27" i="27"/>
  <c r="D25" i="27"/>
  <c r="E93" i="27"/>
  <c r="E44" i="27"/>
  <c r="AB43" i="6" l="1"/>
  <c r="AC43" i="6" l="1"/>
  <c r="J47" i="29"/>
  <c r="I47" i="29"/>
  <c r="H47" i="29"/>
  <c r="H48" i="29" s="1"/>
  <c r="AH54" i="29"/>
  <c r="AJ54" i="29"/>
  <c r="AK54" i="29"/>
  <c r="AL54" i="29"/>
  <c r="AM54" i="29"/>
  <c r="AN54" i="29"/>
  <c r="AO54" i="29"/>
  <c r="AP54" i="29"/>
  <c r="AQ54" i="29"/>
  <c r="AI54" i="29"/>
  <c r="AD43" i="6" l="1"/>
  <c r="AE43" i="6" l="1"/>
  <c r="AW61" i="12"/>
  <c r="AX61" i="12"/>
  <c r="AP61" i="12"/>
  <c r="AQ61" i="12"/>
  <c r="AR61" i="12"/>
  <c r="AS61" i="12"/>
  <c r="AT61" i="12"/>
  <c r="AU61" i="12"/>
  <c r="AV61" i="12"/>
  <c r="AF43" i="6" l="1"/>
  <c r="AQ8" i="10"/>
  <c r="AG43" i="6" l="1"/>
  <c r="E138" i="20"/>
  <c r="E144" i="20"/>
  <c r="E143" i="20"/>
  <c r="E142" i="20"/>
  <c r="E249" i="20" s="1"/>
  <c r="E250" i="20" s="1"/>
  <c r="N19" i="12"/>
  <c r="N116" i="12"/>
  <c r="N127" i="12"/>
  <c r="E159" i="20" s="1"/>
  <c r="N131" i="12"/>
  <c r="N134" i="12"/>
  <c r="N8" i="12"/>
  <c r="AH43" i="6" l="1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F22" i="13"/>
  <c r="T22" i="13"/>
  <c r="U22" i="13"/>
  <c r="V22" i="13"/>
  <c r="W22" i="13"/>
  <c r="X22" i="13"/>
  <c r="Y22" i="13"/>
  <c r="Z22" i="13"/>
  <c r="AA22" i="13"/>
  <c r="AB22" i="13"/>
  <c r="AC22" i="13"/>
  <c r="AD22" i="13"/>
  <c r="S22" i="13"/>
  <c r="N22" i="13"/>
  <c r="O22" i="13"/>
  <c r="P22" i="13"/>
  <c r="Q22" i="13"/>
  <c r="G22" i="13"/>
  <c r="H22" i="13"/>
  <c r="I22" i="13"/>
  <c r="J22" i="13"/>
  <c r="K22" i="13"/>
  <c r="L22" i="13"/>
  <c r="M22" i="13"/>
  <c r="P12" i="12"/>
  <c r="AY55" i="12"/>
  <c r="AI43" i="6" l="1"/>
  <c r="D30" i="13"/>
  <c r="F21" i="13"/>
  <c r="P134" i="12"/>
  <c r="AJ43" i="6" l="1"/>
  <c r="F30" i="13"/>
  <c r="G30" i="13" s="1"/>
  <c r="H30" i="13" s="1"/>
  <c r="I30" i="13" s="1"/>
  <c r="J30" i="13" s="1"/>
  <c r="K30" i="13" s="1"/>
  <c r="L30" i="13" s="1"/>
  <c r="M30" i="13" s="1"/>
  <c r="G21" i="13"/>
  <c r="AK43" i="6" l="1"/>
  <c r="AB24" i="12"/>
  <c r="AB31" i="12"/>
  <c r="H21" i="13"/>
  <c r="P22" i="12"/>
  <c r="AM43" i="6" l="1"/>
  <c r="I21" i="13"/>
  <c r="AN101" i="8"/>
  <c r="AN100" i="8"/>
  <c r="AN99" i="8"/>
  <c r="AN43" i="6" l="1"/>
  <c r="J21" i="13"/>
  <c r="AO43" i="6" l="1"/>
  <c r="AP43" i="6" s="1"/>
  <c r="AQ43" i="6" s="1"/>
  <c r="AR43" i="6" s="1"/>
  <c r="AS43" i="6" s="1"/>
  <c r="AT43" i="6" s="1"/>
  <c r="AU43" i="6" s="1"/>
  <c r="AV43" i="6" s="1"/>
  <c r="AW43" i="6" s="1"/>
  <c r="K21" i="13"/>
  <c r="L21" i="13" l="1"/>
  <c r="AN3" i="3" l="1"/>
  <c r="AO3" i="3"/>
  <c r="AP3" i="3"/>
  <c r="AQ3" i="3"/>
  <c r="AR3" i="3"/>
  <c r="AS3" i="3"/>
  <c r="AT3" i="3"/>
  <c r="AU3" i="3"/>
  <c r="AV3" i="3"/>
  <c r="AW3" i="3"/>
  <c r="AM3" i="3"/>
  <c r="AI2" i="20" l="1"/>
  <c r="AJ2" i="20" s="1"/>
  <c r="AK2" i="20" s="1"/>
  <c r="AL2" i="20" s="1"/>
  <c r="AM2" i="20" s="1"/>
  <c r="AN2" i="20" s="1"/>
  <c r="AO2" i="20" s="1"/>
  <c r="AP2" i="20" s="1"/>
  <c r="AQ2" i="20" s="1"/>
  <c r="AH2" i="20"/>
  <c r="AP558" i="9" l="1"/>
  <c r="AO558" i="9"/>
  <c r="AC558" i="9"/>
  <c r="AD558" i="9"/>
  <c r="AE558" i="9"/>
  <c r="AF558" i="9"/>
  <c r="AG558" i="9"/>
  <c r="AH558" i="9"/>
  <c r="AI558" i="9"/>
  <c r="AJ558" i="9"/>
  <c r="AK558" i="9"/>
  <c r="AL558" i="9"/>
  <c r="AM558" i="9"/>
  <c r="AB558" i="9"/>
  <c r="AN558" i="9" s="1"/>
  <c r="P558" i="9"/>
  <c r="Q558" i="9"/>
  <c r="R558" i="9"/>
  <c r="S558" i="9"/>
  <c r="T558" i="9"/>
  <c r="U558" i="9"/>
  <c r="V558" i="9"/>
  <c r="W558" i="9"/>
  <c r="X558" i="9"/>
  <c r="Y558" i="9"/>
  <c r="Z558" i="9"/>
  <c r="O558" i="9"/>
  <c r="AA558" i="9" s="1"/>
  <c r="E4" i="32" l="1"/>
  <c r="D4" i="32"/>
  <c r="C4" i="32"/>
  <c r="B4" i="32"/>
  <c r="E340" i="20" l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5" i="27"/>
  <c r="AA4" i="9" l="1"/>
  <c r="AN4" i="9"/>
  <c r="F4" i="27" l="1"/>
  <c r="AL561" i="17" l="1"/>
  <c r="K571" i="17"/>
  <c r="J571" i="17"/>
  <c r="I571" i="17"/>
  <c r="H571" i="17"/>
  <c r="G571" i="17"/>
  <c r="F571" i="17"/>
  <c r="E571" i="17"/>
  <c r="G139" i="20"/>
  <c r="H139" i="20" s="1"/>
  <c r="I139" i="20" s="1"/>
  <c r="J139" i="20" s="1"/>
  <c r="K139" i="20" s="1"/>
  <c r="AD407" i="20"/>
  <c r="AC407" i="20"/>
  <c r="AA407" i="20"/>
  <c r="Z407" i="20"/>
  <c r="X407" i="20"/>
  <c r="W407" i="20"/>
  <c r="U407" i="20"/>
  <c r="T407" i="20"/>
  <c r="H407" i="20"/>
  <c r="J407" i="20"/>
  <c r="K407" i="20"/>
  <c r="M407" i="20"/>
  <c r="N407" i="20"/>
  <c r="P407" i="20"/>
  <c r="Q407" i="20"/>
  <c r="G407" i="20"/>
  <c r="AD405" i="20"/>
  <c r="AC405" i="20"/>
  <c r="AA405" i="20"/>
  <c r="Z405" i="20"/>
  <c r="X405" i="20"/>
  <c r="W405" i="20"/>
  <c r="U405" i="20"/>
  <c r="T405" i="20"/>
  <c r="H405" i="20"/>
  <c r="I405" i="20"/>
  <c r="J405" i="20"/>
  <c r="K405" i="20"/>
  <c r="M405" i="20"/>
  <c r="N405" i="20"/>
  <c r="P405" i="20"/>
  <c r="Q405" i="20"/>
  <c r="G405" i="20"/>
  <c r="H404" i="20"/>
  <c r="I404" i="20"/>
  <c r="J404" i="20"/>
  <c r="K404" i="20"/>
  <c r="L404" i="20"/>
  <c r="G404" i="20"/>
  <c r="S404" i="20" s="1"/>
  <c r="AZ33" i="13"/>
  <c r="BA33" i="13"/>
  <c r="BB33" i="13"/>
  <c r="BC33" i="13"/>
  <c r="BD33" i="13"/>
  <c r="BE33" i="13"/>
  <c r="BF33" i="13"/>
  <c r="BG33" i="13"/>
  <c r="BH33" i="13"/>
  <c r="BI33" i="13"/>
  <c r="BJ33" i="13"/>
  <c r="AZ32" i="13"/>
  <c r="BA32" i="13"/>
  <c r="BB32" i="13"/>
  <c r="BC32" i="13"/>
  <c r="BD32" i="13"/>
  <c r="BE32" i="13"/>
  <c r="BF32" i="13"/>
  <c r="BG32" i="13"/>
  <c r="BH32" i="13"/>
  <c r="BI32" i="13"/>
  <c r="BJ32" i="13"/>
  <c r="AY33" i="13"/>
  <c r="AW33" i="13"/>
  <c r="AU33" i="13"/>
  <c r="AS33" i="13"/>
  <c r="AQ33" i="13"/>
  <c r="AO33" i="13"/>
  <c r="AM33" i="13"/>
  <c r="AK33" i="13"/>
  <c r="AI33" i="13"/>
  <c r="AH405" i="20"/>
  <c r="AE405" i="20"/>
  <c r="AB405" i="20"/>
  <c r="Y405" i="20"/>
  <c r="V405" i="20"/>
  <c r="R405" i="20"/>
  <c r="O405" i="20"/>
  <c r="AZ25" i="13"/>
  <c r="BA25" i="13"/>
  <c r="BB25" i="13"/>
  <c r="BC25" i="13"/>
  <c r="BD25" i="13"/>
  <c r="BE25" i="13"/>
  <c r="BF25" i="13"/>
  <c r="BG25" i="13"/>
  <c r="BH25" i="13"/>
  <c r="BI25" i="13"/>
  <c r="BJ25" i="13"/>
  <c r="N30" i="13"/>
  <c r="T406" i="20" l="1"/>
  <c r="Z406" i="20"/>
  <c r="M406" i="20"/>
  <c r="H406" i="20"/>
  <c r="Q406" i="20"/>
  <c r="N406" i="20"/>
  <c r="K406" i="20"/>
  <c r="W406" i="20"/>
  <c r="AC406" i="20"/>
  <c r="P406" i="20"/>
  <c r="J406" i="20"/>
  <c r="U406" i="20"/>
  <c r="X406" i="20"/>
  <c r="AA406" i="20"/>
  <c r="AD406" i="20"/>
  <c r="D571" i="17"/>
  <c r="L571" i="17" s="1"/>
  <c r="L139" i="20"/>
  <c r="M139" i="20" s="1"/>
  <c r="N139" i="20" s="1"/>
  <c r="AG405" i="20"/>
  <c r="AI405" i="20"/>
  <c r="AK405" i="20"/>
  <c r="AM405" i="20"/>
  <c r="AO405" i="20"/>
  <c r="AQ405" i="20"/>
  <c r="O30" i="13"/>
  <c r="P30" i="13" s="1"/>
  <c r="Q30" i="13" s="1"/>
  <c r="AG33" i="13"/>
  <c r="AF405" i="20"/>
  <c r="L405" i="20"/>
  <c r="AJ405" i="20"/>
  <c r="AL405" i="20"/>
  <c r="AN405" i="20"/>
  <c r="AP405" i="20"/>
  <c r="AX33" i="13"/>
  <c r="AV33" i="13"/>
  <c r="AT33" i="13"/>
  <c r="AR33" i="13"/>
  <c r="AP33" i="13"/>
  <c r="AN33" i="13"/>
  <c r="AL33" i="13"/>
  <c r="AJ33" i="13"/>
  <c r="AH33" i="13"/>
  <c r="G406" i="20"/>
  <c r="O139" i="20" l="1"/>
  <c r="P139" i="20" s="1"/>
  <c r="Q139" i="20" s="1"/>
  <c r="R139" i="20" s="1"/>
  <c r="T139" i="20" s="1"/>
  <c r="U139" i="20" s="1"/>
  <c r="V139" i="20" s="1"/>
  <c r="W139" i="20" s="1"/>
  <c r="X139" i="20" s="1"/>
  <c r="Y139" i="20" s="1"/>
  <c r="Z139" i="20" s="1"/>
  <c r="AA139" i="20" s="1"/>
  <c r="AB139" i="20" s="1"/>
  <c r="AC139" i="20" s="1"/>
  <c r="AD139" i="20" s="1"/>
  <c r="AE139" i="20" s="1"/>
  <c r="AG139" i="20" s="1"/>
  <c r="S30" i="13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AF30" i="13" s="1"/>
  <c r="AG30" i="13" s="1"/>
  <c r="AH30" i="13" s="1"/>
  <c r="AI30" i="13" s="1"/>
  <c r="AJ30" i="13" s="1"/>
  <c r="AK30" i="13" s="1"/>
  <c r="AL30" i="13" s="1"/>
  <c r="AM30" i="13" s="1"/>
  <c r="AN30" i="13" s="1"/>
  <c r="AO30" i="13" s="1"/>
  <c r="AP30" i="13" s="1"/>
  <c r="AQ30" i="13" s="1"/>
  <c r="AR30" i="13" s="1"/>
  <c r="AS30" i="13" s="1"/>
  <c r="AT30" i="13" s="1"/>
  <c r="AU30" i="13" s="1"/>
  <c r="AV30" i="13" s="1"/>
  <c r="AW30" i="13" s="1"/>
  <c r="AX30" i="13" s="1"/>
  <c r="AY30" i="13" s="1"/>
  <c r="AZ30" i="13" s="1"/>
  <c r="BA30" i="13" s="1"/>
  <c r="BB30" i="13" s="1"/>
  <c r="BC30" i="13" s="1"/>
  <c r="BD30" i="13" s="1"/>
  <c r="BE30" i="13" s="1"/>
  <c r="BF30" i="13" s="1"/>
  <c r="BG30" i="13" s="1"/>
  <c r="BH30" i="13" s="1"/>
  <c r="BI30" i="13" s="1"/>
  <c r="BJ30" i="13" s="1"/>
  <c r="S405" i="20"/>
  <c r="M21" i="13"/>
  <c r="M404" i="20"/>
  <c r="AH139" i="20" l="1"/>
  <c r="I109" i="27"/>
  <c r="N21" i="13"/>
  <c r="N404" i="20"/>
  <c r="AI139" i="20" l="1"/>
  <c r="J109" i="27"/>
  <c r="O21" i="13"/>
  <c r="O404" i="20"/>
  <c r="AJ139" i="20" l="1"/>
  <c r="K109" i="27"/>
  <c r="P21" i="13"/>
  <c r="P404" i="20"/>
  <c r="AK139" i="20" l="1"/>
  <c r="L109" i="27"/>
  <c r="Q21" i="13"/>
  <c r="Q404" i="20"/>
  <c r="AL139" i="20" l="1"/>
  <c r="M109" i="27"/>
  <c r="S21" i="13"/>
  <c r="R404" i="20"/>
  <c r="AM139" i="20" l="1"/>
  <c r="N109" i="27"/>
  <c r="T21" i="13"/>
  <c r="T404" i="20"/>
  <c r="AN139" i="20" l="1"/>
  <c r="O109" i="27"/>
  <c r="AF404" i="20"/>
  <c r="U21" i="13"/>
  <c r="U404" i="20"/>
  <c r="AO139" i="20" l="1"/>
  <c r="P109" i="27"/>
  <c r="V21" i="13"/>
  <c r="V404" i="20"/>
  <c r="AP139" i="20" l="1"/>
  <c r="Q109" i="27"/>
  <c r="W21" i="13"/>
  <c r="W404" i="20"/>
  <c r="AQ139" i="20" l="1"/>
  <c r="R109" i="27"/>
  <c r="X21" i="13"/>
  <c r="X404" i="20"/>
  <c r="S109" i="27" l="1"/>
  <c r="Y21" i="13"/>
  <c r="Y404" i="20"/>
  <c r="Z21" i="13" l="1"/>
  <c r="Z404" i="20"/>
  <c r="AA21" i="13" l="1"/>
  <c r="AA404" i="20"/>
  <c r="AB21" i="13" l="1"/>
  <c r="AB404" i="20"/>
  <c r="AC21" i="13" l="1"/>
  <c r="AC404" i="20"/>
  <c r="AD21" i="13" l="1"/>
  <c r="AD404" i="20"/>
  <c r="AF21" i="13" l="1"/>
  <c r="AE404" i="20"/>
  <c r="AG21" i="13" l="1"/>
  <c r="AG404" i="20"/>
  <c r="AH21" i="13" l="1"/>
  <c r="AH404" i="20"/>
  <c r="AI21" i="13" l="1"/>
  <c r="AI404" i="20"/>
  <c r="AJ21" i="13" l="1"/>
  <c r="AJ404" i="20"/>
  <c r="AK21" i="13" l="1"/>
  <c r="AK404" i="20"/>
  <c r="AL21" i="13" l="1"/>
  <c r="AL404" i="20"/>
  <c r="AM21" i="13" l="1"/>
  <c r="AM404" i="20"/>
  <c r="AN21" i="13" l="1"/>
  <c r="AN404" i="20"/>
  <c r="AO21" i="13" l="1"/>
  <c r="AO404" i="20"/>
  <c r="AP21" i="13" l="1"/>
  <c r="AP404" i="20"/>
  <c r="AQ21" i="13" l="1"/>
  <c r="AQ404" i="20"/>
  <c r="AR21" i="13" l="1"/>
  <c r="AS21" i="13" l="1"/>
  <c r="AT21" i="13" l="1"/>
  <c r="AU21" i="13" l="1"/>
  <c r="AV21" i="13" l="1"/>
  <c r="AW21" i="13" l="1"/>
  <c r="AX21" i="13" l="1"/>
  <c r="AY21" i="13" l="1"/>
  <c r="AZ21" i="13" l="1"/>
  <c r="BA21" i="13" s="1"/>
  <c r="BB21" i="13" s="1"/>
  <c r="BC21" i="13" s="1"/>
  <c r="BD21" i="13" s="1"/>
  <c r="BE21" i="13" s="1"/>
  <c r="BF21" i="13" s="1"/>
  <c r="BG21" i="13" s="1"/>
  <c r="BH21" i="13" s="1"/>
  <c r="BI21" i="13" s="1"/>
  <c r="BJ21" i="13" s="1"/>
  <c r="AO24" i="12" l="1"/>
  <c r="BH26" i="12"/>
  <c r="Q30" i="12" l="1"/>
  <c r="AK49" i="29"/>
  <c r="AL49" i="29" s="1"/>
  <c r="AM49" i="29" s="1"/>
  <c r="AN49" i="29" s="1"/>
  <c r="AO49" i="29" s="1"/>
  <c r="AP49" i="29" s="1"/>
  <c r="AQ49" i="29" s="1"/>
  <c r="G61" i="29" l="1"/>
  <c r="H61" i="29"/>
  <c r="I61" i="29"/>
  <c r="J61" i="29"/>
  <c r="K61" i="29"/>
  <c r="L61" i="29"/>
  <c r="M61" i="29"/>
  <c r="N61" i="29"/>
  <c r="O61" i="29"/>
  <c r="P61" i="29"/>
  <c r="Q61" i="29"/>
  <c r="R61" i="29"/>
  <c r="AH61" i="29"/>
  <c r="AI61" i="29"/>
  <c r="AJ61" i="29"/>
  <c r="AK61" i="29"/>
  <c r="AL61" i="29"/>
  <c r="AM61" i="29"/>
  <c r="AN61" i="29"/>
  <c r="AO61" i="29"/>
  <c r="AP61" i="29"/>
  <c r="AQ61" i="29"/>
  <c r="AG61" i="29"/>
  <c r="U61" i="29"/>
  <c r="V61" i="29"/>
  <c r="W61" i="29"/>
  <c r="X61" i="29"/>
  <c r="Y61" i="29"/>
  <c r="Z61" i="29"/>
  <c r="AA61" i="29"/>
  <c r="AB61" i="29"/>
  <c r="AC61" i="29"/>
  <c r="AD61" i="29"/>
  <c r="AE61" i="29"/>
  <c r="T61" i="29"/>
  <c r="N561" i="6"/>
  <c r="T561" i="21" s="1"/>
  <c r="O561" i="6"/>
  <c r="U561" i="21" s="1"/>
  <c r="P561" i="6"/>
  <c r="V561" i="21" s="1"/>
  <c r="Q561" i="6"/>
  <c r="W561" i="21" s="1"/>
  <c r="R561" i="6"/>
  <c r="X561" i="21" s="1"/>
  <c r="S561" i="6"/>
  <c r="Y561" i="21" s="1"/>
  <c r="T561" i="6"/>
  <c r="Z561" i="21" s="1"/>
  <c r="U561" i="6"/>
  <c r="V561" i="6"/>
  <c r="AB561" i="21" s="1"/>
  <c r="W561" i="6"/>
  <c r="AC561" i="21" s="1"/>
  <c r="X561" i="6"/>
  <c r="AD561" i="21" s="1"/>
  <c r="M561" i="6"/>
  <c r="S561" i="21" s="1"/>
  <c r="N38" i="6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AJ38" i="6" s="1"/>
  <c r="AK38" i="6" s="1"/>
  <c r="AM38" i="6" s="1"/>
  <c r="AN38" i="6" s="1"/>
  <c r="AO38" i="6" s="1"/>
  <c r="AP38" i="6" s="1"/>
  <c r="AQ38" i="6" s="1"/>
  <c r="AR38" i="6" s="1"/>
  <c r="AS38" i="6" s="1"/>
  <c r="AT38" i="6" s="1"/>
  <c r="AU38" i="6" s="1"/>
  <c r="AV38" i="6" s="1"/>
  <c r="AW38" i="6" s="1"/>
  <c r="AN561" i="6"/>
  <c r="AT561" i="21" s="1"/>
  <c r="AO561" i="6"/>
  <c r="AU561" i="21" s="1"/>
  <c r="AP561" i="6"/>
  <c r="AV561" i="21" s="1"/>
  <c r="AQ561" i="6"/>
  <c r="AW561" i="21" s="1"/>
  <c r="AR561" i="6"/>
  <c r="AX561" i="21" s="1"/>
  <c r="AS561" i="6"/>
  <c r="AY561" i="21" s="1"/>
  <c r="AT561" i="6"/>
  <c r="AZ561" i="21" s="1"/>
  <c r="AU561" i="6"/>
  <c r="BA561" i="21" s="1"/>
  <c r="AV561" i="6"/>
  <c r="BB561" i="21" s="1"/>
  <c r="AW561" i="6"/>
  <c r="BC561" i="21" s="1"/>
  <c r="AM561" i="6"/>
  <c r="AS561" i="21" s="1"/>
  <c r="AA561" i="6"/>
  <c r="AG561" i="21" s="1"/>
  <c r="AB561" i="6"/>
  <c r="AH561" i="21" s="1"/>
  <c r="AC561" i="6"/>
  <c r="AI561" i="21" s="1"/>
  <c r="AD561" i="6"/>
  <c r="AJ561" i="21" s="1"/>
  <c r="AE561" i="6"/>
  <c r="AK561" i="21" s="1"/>
  <c r="AF561" i="6"/>
  <c r="AL561" i="21" s="1"/>
  <c r="AG561" i="6"/>
  <c r="AM561" i="21" s="1"/>
  <c r="AH561" i="6"/>
  <c r="AN561" i="21" s="1"/>
  <c r="AI561" i="6"/>
  <c r="AO561" i="21" s="1"/>
  <c r="AJ561" i="6"/>
  <c r="AP561" i="21" s="1"/>
  <c r="AK561" i="6"/>
  <c r="AQ561" i="21" s="1"/>
  <c r="Z561" i="6"/>
  <c r="AF561" i="21" s="1"/>
  <c r="AA561" i="21" l="1"/>
  <c r="Y561" i="6"/>
  <c r="AF61" i="29"/>
  <c r="S61" i="29"/>
  <c r="AL561" i="6"/>
  <c r="AL37" i="6"/>
  <c r="Y37" i="6"/>
  <c r="AO11" i="12" l="1"/>
  <c r="AC12" i="12"/>
  <c r="AN21" i="3" l="1"/>
  <c r="AO21" i="3"/>
  <c r="AP21" i="3"/>
  <c r="AQ21" i="3"/>
  <c r="AR21" i="3"/>
  <c r="AS21" i="3"/>
  <c r="AT21" i="3"/>
  <c r="AU21" i="3"/>
  <c r="AV21" i="3"/>
  <c r="AW21" i="3"/>
  <c r="AM21" i="3"/>
  <c r="AL21" i="3" l="1"/>
  <c r="AL20" i="3"/>
  <c r="Y21" i="3"/>
  <c r="Y20" i="3"/>
  <c r="AW83" i="3" l="1"/>
  <c r="AV83" i="3"/>
  <c r="AU83" i="3"/>
  <c r="AT83" i="3"/>
  <c r="AS83" i="3"/>
  <c r="AR83" i="3"/>
  <c r="AQ83" i="3"/>
  <c r="AP83" i="3"/>
  <c r="AO83" i="3"/>
  <c r="AO72" i="8"/>
  <c r="AN72" i="8"/>
  <c r="AX151" i="8"/>
  <c r="AW151" i="8"/>
  <c r="AV151" i="8"/>
  <c r="AU151" i="8"/>
  <c r="AT151" i="8"/>
  <c r="AS151" i="8"/>
  <c r="AR151" i="8"/>
  <c r="AQ151" i="8"/>
  <c r="AP151" i="8"/>
  <c r="AF59" i="29" l="1"/>
  <c r="S59" i="29"/>
  <c r="AF21" i="28"/>
  <c r="E12" i="20" l="1"/>
  <c r="S21" i="28"/>
  <c r="S30" i="29" l="1"/>
  <c r="S31" i="29"/>
  <c r="S32" i="29"/>
  <c r="S33" i="29"/>
  <c r="S34" i="29"/>
  <c r="S22" i="29"/>
  <c r="S23" i="29"/>
  <c r="S24" i="29"/>
  <c r="S25" i="29"/>
  <c r="S26" i="29"/>
  <c r="S9" i="29"/>
  <c r="S7" i="29"/>
  <c r="S6" i="29"/>
  <c r="S8" i="29"/>
  <c r="S10" i="29"/>
  <c r="G27" i="29"/>
  <c r="H27" i="29" s="1"/>
  <c r="I27" i="29" s="1"/>
  <c r="J27" i="29" s="1"/>
  <c r="K27" i="29" s="1"/>
  <c r="L27" i="29" s="1"/>
  <c r="M27" i="29" s="1"/>
  <c r="N27" i="29" s="1"/>
  <c r="O27" i="29" s="1"/>
  <c r="P27" i="29" s="1"/>
  <c r="Q27" i="29" s="1"/>
  <c r="T3" i="29"/>
  <c r="T11" i="29"/>
  <c r="U3" i="29"/>
  <c r="U11" i="29"/>
  <c r="V3" i="29"/>
  <c r="V11" i="29"/>
  <c r="W3" i="29"/>
  <c r="W11" i="29"/>
  <c r="X3" i="29"/>
  <c r="X11" i="29"/>
  <c r="Y3" i="29"/>
  <c r="Y11" i="29"/>
  <c r="Z3" i="29"/>
  <c r="Z11" i="29"/>
  <c r="AA3" i="29"/>
  <c r="AA11" i="29"/>
  <c r="AB3" i="29"/>
  <c r="AB11" i="29"/>
  <c r="AC3" i="29"/>
  <c r="AC11" i="29"/>
  <c r="AD3" i="29"/>
  <c r="AD11" i="29"/>
  <c r="AE3" i="29"/>
  <c r="AF8" i="29"/>
  <c r="AF9" i="29"/>
  <c r="AF10" i="29"/>
  <c r="AG11" i="29"/>
  <c r="AH11" i="29"/>
  <c r="AI11" i="29"/>
  <c r="G11" i="29"/>
  <c r="H11" i="29"/>
  <c r="I11" i="29"/>
  <c r="J11" i="29"/>
  <c r="K11" i="29"/>
  <c r="L11" i="29"/>
  <c r="M11" i="29"/>
  <c r="N11" i="29"/>
  <c r="O11" i="29"/>
  <c r="P11" i="29"/>
  <c r="Q11" i="29"/>
  <c r="R3" i="29"/>
  <c r="S14" i="29"/>
  <c r="AA30" i="29" s="1"/>
  <c r="S15" i="29"/>
  <c r="AA31" i="29" s="1"/>
  <c r="S16" i="29"/>
  <c r="AA32" i="29" s="1"/>
  <c r="S17" i="29"/>
  <c r="AA33" i="29" s="1"/>
  <c r="S18" i="29"/>
  <c r="G35" i="29"/>
  <c r="H35" i="29" s="1"/>
  <c r="I35" i="29" s="1"/>
  <c r="J35" i="29" s="1"/>
  <c r="K35" i="29" s="1"/>
  <c r="L35" i="29" s="1"/>
  <c r="M35" i="29" s="1"/>
  <c r="N35" i="29" s="1"/>
  <c r="O35" i="29" s="1"/>
  <c r="P35" i="29" s="1"/>
  <c r="Q35" i="29" s="1"/>
  <c r="T19" i="29"/>
  <c r="U19" i="29"/>
  <c r="V19" i="29"/>
  <c r="W19" i="29"/>
  <c r="X19" i="29"/>
  <c r="Y19" i="29"/>
  <c r="Z19" i="29"/>
  <c r="AA19" i="29"/>
  <c r="AB19" i="29"/>
  <c r="AC19" i="29"/>
  <c r="AD19" i="29"/>
  <c r="AF14" i="29"/>
  <c r="AF15" i="29"/>
  <c r="AF16" i="29"/>
  <c r="AF17" i="29"/>
  <c r="AF18" i="29"/>
  <c r="AG19" i="29"/>
  <c r="AH19" i="29"/>
  <c r="AI19" i="29"/>
  <c r="G19" i="29"/>
  <c r="H19" i="29"/>
  <c r="I19" i="29"/>
  <c r="J19" i="29"/>
  <c r="K19" i="29"/>
  <c r="L19" i="29"/>
  <c r="M19" i="29"/>
  <c r="N19" i="29"/>
  <c r="O19" i="29"/>
  <c r="P19" i="29"/>
  <c r="Q19" i="29"/>
  <c r="AH4" i="29"/>
  <c r="AJ19" i="29"/>
  <c r="AK19" i="29"/>
  <c r="AL19" i="29"/>
  <c r="AM19" i="29"/>
  <c r="AN19" i="29"/>
  <c r="AO19" i="29"/>
  <c r="AP19" i="29"/>
  <c r="AQ19" i="29"/>
  <c r="AJ11" i="29"/>
  <c r="AK11" i="29"/>
  <c r="AL11" i="29"/>
  <c r="AM11" i="29"/>
  <c r="AN11" i="29"/>
  <c r="AO11" i="29"/>
  <c r="AP11" i="29"/>
  <c r="AQ11" i="29"/>
  <c r="H3" i="29"/>
  <c r="I3" i="29"/>
  <c r="J3" i="29"/>
  <c r="K3" i="29"/>
  <c r="L3" i="29"/>
  <c r="M3" i="29"/>
  <c r="N3" i="29"/>
  <c r="O3" i="29"/>
  <c r="P3" i="29"/>
  <c r="Q3" i="29"/>
  <c r="G3" i="29"/>
  <c r="AE19" i="29"/>
  <c r="R19" i="29"/>
  <c r="AF30" i="29"/>
  <c r="AF31" i="29"/>
  <c r="AF32" i="29"/>
  <c r="AF33" i="29"/>
  <c r="AF34" i="29"/>
  <c r="AF22" i="29"/>
  <c r="AF23" i="29"/>
  <c r="AF24" i="29"/>
  <c r="AF26" i="29"/>
  <c r="R11" i="29"/>
  <c r="AE11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AE1" i="29"/>
  <c r="AD1" i="29"/>
  <c r="AC1" i="29"/>
  <c r="AB1" i="29"/>
  <c r="AA1" i="29"/>
  <c r="Z1" i="29"/>
  <c r="Y1" i="29"/>
  <c r="X1" i="29"/>
  <c r="W1" i="29"/>
  <c r="V1" i="29"/>
  <c r="U1" i="29"/>
  <c r="T1" i="29"/>
  <c r="R1" i="29"/>
  <c r="Q1" i="29"/>
  <c r="P1" i="29"/>
  <c r="O1" i="29"/>
  <c r="N1" i="29"/>
  <c r="M1" i="29"/>
  <c r="L1" i="29"/>
  <c r="K1" i="29"/>
  <c r="J1" i="29"/>
  <c r="I1" i="29"/>
  <c r="H1" i="29"/>
  <c r="G1" i="29"/>
  <c r="AQ391" i="20"/>
  <c r="AP40" i="12"/>
  <c r="AP163" i="12" s="1"/>
  <c r="AP460" i="12" s="1"/>
  <c r="P37" i="12"/>
  <c r="Q37" i="12" s="1"/>
  <c r="R37" i="12" s="1"/>
  <c r="S37" i="12" s="1"/>
  <c r="T37" i="12" s="1"/>
  <c r="U37" i="12" s="1"/>
  <c r="V37" i="12" s="1"/>
  <c r="W37" i="12" s="1"/>
  <c r="X37" i="12" s="1"/>
  <c r="Y37" i="12" s="1"/>
  <c r="Z37" i="12" s="1"/>
  <c r="AA37" i="12" s="1"/>
  <c r="AC37" i="12" s="1"/>
  <c r="AD37" i="12" s="1"/>
  <c r="AE37" i="12" s="1"/>
  <c r="AF37" i="12" s="1"/>
  <c r="AG37" i="12" s="1"/>
  <c r="AH37" i="12" s="1"/>
  <c r="AI37" i="12" s="1"/>
  <c r="AJ37" i="12" s="1"/>
  <c r="AK37" i="12" s="1"/>
  <c r="AL37" i="12" s="1"/>
  <c r="AM37" i="12" s="1"/>
  <c r="AN37" i="12" s="1"/>
  <c r="AP37" i="12" s="1"/>
  <c r="AQ37" i="12" s="1"/>
  <c r="AQ40" i="12" s="1"/>
  <c r="AQ163" i="12" s="1"/>
  <c r="AQ460" i="12" s="1"/>
  <c r="AO125" i="12"/>
  <c r="AO126" i="12"/>
  <c r="E106" i="20"/>
  <c r="E88" i="20"/>
  <c r="E73" i="20"/>
  <c r="E79" i="20" s="1"/>
  <c r="E62" i="20"/>
  <c r="E61" i="20"/>
  <c r="E60" i="20"/>
  <c r="E57" i="20"/>
  <c r="E63" i="20"/>
  <c r="E65" i="20"/>
  <c r="E66" i="20"/>
  <c r="E67" i="20"/>
  <c r="E51" i="20"/>
  <c r="E54" i="20" s="1"/>
  <c r="E33" i="20"/>
  <c r="M10" i="19"/>
  <c r="M9" i="19"/>
  <c r="P53" i="12"/>
  <c r="Q53" i="12" s="1"/>
  <c r="O32" i="10"/>
  <c r="O26" i="10"/>
  <c r="G222" i="20" s="1"/>
  <c r="P26" i="10"/>
  <c r="Q26" i="10"/>
  <c r="R26" i="10"/>
  <c r="S26" i="10"/>
  <c r="K222" i="20" s="1"/>
  <c r="T26" i="10"/>
  <c r="U26" i="10"/>
  <c r="M222" i="20" s="1"/>
  <c r="V26" i="10"/>
  <c r="W26" i="10"/>
  <c r="O222" i="20" s="1"/>
  <c r="X26" i="10"/>
  <c r="Y26" i="10"/>
  <c r="Q222" i="20" s="1"/>
  <c r="Z26" i="10"/>
  <c r="AB26" i="10"/>
  <c r="T222" i="20" s="1"/>
  <c r="AC26" i="10"/>
  <c r="AD26" i="10"/>
  <c r="AE26" i="10"/>
  <c r="AF26" i="10"/>
  <c r="X222" i="20" s="1"/>
  <c r="AG26" i="10"/>
  <c r="AH26" i="10"/>
  <c r="Z222" i="20" s="1"/>
  <c r="AI26" i="10"/>
  <c r="AJ26" i="10"/>
  <c r="AB222" i="20" s="1"/>
  <c r="AK26" i="10"/>
  <c r="AL26" i="10"/>
  <c r="AM26" i="10"/>
  <c r="AO26" i="10"/>
  <c r="AG222" i="20" s="1"/>
  <c r="AP26" i="10"/>
  <c r="AH222" i="20" s="1"/>
  <c r="P5" i="12"/>
  <c r="P161" i="12"/>
  <c r="P458" i="12" s="1"/>
  <c r="S458" i="21" s="1"/>
  <c r="Q5" i="12"/>
  <c r="R5" i="12"/>
  <c r="S5" i="12"/>
  <c r="T5" i="12"/>
  <c r="U5" i="12"/>
  <c r="V5" i="12"/>
  <c r="W5" i="12"/>
  <c r="X5" i="12"/>
  <c r="Y5" i="12"/>
  <c r="Z5" i="12"/>
  <c r="AA5" i="12"/>
  <c r="Z434" i="10"/>
  <c r="AD434" i="21" s="1"/>
  <c r="M4" i="17"/>
  <c r="N4" i="17"/>
  <c r="O4" i="17"/>
  <c r="P4" i="17"/>
  <c r="Q4" i="17"/>
  <c r="R4" i="17"/>
  <c r="S4" i="17"/>
  <c r="T4" i="17"/>
  <c r="U4" i="17"/>
  <c r="V4" i="17"/>
  <c r="W4" i="17"/>
  <c r="X4" i="17"/>
  <c r="Y22" i="18"/>
  <c r="X22" i="18" s="1"/>
  <c r="W22" i="18" s="1"/>
  <c r="V22" i="18" s="1"/>
  <c r="U22" i="18" s="1"/>
  <c r="T22" i="18" s="1"/>
  <c r="S22" i="18" s="1"/>
  <c r="R22" i="18" s="1"/>
  <c r="Q22" i="18" s="1"/>
  <c r="P22" i="18" s="1"/>
  <c r="O22" i="18" s="1"/>
  <c r="N22" i="18" s="1"/>
  <c r="Y39" i="18"/>
  <c r="X39" i="18" s="1"/>
  <c r="W39" i="18" s="1"/>
  <c r="V39" i="18" s="1"/>
  <c r="U39" i="18" s="1"/>
  <c r="T39" i="18" s="1"/>
  <c r="S39" i="18" s="1"/>
  <c r="R39" i="18" s="1"/>
  <c r="Q39" i="18" s="1"/>
  <c r="P39" i="18" s="1"/>
  <c r="O39" i="18" s="1"/>
  <c r="N39" i="18" s="1"/>
  <c r="G199" i="20"/>
  <c r="G152" i="20"/>
  <c r="G141" i="20"/>
  <c r="G185" i="20"/>
  <c r="G178" i="20"/>
  <c r="H178" i="20" s="1"/>
  <c r="G156" i="20"/>
  <c r="G256" i="20" s="1"/>
  <c r="G378" i="20"/>
  <c r="G360" i="20"/>
  <c r="G366" i="20"/>
  <c r="G372" i="20"/>
  <c r="G391" i="20"/>
  <c r="G398" i="20"/>
  <c r="G380" i="20"/>
  <c r="G362" i="20"/>
  <c r="G368" i="20"/>
  <c r="G374" i="20"/>
  <c r="G373" i="20" s="1"/>
  <c r="G393" i="20"/>
  <c r="G400" i="20"/>
  <c r="H199" i="20"/>
  <c r="H152" i="20"/>
  <c r="I152" i="20" s="1"/>
  <c r="J152" i="20" s="1"/>
  <c r="K152" i="20" s="1"/>
  <c r="L152" i="20" s="1"/>
  <c r="M152" i="20" s="1"/>
  <c r="N152" i="20" s="1"/>
  <c r="O152" i="20" s="1"/>
  <c r="P152" i="20" s="1"/>
  <c r="Q152" i="20" s="1"/>
  <c r="R152" i="20" s="1"/>
  <c r="H141" i="20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H222" i="20"/>
  <c r="H378" i="20"/>
  <c r="H360" i="20"/>
  <c r="H366" i="20"/>
  <c r="H372" i="20"/>
  <c r="H384" i="20"/>
  <c r="H391" i="20"/>
  <c r="H398" i="20"/>
  <c r="H380" i="20"/>
  <c r="H362" i="20"/>
  <c r="H368" i="20"/>
  <c r="H374" i="20"/>
  <c r="H386" i="20"/>
  <c r="H393" i="20"/>
  <c r="H400" i="20"/>
  <c r="H233" i="20"/>
  <c r="H291" i="20" s="1"/>
  <c r="I199" i="20"/>
  <c r="I222" i="20"/>
  <c r="I378" i="20"/>
  <c r="I360" i="20"/>
  <c r="I372" i="20"/>
  <c r="I384" i="20"/>
  <c r="I391" i="20"/>
  <c r="I398" i="20"/>
  <c r="I386" i="20"/>
  <c r="I393" i="20"/>
  <c r="I400" i="20"/>
  <c r="I233" i="20"/>
  <c r="J199" i="20"/>
  <c r="J222" i="20"/>
  <c r="J378" i="20"/>
  <c r="J360" i="20"/>
  <c r="J366" i="20"/>
  <c r="J372" i="20"/>
  <c r="J391" i="20"/>
  <c r="J398" i="20"/>
  <c r="J362" i="20"/>
  <c r="J368" i="20"/>
  <c r="J374" i="20"/>
  <c r="J393" i="20"/>
  <c r="J400" i="20"/>
  <c r="J233" i="20"/>
  <c r="K199" i="20"/>
  <c r="K378" i="20"/>
  <c r="K360" i="20"/>
  <c r="K366" i="20"/>
  <c r="K384" i="20"/>
  <c r="K391" i="20"/>
  <c r="K398" i="20"/>
  <c r="K362" i="20"/>
  <c r="K368" i="20"/>
  <c r="K386" i="20"/>
  <c r="K393" i="20"/>
  <c r="K400" i="20"/>
  <c r="K233" i="20"/>
  <c r="L199" i="20"/>
  <c r="L222" i="20"/>
  <c r="L378" i="20"/>
  <c r="L360" i="20"/>
  <c r="L372" i="20"/>
  <c r="L384" i="20"/>
  <c r="L391" i="20"/>
  <c r="L398" i="20"/>
  <c r="L374" i="20"/>
  <c r="L373" i="20" s="1"/>
  <c r="L386" i="20"/>
  <c r="L393" i="20"/>
  <c r="L400" i="20"/>
  <c r="L233" i="20"/>
  <c r="M199" i="20"/>
  <c r="M378" i="20"/>
  <c r="M360" i="20"/>
  <c r="M366" i="20"/>
  <c r="M372" i="20"/>
  <c r="M391" i="20"/>
  <c r="M398" i="20"/>
  <c r="M362" i="20"/>
  <c r="M368" i="20"/>
  <c r="M374" i="20"/>
  <c r="M393" i="20"/>
  <c r="M400" i="20"/>
  <c r="M233" i="20"/>
  <c r="N199" i="20"/>
  <c r="N222" i="20"/>
  <c r="N378" i="20"/>
  <c r="N360" i="20"/>
  <c r="N366" i="20"/>
  <c r="N384" i="20"/>
  <c r="N391" i="20"/>
  <c r="N398" i="20"/>
  <c r="N362" i="20"/>
  <c r="N368" i="20"/>
  <c r="N374" i="20"/>
  <c r="N386" i="20"/>
  <c r="N393" i="20"/>
  <c r="N400" i="20"/>
  <c r="N233" i="20"/>
  <c r="O199" i="20"/>
  <c r="O378" i="20"/>
  <c r="O360" i="20"/>
  <c r="O372" i="20"/>
  <c r="O384" i="20"/>
  <c r="O391" i="20"/>
  <c r="O398" i="20"/>
  <c r="O374" i="20"/>
  <c r="O386" i="20"/>
  <c r="O393" i="20"/>
  <c r="O400" i="20"/>
  <c r="O233" i="20"/>
  <c r="P199" i="20"/>
  <c r="P222" i="20"/>
  <c r="P378" i="20"/>
  <c r="P360" i="20"/>
  <c r="P366" i="20"/>
  <c r="P372" i="20"/>
  <c r="P391" i="20"/>
  <c r="P398" i="20"/>
  <c r="P362" i="20"/>
  <c r="P368" i="20"/>
  <c r="P374" i="20"/>
  <c r="P393" i="20"/>
  <c r="P400" i="20"/>
  <c r="P233" i="20"/>
  <c r="Q199" i="20"/>
  <c r="Q378" i="20"/>
  <c r="Q360" i="20"/>
  <c r="Q366" i="20"/>
  <c r="Q384" i="20"/>
  <c r="Q391" i="20"/>
  <c r="Q398" i="20"/>
  <c r="Q362" i="20"/>
  <c r="Q368" i="20"/>
  <c r="Q374" i="20"/>
  <c r="Q386" i="20"/>
  <c r="Q393" i="20"/>
  <c r="Q400" i="20"/>
  <c r="Q233" i="20"/>
  <c r="R199" i="20"/>
  <c r="R222" i="20"/>
  <c r="R378" i="20"/>
  <c r="R360" i="20"/>
  <c r="R372" i="20"/>
  <c r="R384" i="20"/>
  <c r="R391" i="20"/>
  <c r="R398" i="20"/>
  <c r="R374" i="20"/>
  <c r="R373" i="20" s="1"/>
  <c r="R386" i="20"/>
  <c r="R393" i="20"/>
  <c r="R400" i="20"/>
  <c r="AC5" i="12"/>
  <c r="AD5" i="12"/>
  <c r="AE5" i="12"/>
  <c r="AF5" i="12"/>
  <c r="AG5" i="12"/>
  <c r="AH5" i="12"/>
  <c r="AI5" i="12"/>
  <c r="AJ5" i="12"/>
  <c r="AK5" i="12"/>
  <c r="AL5" i="12"/>
  <c r="AM5" i="12"/>
  <c r="AN5" i="12"/>
  <c r="Z4" i="17"/>
  <c r="AA4" i="17"/>
  <c r="AB4" i="17"/>
  <c r="AC4" i="17"/>
  <c r="AD4" i="17"/>
  <c r="AE4" i="17"/>
  <c r="AF4" i="17"/>
  <c r="AG4" i="17"/>
  <c r="AH4" i="17"/>
  <c r="AI4" i="17"/>
  <c r="AJ4" i="17"/>
  <c r="AK4" i="17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T199" i="20"/>
  <c r="T378" i="20"/>
  <c r="T360" i="20"/>
  <c r="T366" i="20"/>
  <c r="T372" i="20"/>
  <c r="T391" i="20"/>
  <c r="T398" i="20"/>
  <c r="T362" i="20"/>
  <c r="T368" i="20"/>
  <c r="T374" i="20"/>
  <c r="T393" i="20"/>
  <c r="T400" i="20"/>
  <c r="U199" i="20"/>
  <c r="U222" i="20"/>
  <c r="U378" i="20"/>
  <c r="U360" i="20"/>
  <c r="U366" i="20"/>
  <c r="U384" i="20"/>
  <c r="U391" i="20"/>
  <c r="U398" i="20"/>
  <c r="U362" i="20"/>
  <c r="U368" i="20"/>
  <c r="U374" i="20"/>
  <c r="U386" i="20"/>
  <c r="U393" i="20"/>
  <c r="U400" i="20"/>
  <c r="U233" i="20"/>
  <c r="V199" i="20"/>
  <c r="V222" i="20"/>
  <c r="V378" i="20"/>
  <c r="V372" i="20"/>
  <c r="V384" i="20"/>
  <c r="V391" i="20"/>
  <c r="V398" i="20"/>
  <c r="V374" i="20"/>
  <c r="V386" i="20"/>
  <c r="V393" i="20"/>
  <c r="V400" i="20"/>
  <c r="V233" i="20"/>
  <c r="W199" i="20"/>
  <c r="W222" i="20"/>
  <c r="W378" i="20"/>
  <c r="W360" i="20"/>
  <c r="W366" i="20"/>
  <c r="W372" i="20"/>
  <c r="W391" i="20"/>
  <c r="W398" i="20"/>
  <c r="W362" i="20"/>
  <c r="W368" i="20"/>
  <c r="W374" i="20"/>
  <c r="W393" i="20"/>
  <c r="W400" i="20"/>
  <c r="W233" i="20"/>
  <c r="X199" i="20"/>
  <c r="X378" i="20"/>
  <c r="X360" i="20"/>
  <c r="X366" i="20"/>
  <c r="X384" i="20"/>
  <c r="X391" i="20"/>
  <c r="X398" i="20"/>
  <c r="X362" i="20"/>
  <c r="X368" i="20"/>
  <c r="X374" i="20"/>
  <c r="X386" i="20"/>
  <c r="X393" i="20"/>
  <c r="X400" i="20"/>
  <c r="X233" i="20"/>
  <c r="Y199" i="20"/>
  <c r="Y222" i="20"/>
  <c r="Y378" i="20"/>
  <c r="Y372" i="20"/>
  <c r="Y384" i="20"/>
  <c r="Y391" i="20"/>
  <c r="Y398" i="20"/>
  <c r="Y374" i="20"/>
  <c r="Y386" i="20"/>
  <c r="Y393" i="20"/>
  <c r="Y400" i="20"/>
  <c r="Y233" i="20"/>
  <c r="Z199" i="20"/>
  <c r="Z378" i="20"/>
  <c r="Z360" i="20"/>
  <c r="Z366" i="20"/>
  <c r="Z372" i="20"/>
  <c r="Z391" i="20"/>
  <c r="Z398" i="20"/>
  <c r="Z362" i="20"/>
  <c r="Z368" i="20"/>
  <c r="Z374" i="20"/>
  <c r="Z393" i="20"/>
  <c r="Z400" i="20"/>
  <c r="AA199" i="20"/>
  <c r="AA222" i="20"/>
  <c r="AA378" i="20"/>
  <c r="AA360" i="20"/>
  <c r="AA366" i="20"/>
  <c r="AA384" i="20"/>
  <c r="AA391" i="20"/>
  <c r="AA398" i="20"/>
  <c r="AA362" i="20"/>
  <c r="AA368" i="20"/>
  <c r="AA374" i="20"/>
  <c r="AA386" i="20"/>
  <c r="AA393" i="20"/>
  <c r="AA400" i="20"/>
  <c r="AA233" i="20"/>
  <c r="AB199" i="20"/>
  <c r="AB378" i="20"/>
  <c r="AB372" i="20"/>
  <c r="AB384" i="20"/>
  <c r="AB391" i="20"/>
  <c r="AB398" i="20"/>
  <c r="AB374" i="20"/>
  <c r="AB373" i="20" s="1"/>
  <c r="AB386" i="20"/>
  <c r="AB393" i="20"/>
  <c r="AB400" i="20"/>
  <c r="AB233" i="20"/>
  <c r="AC199" i="20"/>
  <c r="AC222" i="20"/>
  <c r="AC378" i="20"/>
  <c r="AC360" i="20"/>
  <c r="AC366" i="20"/>
  <c r="AC372" i="20"/>
  <c r="AC391" i="20"/>
  <c r="AC398" i="20"/>
  <c r="AC362" i="20"/>
  <c r="AC368" i="20"/>
  <c r="AC374" i="20"/>
  <c r="AC393" i="20"/>
  <c r="AC400" i="20"/>
  <c r="AC233" i="20"/>
  <c r="AD199" i="20"/>
  <c r="AD222" i="20"/>
  <c r="AD378" i="20"/>
  <c r="AD360" i="20"/>
  <c r="AD366" i="20"/>
  <c r="AD384" i="20"/>
  <c r="AD391" i="20"/>
  <c r="AD398" i="20"/>
  <c r="AD362" i="20"/>
  <c r="AD368" i="20"/>
  <c r="AD374" i="20"/>
  <c r="AD386" i="20"/>
  <c r="AD393" i="20"/>
  <c r="AD400" i="20"/>
  <c r="AD233" i="20"/>
  <c r="AE199" i="20"/>
  <c r="AE222" i="20"/>
  <c r="AE378" i="20"/>
  <c r="AE372" i="20"/>
  <c r="AE384" i="20"/>
  <c r="AE391" i="20"/>
  <c r="AE398" i="20"/>
  <c r="AE374" i="20"/>
  <c r="AE373" i="20" s="1"/>
  <c r="AE386" i="20"/>
  <c r="AE393" i="20"/>
  <c r="AE400" i="20"/>
  <c r="AE233" i="20"/>
  <c r="G147" i="20"/>
  <c r="H147" i="20" s="1"/>
  <c r="I147" i="20" s="1"/>
  <c r="J147" i="20" s="1"/>
  <c r="K147" i="20" s="1"/>
  <c r="L147" i="20" s="1"/>
  <c r="M147" i="20" s="1"/>
  <c r="N147" i="20" s="1"/>
  <c r="O147" i="20" s="1"/>
  <c r="P147" i="20" s="1"/>
  <c r="Q147" i="20" s="1"/>
  <c r="R147" i="20" s="1"/>
  <c r="AM104" i="3"/>
  <c r="AG199" i="20"/>
  <c r="AG378" i="20"/>
  <c r="AG398" i="20"/>
  <c r="AG372" i="20"/>
  <c r="AG391" i="20"/>
  <c r="AP42" i="12"/>
  <c r="AG380" i="20" s="1"/>
  <c r="AG374" i="20"/>
  <c r="AG393" i="20"/>
  <c r="AG233" i="20"/>
  <c r="M152" i="3"/>
  <c r="AN104" i="3"/>
  <c r="AH199" i="20"/>
  <c r="AH378" i="20"/>
  <c r="AH398" i="20"/>
  <c r="AH372" i="20"/>
  <c r="AH391" i="20"/>
  <c r="AQ42" i="12"/>
  <c r="AH380" i="20" s="1"/>
  <c r="AH374" i="20"/>
  <c r="AH393" i="20"/>
  <c r="AH233" i="20"/>
  <c r="AO11" i="3"/>
  <c r="AO104" i="3"/>
  <c r="AI11" i="20"/>
  <c r="AI378" i="20"/>
  <c r="AI398" i="20"/>
  <c r="AI372" i="20"/>
  <c r="AI391" i="20"/>
  <c r="AI374" i="20"/>
  <c r="AI393" i="20"/>
  <c r="AI233" i="20"/>
  <c r="AP11" i="3"/>
  <c r="AP104" i="3"/>
  <c r="AJ11" i="20"/>
  <c r="AJ378" i="20"/>
  <c r="AJ398" i="20"/>
  <c r="AJ372" i="20"/>
  <c r="AJ391" i="20"/>
  <c r="AJ374" i="20"/>
  <c r="AJ393" i="20"/>
  <c r="AJ233" i="20"/>
  <c r="AQ11" i="3"/>
  <c r="AQ104" i="3"/>
  <c r="AK11" i="20"/>
  <c r="AK378" i="20"/>
  <c r="AK398" i="20"/>
  <c r="AK372" i="20"/>
  <c r="AK391" i="20"/>
  <c r="AK374" i="20"/>
  <c r="AK393" i="20"/>
  <c r="AK233" i="20"/>
  <c r="AR11" i="3"/>
  <c r="AR104" i="3"/>
  <c r="AL11" i="20"/>
  <c r="AL378" i="20"/>
  <c r="AL398" i="20"/>
  <c r="AL372" i="20"/>
  <c r="AL391" i="20"/>
  <c r="AL374" i="20"/>
  <c r="AL393" i="20"/>
  <c r="AL233" i="20"/>
  <c r="AS11" i="3"/>
  <c r="AS104" i="3"/>
  <c r="AM11" i="20"/>
  <c r="AM378" i="20"/>
  <c r="AM398" i="20"/>
  <c r="AM372" i="20"/>
  <c r="AM391" i="20"/>
  <c r="AM374" i="20"/>
  <c r="AM393" i="20"/>
  <c r="AM233" i="20"/>
  <c r="AT11" i="3"/>
  <c r="AT104" i="3"/>
  <c r="AN11" i="20"/>
  <c r="AN378" i="20"/>
  <c r="AN398" i="20"/>
  <c r="AN372" i="20"/>
  <c r="AN391" i="20"/>
  <c r="AN374" i="20"/>
  <c r="AN393" i="20"/>
  <c r="AN233" i="20"/>
  <c r="AU11" i="3"/>
  <c r="AO11" i="20" s="1"/>
  <c r="Q155" i="27" s="1"/>
  <c r="AU104" i="3"/>
  <c r="AU164" i="3"/>
  <c r="AO378" i="20"/>
  <c r="AO398" i="20"/>
  <c r="AO372" i="20"/>
  <c r="AO384" i="20"/>
  <c r="AO391" i="20"/>
  <c r="AO374" i="20"/>
  <c r="AO393" i="20"/>
  <c r="AV11" i="3"/>
  <c r="AP11" i="20" s="1"/>
  <c r="AV104" i="3"/>
  <c r="AP378" i="20"/>
  <c r="AP398" i="20"/>
  <c r="AP372" i="20"/>
  <c r="AP384" i="20"/>
  <c r="AP391" i="20"/>
  <c r="AP374" i="20"/>
  <c r="AW11" i="3"/>
  <c r="AW104" i="3"/>
  <c r="AQ11" i="20"/>
  <c r="AQ378" i="20"/>
  <c r="AQ398" i="20"/>
  <c r="AQ372" i="20"/>
  <c r="AQ384" i="20"/>
  <c r="AQ374" i="20"/>
  <c r="AQ233" i="20"/>
  <c r="S58" i="27" s="1"/>
  <c r="S199" i="20"/>
  <c r="G62" i="27"/>
  <c r="AF199" i="20"/>
  <c r="I58" i="27"/>
  <c r="J58" i="27"/>
  <c r="K58" i="27"/>
  <c r="L58" i="27"/>
  <c r="M58" i="27"/>
  <c r="N58" i="27"/>
  <c r="O58" i="27"/>
  <c r="P58" i="27"/>
  <c r="P29" i="12"/>
  <c r="G149" i="20"/>
  <c r="H149" i="20" s="1"/>
  <c r="I149" i="20" s="1"/>
  <c r="J149" i="20" s="1"/>
  <c r="K149" i="20" s="1"/>
  <c r="L149" i="20" s="1"/>
  <c r="M149" i="20" s="1"/>
  <c r="N149" i="20" s="1"/>
  <c r="O149" i="20" s="1"/>
  <c r="P149" i="20" s="1"/>
  <c r="Q149" i="20" s="1"/>
  <c r="R149" i="20" s="1"/>
  <c r="T149" i="20" s="1"/>
  <c r="U149" i="20" s="1"/>
  <c r="V149" i="20" s="1"/>
  <c r="W149" i="20" s="1"/>
  <c r="X149" i="20" s="1"/>
  <c r="Y149" i="20" s="1"/>
  <c r="Z149" i="20" s="1"/>
  <c r="AA149" i="20" s="1"/>
  <c r="AB149" i="20" s="1"/>
  <c r="AC149" i="20" s="1"/>
  <c r="AD149" i="20" s="1"/>
  <c r="AE149" i="20" s="1"/>
  <c r="AG149" i="20" s="1"/>
  <c r="AH149" i="20" s="1"/>
  <c r="AI149" i="20" s="1"/>
  <c r="AJ149" i="20" s="1"/>
  <c r="AK149" i="20" s="1"/>
  <c r="AL149" i="20" s="1"/>
  <c r="AM149" i="20" s="1"/>
  <c r="AN149" i="20" s="1"/>
  <c r="AO149" i="20" s="1"/>
  <c r="AP149" i="20" s="1"/>
  <c r="AQ149" i="20" s="1"/>
  <c r="AU163" i="3"/>
  <c r="AQ387" i="20"/>
  <c r="AQ385" i="20"/>
  <c r="AQ373" i="20"/>
  <c r="AQ324" i="20"/>
  <c r="AQ314" i="20"/>
  <c r="AQ328" i="20" s="1"/>
  <c r="AQ270" i="20"/>
  <c r="AQ291" i="20"/>
  <c r="AQ20" i="20"/>
  <c r="AQ19" i="20"/>
  <c r="K15" i="6"/>
  <c r="S143" i="12"/>
  <c r="R233" i="20"/>
  <c r="AG134" i="12"/>
  <c r="AB115" i="12"/>
  <c r="AO115" i="12"/>
  <c r="I374" i="20"/>
  <c r="R106" i="12"/>
  <c r="U106" i="12"/>
  <c r="X106" i="12"/>
  <c r="AA106" i="12"/>
  <c r="AD106" i="12"/>
  <c r="AH106" i="12"/>
  <c r="AJ106" i="12"/>
  <c r="AN106" i="12"/>
  <c r="AP58" i="12"/>
  <c r="AG394" i="20" s="1"/>
  <c r="AQ58" i="12"/>
  <c r="AH394" i="20" s="1"/>
  <c r="AR58" i="12"/>
  <c r="AI394" i="20" s="1"/>
  <c r="AS58" i="12"/>
  <c r="AJ394" i="20" s="1"/>
  <c r="AT58" i="12"/>
  <c r="AK394" i="20" s="1"/>
  <c r="AU58" i="12"/>
  <c r="AL394" i="20" s="1"/>
  <c r="AV58" i="12"/>
  <c r="AM394" i="20" s="1"/>
  <c r="AW58" i="12"/>
  <c r="AN394" i="20" s="1"/>
  <c r="AX58" i="12"/>
  <c r="AO394" i="20" s="1"/>
  <c r="AY58" i="12"/>
  <c r="P143" i="12"/>
  <c r="G414" i="20" s="1"/>
  <c r="G234" i="20" s="1"/>
  <c r="Q143" i="12"/>
  <c r="H414" i="20" s="1"/>
  <c r="H234" i="20" s="1"/>
  <c r="R143" i="12"/>
  <c r="I414" i="20" s="1"/>
  <c r="I234" i="20" s="1"/>
  <c r="T143" i="12"/>
  <c r="K414" i="20" s="1"/>
  <c r="K234" i="20" s="1"/>
  <c r="E177" i="20"/>
  <c r="P116" i="12"/>
  <c r="Q116" i="12" s="1"/>
  <c r="R116" i="12" s="1"/>
  <c r="S116" i="12" s="1"/>
  <c r="T116" i="12" s="1"/>
  <c r="U116" i="12" s="1"/>
  <c r="V116" i="12" s="1"/>
  <c r="W116" i="12" s="1"/>
  <c r="X116" i="12" s="1"/>
  <c r="Y116" i="12" s="1"/>
  <c r="Z116" i="12" s="1"/>
  <c r="AA116" i="12" s="1"/>
  <c r="AC116" i="12" s="1"/>
  <c r="AD116" i="12" s="1"/>
  <c r="AE116" i="12" s="1"/>
  <c r="AF116" i="12" s="1"/>
  <c r="AG116" i="12" s="1"/>
  <c r="AH116" i="12" s="1"/>
  <c r="AI116" i="12" s="1"/>
  <c r="AJ116" i="12" s="1"/>
  <c r="AK116" i="12" s="1"/>
  <c r="AL116" i="12" s="1"/>
  <c r="AM116" i="12" s="1"/>
  <c r="AN116" i="12" s="1"/>
  <c r="AP116" i="12" s="1"/>
  <c r="AQ116" i="12" s="1"/>
  <c r="AR116" i="12" s="1"/>
  <c r="AS116" i="12" s="1"/>
  <c r="AT116" i="12" s="1"/>
  <c r="AU116" i="12" s="1"/>
  <c r="AV116" i="12" s="1"/>
  <c r="AW116" i="12" s="1"/>
  <c r="AX116" i="12" s="1"/>
  <c r="AY116" i="12" s="1"/>
  <c r="AZ116" i="12" s="1"/>
  <c r="BA116" i="12" s="1"/>
  <c r="BB116" i="12" s="1"/>
  <c r="Q106" i="12"/>
  <c r="S106" i="12"/>
  <c r="T106" i="12"/>
  <c r="V106" i="12"/>
  <c r="W106" i="12"/>
  <c r="N372" i="20"/>
  <c r="Y106" i="12"/>
  <c r="Z106" i="12"/>
  <c r="Q372" i="20"/>
  <c r="AC106" i="12"/>
  <c r="U372" i="20"/>
  <c r="AE106" i="12"/>
  <c r="AF106" i="12"/>
  <c r="AG106" i="12"/>
  <c r="X372" i="20"/>
  <c r="AI106" i="12"/>
  <c r="AA372" i="20"/>
  <c r="AK106" i="12"/>
  <c r="AL106" i="12"/>
  <c r="AM106" i="12"/>
  <c r="AD372" i="20"/>
  <c r="AD373" i="20" s="1"/>
  <c r="AP106" i="12"/>
  <c r="P45" i="12"/>
  <c r="Q45" i="12" s="1"/>
  <c r="R45" i="12" s="1"/>
  <c r="S45" i="12" s="1"/>
  <c r="AR106" i="12"/>
  <c r="AT106" i="12"/>
  <c r="AV106" i="12"/>
  <c r="AX106" i="12"/>
  <c r="AO386" i="20"/>
  <c r="AY106" i="12"/>
  <c r="AP386" i="20"/>
  <c r="AZ55" i="12"/>
  <c r="AQ386" i="20"/>
  <c r="BA55" i="12"/>
  <c r="BB55" i="12"/>
  <c r="AQ6" i="10"/>
  <c r="AQ25" i="10" s="1"/>
  <c r="AI221" i="20" s="1"/>
  <c r="AQ16" i="10"/>
  <c r="M31" i="19"/>
  <c r="M32" i="19"/>
  <c r="M29" i="19"/>
  <c r="M28" i="19"/>
  <c r="M30" i="19"/>
  <c r="M40" i="19"/>
  <c r="M476" i="19" s="1"/>
  <c r="S476" i="21" s="1"/>
  <c r="N32" i="8"/>
  <c r="M43" i="19"/>
  <c r="M481" i="19" s="1"/>
  <c r="S481" i="21" s="1"/>
  <c r="M45" i="19"/>
  <c r="M484" i="19" s="1"/>
  <c r="S484" i="21" s="1"/>
  <c r="M47" i="19"/>
  <c r="M486" i="19" s="1"/>
  <c r="S486" i="21" s="1"/>
  <c r="M49" i="19"/>
  <c r="O516" i="10"/>
  <c r="O517" i="10"/>
  <c r="N147" i="8"/>
  <c r="N518" i="8" s="1"/>
  <c r="S518" i="21" s="1"/>
  <c r="O567" i="9"/>
  <c r="O433" i="10"/>
  <c r="S433" i="21" s="1"/>
  <c r="O435" i="10"/>
  <c r="S435" i="21" s="1"/>
  <c r="O436" i="10"/>
  <c r="S436" i="21" s="1"/>
  <c r="O437" i="10"/>
  <c r="S437" i="21" s="1"/>
  <c r="O438" i="10"/>
  <c r="S438" i="21" s="1"/>
  <c r="O439" i="10"/>
  <c r="S439" i="21" s="1"/>
  <c r="O440" i="10"/>
  <c r="S440" i="21" s="1"/>
  <c r="O441" i="10"/>
  <c r="S441" i="21" s="1"/>
  <c r="O442" i="10"/>
  <c r="S442" i="21" s="1"/>
  <c r="O443" i="10"/>
  <c r="S443" i="21" s="1"/>
  <c r="O445" i="10"/>
  <c r="S445" i="21" s="1"/>
  <c r="N31" i="19"/>
  <c r="N32" i="19"/>
  <c r="N29" i="19"/>
  <c r="N28" i="19"/>
  <c r="N30" i="19"/>
  <c r="N40" i="19"/>
  <c r="N476" i="19" s="1"/>
  <c r="T476" i="21" s="1"/>
  <c r="O32" i="8"/>
  <c r="N41" i="19" s="1"/>
  <c r="N477" i="19" s="1"/>
  <c r="T477" i="21" s="1"/>
  <c r="N43" i="19"/>
  <c r="N481" i="19" s="1"/>
  <c r="T481" i="21" s="1"/>
  <c r="N45" i="19"/>
  <c r="N484" i="19" s="1"/>
  <c r="T484" i="21" s="1"/>
  <c r="N47" i="19"/>
  <c r="N486" i="19" s="1"/>
  <c r="T486" i="21" s="1"/>
  <c r="N49" i="19"/>
  <c r="P516" i="10"/>
  <c r="P517" i="10"/>
  <c r="O147" i="8"/>
  <c r="O518" i="8" s="1"/>
  <c r="T518" i="21" s="1"/>
  <c r="P567" i="9"/>
  <c r="P433" i="10"/>
  <c r="T433" i="21" s="1"/>
  <c r="P435" i="10"/>
  <c r="T435" i="21" s="1"/>
  <c r="P436" i="10"/>
  <c r="T436" i="21" s="1"/>
  <c r="P437" i="10"/>
  <c r="T437" i="21" s="1"/>
  <c r="P438" i="10"/>
  <c r="T438" i="21" s="1"/>
  <c r="P439" i="10"/>
  <c r="T439" i="21" s="1"/>
  <c r="P440" i="10"/>
  <c r="T440" i="21" s="1"/>
  <c r="P441" i="10"/>
  <c r="T441" i="21" s="1"/>
  <c r="P442" i="10"/>
  <c r="T442" i="21" s="1"/>
  <c r="P443" i="10"/>
  <c r="T443" i="21" s="1"/>
  <c r="P445" i="10"/>
  <c r="T445" i="21" s="1"/>
  <c r="P48" i="8"/>
  <c r="O13" i="19" s="1"/>
  <c r="O16" i="19" s="1"/>
  <c r="O31" i="19"/>
  <c r="O32" i="19"/>
  <c r="O29" i="19"/>
  <c r="O28" i="19"/>
  <c r="O30" i="19"/>
  <c r="P28" i="8"/>
  <c r="O12" i="19" s="1"/>
  <c r="O40" i="19"/>
  <c r="O476" i="19" s="1"/>
  <c r="U476" i="21" s="1"/>
  <c r="P32" i="8"/>
  <c r="O43" i="19"/>
  <c r="O481" i="19" s="1"/>
  <c r="U481" i="21" s="1"/>
  <c r="O45" i="19"/>
  <c r="O484" i="19" s="1"/>
  <c r="U484" i="21" s="1"/>
  <c r="O47" i="19"/>
  <c r="O486" i="19" s="1"/>
  <c r="U486" i="21" s="1"/>
  <c r="O49" i="19"/>
  <c r="Q516" i="10"/>
  <c r="Q517" i="10"/>
  <c r="P147" i="8"/>
  <c r="P518" i="8" s="1"/>
  <c r="U518" i="21" s="1"/>
  <c r="Q567" i="9"/>
  <c r="Q433" i="10"/>
  <c r="U433" i="21" s="1"/>
  <c r="Q435" i="10"/>
  <c r="U435" i="21" s="1"/>
  <c r="Q436" i="10"/>
  <c r="U436" i="21" s="1"/>
  <c r="Q437" i="10"/>
  <c r="U437" i="21" s="1"/>
  <c r="Q438" i="10"/>
  <c r="U438" i="21" s="1"/>
  <c r="Q439" i="10"/>
  <c r="U439" i="21" s="1"/>
  <c r="Q440" i="10"/>
  <c r="U440" i="21" s="1"/>
  <c r="Q441" i="10"/>
  <c r="U441" i="21" s="1"/>
  <c r="Q442" i="10"/>
  <c r="U442" i="21" s="1"/>
  <c r="Q443" i="10"/>
  <c r="U443" i="21" s="1"/>
  <c r="Q445" i="10"/>
  <c r="U445" i="21" s="1"/>
  <c r="P32" i="19"/>
  <c r="P29" i="19"/>
  <c r="P28" i="19"/>
  <c r="P30" i="19"/>
  <c r="P40" i="19"/>
  <c r="P476" i="19" s="1"/>
  <c r="V476" i="21" s="1"/>
  <c r="Q32" i="8"/>
  <c r="P43" i="19"/>
  <c r="P481" i="19" s="1"/>
  <c r="V481" i="21" s="1"/>
  <c r="P45" i="19"/>
  <c r="P484" i="19" s="1"/>
  <c r="V484" i="21" s="1"/>
  <c r="P47" i="19"/>
  <c r="P486" i="19" s="1"/>
  <c r="V486" i="21" s="1"/>
  <c r="P49" i="19"/>
  <c r="R516" i="10"/>
  <c r="R517" i="10"/>
  <c r="Q147" i="8"/>
  <c r="Q518" i="8" s="1"/>
  <c r="V518" i="21" s="1"/>
  <c r="R567" i="9"/>
  <c r="R433" i="10"/>
  <c r="V433" i="21" s="1"/>
  <c r="R435" i="10"/>
  <c r="V435" i="21" s="1"/>
  <c r="R436" i="10"/>
  <c r="V436" i="21" s="1"/>
  <c r="R437" i="10"/>
  <c r="V437" i="21" s="1"/>
  <c r="R438" i="10"/>
  <c r="V438" i="21" s="1"/>
  <c r="R439" i="10"/>
  <c r="V439" i="21" s="1"/>
  <c r="R440" i="10"/>
  <c r="V440" i="21" s="1"/>
  <c r="R441" i="10"/>
  <c r="V441" i="21" s="1"/>
  <c r="R442" i="10"/>
  <c r="V442" i="21" s="1"/>
  <c r="R443" i="10"/>
  <c r="V443" i="21" s="1"/>
  <c r="R445" i="10"/>
  <c r="V445" i="21" s="1"/>
  <c r="Q31" i="19"/>
  <c r="Q32" i="19"/>
  <c r="Q29" i="19"/>
  <c r="Q28" i="19"/>
  <c r="Q30" i="19"/>
  <c r="Q40" i="19"/>
  <c r="Q476" i="19" s="1"/>
  <c r="W476" i="21" s="1"/>
  <c r="R32" i="8"/>
  <c r="Q43" i="19"/>
  <c r="Q481" i="19" s="1"/>
  <c r="W481" i="21" s="1"/>
  <c r="Q45" i="19"/>
  <c r="Q484" i="19" s="1"/>
  <c r="W484" i="21" s="1"/>
  <c r="Q47" i="19"/>
  <c r="Q486" i="19" s="1"/>
  <c r="W486" i="21" s="1"/>
  <c r="Q49" i="19"/>
  <c r="S516" i="10"/>
  <c r="S517" i="10"/>
  <c r="R147" i="8"/>
  <c r="R518" i="8" s="1"/>
  <c r="W518" i="21" s="1"/>
  <c r="S567" i="9"/>
  <c r="S433" i="10"/>
  <c r="W433" i="21" s="1"/>
  <c r="S435" i="10"/>
  <c r="W435" i="21" s="1"/>
  <c r="S436" i="10"/>
  <c r="W436" i="21" s="1"/>
  <c r="S437" i="10"/>
  <c r="W437" i="21" s="1"/>
  <c r="S438" i="10"/>
  <c r="W438" i="21" s="1"/>
  <c r="S439" i="10"/>
  <c r="W439" i="21" s="1"/>
  <c r="S440" i="10"/>
  <c r="W440" i="21" s="1"/>
  <c r="S441" i="10"/>
  <c r="W441" i="21" s="1"/>
  <c r="S442" i="10"/>
  <c r="W442" i="21" s="1"/>
  <c r="S443" i="10"/>
  <c r="W443" i="21" s="1"/>
  <c r="S445" i="10"/>
  <c r="W445" i="21" s="1"/>
  <c r="R32" i="19"/>
  <c r="R29" i="19"/>
  <c r="R28" i="19"/>
  <c r="R30" i="19"/>
  <c r="R40" i="19"/>
  <c r="R476" i="19" s="1"/>
  <c r="X476" i="21" s="1"/>
  <c r="S32" i="8"/>
  <c r="R43" i="19"/>
  <c r="R481" i="19" s="1"/>
  <c r="X481" i="21" s="1"/>
  <c r="R45" i="19"/>
  <c r="R484" i="19" s="1"/>
  <c r="X484" i="21" s="1"/>
  <c r="R47" i="19"/>
  <c r="R486" i="19" s="1"/>
  <c r="X486" i="21" s="1"/>
  <c r="R49" i="19"/>
  <c r="T516" i="10"/>
  <c r="T517" i="10"/>
  <c r="S147" i="8"/>
  <c r="S518" i="8" s="1"/>
  <c r="X518" i="21" s="1"/>
  <c r="T567" i="9"/>
  <c r="T433" i="10"/>
  <c r="X433" i="21" s="1"/>
  <c r="T435" i="10"/>
  <c r="X435" i="21" s="1"/>
  <c r="T436" i="10"/>
  <c r="X436" i="21" s="1"/>
  <c r="T437" i="10"/>
  <c r="X437" i="21" s="1"/>
  <c r="T438" i="10"/>
  <c r="X438" i="21" s="1"/>
  <c r="T439" i="10"/>
  <c r="X439" i="21" s="1"/>
  <c r="T440" i="10"/>
  <c r="X440" i="21" s="1"/>
  <c r="T441" i="10"/>
  <c r="X441" i="21" s="1"/>
  <c r="T442" i="10"/>
  <c r="X442" i="21" s="1"/>
  <c r="T443" i="10"/>
  <c r="X443" i="21" s="1"/>
  <c r="T445" i="10"/>
  <c r="X445" i="21" s="1"/>
  <c r="S31" i="19"/>
  <c r="S32" i="19"/>
  <c r="S29" i="19"/>
  <c r="S28" i="19"/>
  <c r="S30" i="19"/>
  <c r="S40" i="19"/>
  <c r="S476" i="19" s="1"/>
  <c r="Y476" i="21" s="1"/>
  <c r="T32" i="8"/>
  <c r="S43" i="19"/>
  <c r="S481" i="19" s="1"/>
  <c r="Y481" i="21" s="1"/>
  <c r="S45" i="19"/>
  <c r="S484" i="19" s="1"/>
  <c r="Y484" i="21" s="1"/>
  <c r="S47" i="19"/>
  <c r="S486" i="19" s="1"/>
  <c r="Y486" i="21" s="1"/>
  <c r="S49" i="19"/>
  <c r="U516" i="10"/>
  <c r="U517" i="10"/>
  <c r="T147" i="8"/>
  <c r="T518" i="8" s="1"/>
  <c r="Y518" i="21" s="1"/>
  <c r="U567" i="9"/>
  <c r="U433" i="10"/>
  <c r="Y433" i="21" s="1"/>
  <c r="U435" i="10"/>
  <c r="Y435" i="21" s="1"/>
  <c r="U436" i="10"/>
  <c r="Y436" i="21" s="1"/>
  <c r="U437" i="10"/>
  <c r="Y437" i="21" s="1"/>
  <c r="U438" i="10"/>
  <c r="Y438" i="21" s="1"/>
  <c r="U439" i="10"/>
  <c r="Y439" i="21" s="1"/>
  <c r="U440" i="10"/>
  <c r="Y440" i="21" s="1"/>
  <c r="U441" i="10"/>
  <c r="Y441" i="21" s="1"/>
  <c r="U442" i="10"/>
  <c r="Y442" i="21" s="1"/>
  <c r="U443" i="10"/>
  <c r="Y443" i="21" s="1"/>
  <c r="U445" i="10"/>
  <c r="Y445" i="21" s="1"/>
  <c r="T31" i="19"/>
  <c r="T32" i="19"/>
  <c r="T29" i="19"/>
  <c r="T28" i="19"/>
  <c r="T30" i="19"/>
  <c r="T40" i="19"/>
  <c r="T476" i="19" s="1"/>
  <c r="Z476" i="21" s="1"/>
  <c r="U32" i="8"/>
  <c r="T43" i="19"/>
  <c r="T481" i="19" s="1"/>
  <c r="Z481" i="21" s="1"/>
  <c r="T45" i="19"/>
  <c r="T484" i="19" s="1"/>
  <c r="Z484" i="21" s="1"/>
  <c r="T47" i="19"/>
  <c r="T486" i="19" s="1"/>
  <c r="Z486" i="21" s="1"/>
  <c r="T49" i="19"/>
  <c r="V516" i="10"/>
  <c r="V517" i="10"/>
  <c r="U147" i="8"/>
  <c r="U518" i="8" s="1"/>
  <c r="Z518" i="21" s="1"/>
  <c r="V567" i="9"/>
  <c r="V433" i="10"/>
  <c r="Z433" i="21" s="1"/>
  <c r="V435" i="10"/>
  <c r="Z435" i="21" s="1"/>
  <c r="V436" i="10"/>
  <c r="Z436" i="21" s="1"/>
  <c r="V437" i="10"/>
  <c r="Z437" i="21" s="1"/>
  <c r="V438" i="10"/>
  <c r="Z438" i="21" s="1"/>
  <c r="V439" i="10"/>
  <c r="Z439" i="21" s="1"/>
  <c r="V440" i="10"/>
  <c r="Z440" i="21" s="1"/>
  <c r="V441" i="10"/>
  <c r="Z441" i="21" s="1"/>
  <c r="V442" i="10"/>
  <c r="Z442" i="21" s="1"/>
  <c r="V443" i="10"/>
  <c r="Z443" i="21" s="1"/>
  <c r="V445" i="10"/>
  <c r="Z445" i="21" s="1"/>
  <c r="U31" i="19"/>
  <c r="U32" i="19"/>
  <c r="U29" i="19"/>
  <c r="U28" i="19"/>
  <c r="U30" i="19"/>
  <c r="U40" i="19"/>
  <c r="U476" i="19" s="1"/>
  <c r="AA476" i="21" s="1"/>
  <c r="V32" i="8"/>
  <c r="U43" i="19"/>
  <c r="U481" i="19" s="1"/>
  <c r="AA481" i="21" s="1"/>
  <c r="U45" i="19"/>
  <c r="U484" i="19" s="1"/>
  <c r="AA484" i="21" s="1"/>
  <c r="U47" i="19"/>
  <c r="U486" i="19" s="1"/>
  <c r="AA486" i="21" s="1"/>
  <c r="U49" i="19"/>
  <c r="W516" i="10"/>
  <c r="W517" i="10"/>
  <c r="V147" i="8"/>
  <c r="V518" i="8" s="1"/>
  <c r="AA518" i="21" s="1"/>
  <c r="W567" i="9"/>
  <c r="W433" i="10"/>
  <c r="AA433" i="21" s="1"/>
  <c r="W435" i="10"/>
  <c r="AA435" i="21" s="1"/>
  <c r="W436" i="10"/>
  <c r="AA436" i="21" s="1"/>
  <c r="W437" i="10"/>
  <c r="AA437" i="21" s="1"/>
  <c r="W438" i="10"/>
  <c r="AA438" i="21" s="1"/>
  <c r="W439" i="10"/>
  <c r="AA439" i="21" s="1"/>
  <c r="W440" i="10"/>
  <c r="AA440" i="21" s="1"/>
  <c r="W441" i="10"/>
  <c r="AA441" i="21" s="1"/>
  <c r="W442" i="10"/>
  <c r="AA442" i="21" s="1"/>
  <c r="W443" i="10"/>
  <c r="AA443" i="21" s="1"/>
  <c r="W445" i="10"/>
  <c r="AA445" i="21" s="1"/>
  <c r="V32" i="19"/>
  <c r="V29" i="19"/>
  <c r="V28" i="19"/>
  <c r="V30" i="19"/>
  <c r="V40" i="19"/>
  <c r="V476" i="19" s="1"/>
  <c r="AB476" i="21" s="1"/>
  <c r="W32" i="8"/>
  <c r="V43" i="19"/>
  <c r="V481" i="19" s="1"/>
  <c r="AB481" i="21" s="1"/>
  <c r="V45" i="19"/>
  <c r="V484" i="19" s="1"/>
  <c r="AB484" i="21" s="1"/>
  <c r="V47" i="19"/>
  <c r="V486" i="19" s="1"/>
  <c r="AB486" i="21" s="1"/>
  <c r="V49" i="19"/>
  <c r="X516" i="10"/>
  <c r="X517" i="10"/>
  <c r="W147" i="8"/>
  <c r="W518" i="8" s="1"/>
  <c r="AB518" i="21" s="1"/>
  <c r="X567" i="9"/>
  <c r="X433" i="10"/>
  <c r="AB433" i="21" s="1"/>
  <c r="X435" i="10"/>
  <c r="AB435" i="21" s="1"/>
  <c r="X436" i="10"/>
  <c r="AB436" i="21" s="1"/>
  <c r="X437" i="10"/>
  <c r="AB437" i="21" s="1"/>
  <c r="X438" i="10"/>
  <c r="AB438" i="21" s="1"/>
  <c r="X439" i="10"/>
  <c r="AB439" i="21" s="1"/>
  <c r="X440" i="10"/>
  <c r="AB440" i="21" s="1"/>
  <c r="X441" i="10"/>
  <c r="AB441" i="21" s="1"/>
  <c r="X442" i="10"/>
  <c r="AB442" i="21" s="1"/>
  <c r="X443" i="10"/>
  <c r="AB443" i="21" s="1"/>
  <c r="X445" i="10"/>
  <c r="AB445" i="21" s="1"/>
  <c r="W32" i="19"/>
  <c r="W29" i="19"/>
  <c r="W28" i="19"/>
  <c r="W30" i="19"/>
  <c r="W40" i="19"/>
  <c r="W476" i="19" s="1"/>
  <c r="AC476" i="21" s="1"/>
  <c r="X32" i="8"/>
  <c r="W43" i="19"/>
  <c r="W481" i="19" s="1"/>
  <c r="AC481" i="21" s="1"/>
  <c r="W45" i="19"/>
  <c r="W484" i="19" s="1"/>
  <c r="AC484" i="21" s="1"/>
  <c r="W47" i="19"/>
  <c r="W486" i="19" s="1"/>
  <c r="AC486" i="21" s="1"/>
  <c r="W49" i="19"/>
  <c r="Y516" i="10"/>
  <c r="Y517" i="10"/>
  <c r="X147" i="8"/>
  <c r="X518" i="8" s="1"/>
  <c r="AC518" i="21" s="1"/>
  <c r="Y567" i="9"/>
  <c r="Y433" i="10"/>
  <c r="AC433" i="21" s="1"/>
  <c r="Y435" i="10"/>
  <c r="AC435" i="21" s="1"/>
  <c r="Y436" i="10"/>
  <c r="AC436" i="21" s="1"/>
  <c r="Y437" i="10"/>
  <c r="AC437" i="21" s="1"/>
  <c r="Y438" i="10"/>
  <c r="AC438" i="21" s="1"/>
  <c r="Y439" i="10"/>
  <c r="AC439" i="21" s="1"/>
  <c r="Y440" i="10"/>
  <c r="AC440" i="21" s="1"/>
  <c r="Y441" i="10"/>
  <c r="AC441" i="21" s="1"/>
  <c r="Y442" i="10"/>
  <c r="AC442" i="21" s="1"/>
  <c r="Y443" i="10"/>
  <c r="AC443" i="21" s="1"/>
  <c r="Y445" i="10"/>
  <c r="AC445" i="21" s="1"/>
  <c r="X31" i="19"/>
  <c r="X32" i="19"/>
  <c r="X29" i="19"/>
  <c r="X28" i="19"/>
  <c r="X30" i="19"/>
  <c r="X40" i="19"/>
  <c r="X476" i="19" s="1"/>
  <c r="AD476" i="21" s="1"/>
  <c r="Y32" i="8"/>
  <c r="X43" i="19"/>
  <c r="X481" i="19" s="1"/>
  <c r="AD481" i="21" s="1"/>
  <c r="X45" i="19"/>
  <c r="X484" i="19" s="1"/>
  <c r="AD484" i="21" s="1"/>
  <c r="X47" i="19"/>
  <c r="X486" i="19" s="1"/>
  <c r="AD486" i="21" s="1"/>
  <c r="X49" i="19"/>
  <c r="Z516" i="10"/>
  <c r="Z517" i="10"/>
  <c r="Y147" i="8"/>
  <c r="Y518" i="8" s="1"/>
  <c r="AD518" i="21" s="1"/>
  <c r="Z567" i="9"/>
  <c r="Z433" i="10"/>
  <c r="AD433" i="21" s="1"/>
  <c r="Z435" i="10"/>
  <c r="AD435" i="21" s="1"/>
  <c r="Z436" i="10"/>
  <c r="AD436" i="21" s="1"/>
  <c r="Z437" i="10"/>
  <c r="AD437" i="21" s="1"/>
  <c r="Z438" i="10"/>
  <c r="AD438" i="21" s="1"/>
  <c r="Z439" i="10"/>
  <c r="AD439" i="21" s="1"/>
  <c r="Z440" i="10"/>
  <c r="AD440" i="21" s="1"/>
  <c r="Z441" i="10"/>
  <c r="AD441" i="21" s="1"/>
  <c r="Z442" i="10"/>
  <c r="AD442" i="21" s="1"/>
  <c r="Z443" i="10"/>
  <c r="AD443" i="21" s="1"/>
  <c r="Z445" i="10"/>
  <c r="AD445" i="21" s="1"/>
  <c r="M16" i="3"/>
  <c r="N16" i="3"/>
  <c r="O16" i="3"/>
  <c r="P16" i="3"/>
  <c r="Q16" i="3"/>
  <c r="R16" i="3"/>
  <c r="S16" i="3"/>
  <c r="T16" i="3"/>
  <c r="U16" i="3"/>
  <c r="V16" i="3"/>
  <c r="W16" i="3"/>
  <c r="X16" i="3"/>
  <c r="F8" i="13"/>
  <c r="F15" i="13" s="1"/>
  <c r="G8" i="13"/>
  <c r="G15" i="13" s="1"/>
  <c r="I8" i="13"/>
  <c r="I15" i="13" s="1"/>
  <c r="J8" i="13"/>
  <c r="J15" i="13" s="1"/>
  <c r="K8" i="13"/>
  <c r="K15" i="13" s="1"/>
  <c r="L8" i="13"/>
  <c r="L15" i="13" s="1"/>
  <c r="M8" i="13"/>
  <c r="M15" i="13" s="1"/>
  <c r="N8" i="13"/>
  <c r="N15" i="13" s="1"/>
  <c r="O8" i="13"/>
  <c r="O15" i="13" s="1"/>
  <c r="P8" i="13"/>
  <c r="P15" i="13" s="1"/>
  <c r="Q8" i="13"/>
  <c r="Q15" i="13" s="1"/>
  <c r="Z10" i="8"/>
  <c r="U143" i="12"/>
  <c r="L414" i="20" s="1"/>
  <c r="L234" i="20" s="1"/>
  <c r="V143" i="12"/>
  <c r="M414" i="20" s="1"/>
  <c r="M234" i="20" s="1"/>
  <c r="W143" i="12"/>
  <c r="N414" i="20" s="1"/>
  <c r="N234" i="20" s="1"/>
  <c r="X143" i="12"/>
  <c r="O414" i="20" s="1"/>
  <c r="O234" i="20" s="1"/>
  <c r="Y143" i="12"/>
  <c r="P414" i="20" s="1"/>
  <c r="P234" i="20" s="1"/>
  <c r="Z143" i="12"/>
  <c r="Q414" i="20" s="1"/>
  <c r="Q234" i="20" s="1"/>
  <c r="AA143" i="12"/>
  <c r="R414" i="20" s="1"/>
  <c r="R234" i="20" s="1"/>
  <c r="AC143" i="12"/>
  <c r="T414" i="20" s="1"/>
  <c r="T234" i="20" s="1"/>
  <c r="AD143" i="12"/>
  <c r="U414" i="20" s="1"/>
  <c r="U234" i="20" s="1"/>
  <c r="AE143" i="12"/>
  <c r="V414" i="20" s="1"/>
  <c r="V234" i="20" s="1"/>
  <c r="AF143" i="12"/>
  <c r="W414" i="20" s="1"/>
  <c r="W234" i="20" s="1"/>
  <c r="AG143" i="12"/>
  <c r="X414" i="20" s="1"/>
  <c r="X234" i="20" s="1"/>
  <c r="AH143" i="12"/>
  <c r="Y414" i="20" s="1"/>
  <c r="Y234" i="20" s="1"/>
  <c r="AI143" i="12"/>
  <c r="Z414" i="20" s="1"/>
  <c r="Z234" i="20" s="1"/>
  <c r="AJ143" i="12"/>
  <c r="AA414" i="20" s="1"/>
  <c r="AA234" i="20" s="1"/>
  <c r="AK143" i="12"/>
  <c r="AB414" i="20" s="1"/>
  <c r="AB234" i="20" s="1"/>
  <c r="AL143" i="12"/>
  <c r="AC414" i="20" s="1"/>
  <c r="AC234" i="20" s="1"/>
  <c r="AM143" i="12"/>
  <c r="AD414" i="20" s="1"/>
  <c r="AD234" i="20" s="1"/>
  <c r="AN143" i="12"/>
  <c r="AE414" i="20" s="1"/>
  <c r="AE234" i="20" s="1"/>
  <c r="AP143" i="12"/>
  <c r="AG414" i="20" s="1"/>
  <c r="AG234" i="20" s="1"/>
  <c r="AQ143" i="12"/>
  <c r="AH414" i="20" s="1"/>
  <c r="AH234" i="20" s="1"/>
  <c r="AR143" i="12"/>
  <c r="AI414" i="20" s="1"/>
  <c r="AI234" i="20" s="1"/>
  <c r="AS143" i="12"/>
  <c r="AJ414" i="20" s="1"/>
  <c r="AJ234" i="20" s="1"/>
  <c r="AT143" i="12"/>
  <c r="AK414" i="20" s="1"/>
  <c r="AK234" i="20" s="1"/>
  <c r="AU143" i="12"/>
  <c r="AL414" i="20" s="1"/>
  <c r="AL234" i="20" s="1"/>
  <c r="AV143" i="12"/>
  <c r="AM414" i="20" s="1"/>
  <c r="AM234" i="20" s="1"/>
  <c r="AW143" i="12"/>
  <c r="AN414" i="20" s="1"/>
  <c r="AN234" i="20" s="1"/>
  <c r="AX143" i="12"/>
  <c r="AO414" i="20" s="1"/>
  <c r="AO234" i="20" s="1"/>
  <c r="AY143" i="12"/>
  <c r="AP414" i="20" s="1"/>
  <c r="AP234" i="20" s="1"/>
  <c r="S8" i="13"/>
  <c r="S15" i="13" s="1"/>
  <c r="T8" i="13"/>
  <c r="T15" i="13" s="1"/>
  <c r="U200" i="20" s="1"/>
  <c r="V8" i="13"/>
  <c r="V15" i="13" s="1"/>
  <c r="W8" i="13"/>
  <c r="W15" i="13" s="1"/>
  <c r="X200" i="20" s="1"/>
  <c r="X8" i="13"/>
  <c r="X15" i="13" s="1"/>
  <c r="Y8" i="13"/>
  <c r="Y15" i="13" s="1"/>
  <c r="Z200" i="20" s="1"/>
  <c r="Z8" i="13"/>
  <c r="Z15" i="13" s="1"/>
  <c r="AA8" i="13"/>
  <c r="AB8" i="13"/>
  <c r="AB15" i="13" s="1"/>
  <c r="AC8" i="13"/>
  <c r="AC15" i="13" s="1"/>
  <c r="AD200" i="20" s="1"/>
  <c r="AD8" i="13"/>
  <c r="AD15" i="13" s="1"/>
  <c r="AE7" i="13"/>
  <c r="AE6" i="13"/>
  <c r="S13" i="13"/>
  <c r="S16" i="13" s="1"/>
  <c r="T13" i="13"/>
  <c r="T16" i="13" s="1"/>
  <c r="V13" i="13"/>
  <c r="V16" i="13" s="1"/>
  <c r="W13" i="13"/>
  <c r="W16" i="13" s="1"/>
  <c r="X13" i="13"/>
  <c r="X16" i="13" s="1"/>
  <c r="Y13" i="13"/>
  <c r="Y16" i="13" s="1"/>
  <c r="Z13" i="13"/>
  <c r="Z16" i="13" s="1"/>
  <c r="AA13" i="13"/>
  <c r="AA16" i="13" s="1"/>
  <c r="AB13" i="13"/>
  <c r="AB16" i="13" s="1"/>
  <c r="AC13" i="13"/>
  <c r="AC16" i="13" s="1"/>
  <c r="AD13" i="13"/>
  <c r="AD16" i="13" s="1"/>
  <c r="AE12" i="13"/>
  <c r="AE11" i="13"/>
  <c r="F13" i="13"/>
  <c r="F16" i="13" s="1"/>
  <c r="G13" i="13"/>
  <c r="G16" i="13" s="1"/>
  <c r="I13" i="13"/>
  <c r="I16" i="13" s="1"/>
  <c r="J13" i="13"/>
  <c r="J16" i="13" s="1"/>
  <c r="K13" i="13"/>
  <c r="K16" i="13" s="1"/>
  <c r="L13" i="13"/>
  <c r="L16" i="13" s="1"/>
  <c r="M13" i="13"/>
  <c r="M16" i="13" s="1"/>
  <c r="N13" i="13"/>
  <c r="N16" i="13" s="1"/>
  <c r="O13" i="13"/>
  <c r="O16" i="13" s="1"/>
  <c r="P13" i="13"/>
  <c r="P16" i="13" s="1"/>
  <c r="Q13" i="13"/>
  <c r="Q16" i="13" s="1"/>
  <c r="R12" i="13"/>
  <c r="R11" i="13"/>
  <c r="R6" i="13"/>
  <c r="R7" i="13"/>
  <c r="AA15" i="13"/>
  <c r="AB200" i="20" s="1"/>
  <c r="AY8" i="13"/>
  <c r="AY15" i="13" s="1"/>
  <c r="AY45" i="13" s="1"/>
  <c r="AY451" i="13" s="1"/>
  <c r="AY13" i="13"/>
  <c r="AY16" i="13" s="1"/>
  <c r="AZ13" i="13"/>
  <c r="AZ16" i="13" s="1"/>
  <c r="AZ8" i="13"/>
  <c r="AZ15" i="13" s="1"/>
  <c r="BA13" i="13"/>
  <c r="BA16" i="13" s="1"/>
  <c r="BA8" i="13"/>
  <c r="BA15" i="13" s="1"/>
  <c r="BB13" i="13"/>
  <c r="BB16" i="13" s="1"/>
  <c r="BB8" i="13"/>
  <c r="BB15" i="13" s="1"/>
  <c r="BC13" i="13"/>
  <c r="BC16" i="13" s="1"/>
  <c r="BC8" i="13"/>
  <c r="BC15" i="13" s="1"/>
  <c r="BD13" i="13"/>
  <c r="BD16" i="13" s="1"/>
  <c r="BD8" i="13"/>
  <c r="BD15" i="13" s="1"/>
  <c r="BE13" i="13"/>
  <c r="BE16" i="13" s="1"/>
  <c r="BE8" i="13"/>
  <c r="BE15" i="13" s="1"/>
  <c r="BF13" i="13"/>
  <c r="BF16" i="13" s="1"/>
  <c r="BF8" i="13"/>
  <c r="BF15" i="13" s="1"/>
  <c r="BG13" i="13"/>
  <c r="BG16" i="13" s="1"/>
  <c r="BG8" i="13"/>
  <c r="BG15" i="13" s="1"/>
  <c r="BH13" i="13"/>
  <c r="BH16" i="13" s="1"/>
  <c r="BH8" i="13"/>
  <c r="BH15" i="13" s="1"/>
  <c r="BI13" i="13"/>
  <c r="BI16" i="13" s="1"/>
  <c r="BI8" i="13"/>
  <c r="BI15" i="13" s="1"/>
  <c r="BJ13" i="13"/>
  <c r="BJ16" i="13" s="1"/>
  <c r="BJ8" i="13"/>
  <c r="BJ15" i="13" s="1"/>
  <c r="Q22" i="12"/>
  <c r="AA373" i="20"/>
  <c r="V373" i="20"/>
  <c r="Y373" i="20"/>
  <c r="H373" i="20"/>
  <c r="AD67" i="12"/>
  <c r="AG67" i="12"/>
  <c r="AJ67" i="12"/>
  <c r="AM67" i="12"/>
  <c r="Q67" i="12"/>
  <c r="T67" i="12"/>
  <c r="W67" i="12"/>
  <c r="Z67" i="12"/>
  <c r="BC55" i="12"/>
  <c r="BD55" i="12"/>
  <c r="BE55" i="12"/>
  <c r="BF55" i="12"/>
  <c r="BG55" i="12"/>
  <c r="BH55" i="12"/>
  <c r="BI55" i="12"/>
  <c r="BJ55" i="12"/>
  <c r="BK55" i="12"/>
  <c r="BL55" i="12"/>
  <c r="BM55" i="12"/>
  <c r="BN55" i="12"/>
  <c r="BO55" i="12"/>
  <c r="BP55" i="12"/>
  <c r="BQ55" i="12"/>
  <c r="AM387" i="20"/>
  <c r="AM416" i="20" s="1"/>
  <c r="AN387" i="20"/>
  <c r="AN416" i="20" s="1"/>
  <c r="AO387" i="20"/>
  <c r="AO416" i="20" s="1"/>
  <c r="AP387" i="20"/>
  <c r="U387" i="20"/>
  <c r="U394" i="20"/>
  <c r="V387" i="20"/>
  <c r="W394" i="20"/>
  <c r="X387" i="20"/>
  <c r="X394" i="20"/>
  <c r="Y387" i="20"/>
  <c r="Z394" i="20"/>
  <c r="AA387" i="20"/>
  <c r="AA394" i="20"/>
  <c r="AB387" i="20"/>
  <c r="AC394" i="20"/>
  <c r="AD387" i="20"/>
  <c r="AD394" i="20"/>
  <c r="AE387" i="20"/>
  <c r="T394" i="20"/>
  <c r="H387" i="20"/>
  <c r="H394" i="20"/>
  <c r="I387" i="20"/>
  <c r="J387" i="20"/>
  <c r="J394" i="20"/>
  <c r="K387" i="20"/>
  <c r="K394" i="20"/>
  <c r="L387" i="20"/>
  <c r="M394" i="20"/>
  <c r="N387" i="20"/>
  <c r="N394" i="20"/>
  <c r="O387" i="20"/>
  <c r="P394" i="20"/>
  <c r="Q387" i="20"/>
  <c r="Q394" i="20"/>
  <c r="R387" i="20"/>
  <c r="G387" i="20"/>
  <c r="G394" i="20"/>
  <c r="AH377" i="20"/>
  <c r="AG377" i="20"/>
  <c r="T377" i="20"/>
  <c r="U377" i="20"/>
  <c r="V377" i="20"/>
  <c r="W377" i="20"/>
  <c r="X377" i="20"/>
  <c r="Y377" i="20"/>
  <c r="Z377" i="20"/>
  <c r="AA377" i="20"/>
  <c r="AB377" i="20"/>
  <c r="AC377" i="20"/>
  <c r="AD377" i="20"/>
  <c r="AE377" i="20"/>
  <c r="H377" i="20"/>
  <c r="H397" i="20"/>
  <c r="I377" i="20"/>
  <c r="I397" i="20"/>
  <c r="J377" i="20"/>
  <c r="J397" i="20"/>
  <c r="K377" i="20"/>
  <c r="L377" i="20"/>
  <c r="M377" i="20"/>
  <c r="N377" i="20"/>
  <c r="O377" i="20"/>
  <c r="P377" i="20"/>
  <c r="Q377" i="20"/>
  <c r="R377" i="20"/>
  <c r="G377" i="20"/>
  <c r="G383" i="20"/>
  <c r="S383" i="20" s="1"/>
  <c r="G390" i="20"/>
  <c r="G397" i="20"/>
  <c r="AK373" i="20"/>
  <c r="AL373" i="20"/>
  <c r="AM373" i="20"/>
  <c r="AN373" i="20"/>
  <c r="AP164" i="3"/>
  <c r="Z31" i="19"/>
  <c r="Z32" i="19"/>
  <c r="Z29" i="19"/>
  <c r="Z28" i="19"/>
  <c r="Z30" i="19"/>
  <c r="AA31" i="19"/>
  <c r="AA32" i="19"/>
  <c r="AA29" i="19"/>
  <c r="AA28" i="19"/>
  <c r="AA30" i="19"/>
  <c r="AB31" i="19"/>
  <c r="AB32" i="19"/>
  <c r="AB29" i="19"/>
  <c r="AB28" i="19"/>
  <c r="AB30" i="19"/>
  <c r="AC31" i="19"/>
  <c r="AC32" i="19"/>
  <c r="AC29" i="19"/>
  <c r="AC28" i="19"/>
  <c r="AC30" i="19"/>
  <c r="AD31" i="19"/>
  <c r="AD32" i="19"/>
  <c r="AD29" i="19"/>
  <c r="AD28" i="19"/>
  <c r="AD30" i="19"/>
  <c r="AE31" i="19"/>
  <c r="AE32" i="19"/>
  <c r="AE29" i="19"/>
  <c r="AE28" i="19"/>
  <c r="AE30" i="19"/>
  <c r="AF31" i="19"/>
  <c r="AF32" i="19"/>
  <c r="AF29" i="19"/>
  <c r="AF28" i="19"/>
  <c r="AF30" i="19"/>
  <c r="AG31" i="19"/>
  <c r="AG32" i="19"/>
  <c r="AG29" i="19"/>
  <c r="AG28" i="19"/>
  <c r="AG30" i="19"/>
  <c r="AH31" i="19"/>
  <c r="AH32" i="19"/>
  <c r="AH29" i="19"/>
  <c r="AH28" i="19"/>
  <c r="AH30" i="19"/>
  <c r="AI31" i="19"/>
  <c r="AI32" i="19"/>
  <c r="AI29" i="19"/>
  <c r="AI28" i="19"/>
  <c r="AI30" i="19"/>
  <c r="AJ31" i="19"/>
  <c r="AJ32" i="19"/>
  <c r="AJ29" i="19"/>
  <c r="AJ28" i="19"/>
  <c r="AJ30" i="19"/>
  <c r="AK31" i="19"/>
  <c r="AK32" i="19"/>
  <c r="AK29" i="19"/>
  <c r="AK28" i="19"/>
  <c r="AK30" i="19"/>
  <c r="Z40" i="19"/>
  <c r="Z476" i="19" s="1"/>
  <c r="AF476" i="21" s="1"/>
  <c r="AA32" i="8"/>
  <c r="Z41" i="19" s="1"/>
  <c r="Z477" i="19" s="1"/>
  <c r="AF477" i="21" s="1"/>
  <c r="Z47" i="19"/>
  <c r="Z486" i="19" s="1"/>
  <c r="AF486" i="21" s="1"/>
  <c r="Z49" i="19"/>
  <c r="AA147" i="8"/>
  <c r="AA518" i="8" s="1"/>
  <c r="AF518" i="21" s="1"/>
  <c r="AA40" i="19"/>
  <c r="AA476" i="19" s="1"/>
  <c r="AG476" i="21" s="1"/>
  <c r="AB32" i="8"/>
  <c r="AA41" i="19" s="1"/>
  <c r="AA477" i="19" s="1"/>
  <c r="AG477" i="21" s="1"/>
  <c r="AA47" i="19"/>
  <c r="AA486" i="19" s="1"/>
  <c r="AG486" i="21" s="1"/>
  <c r="AA49" i="19"/>
  <c r="AB40" i="19"/>
  <c r="AB476" i="19" s="1"/>
  <c r="AH476" i="21" s="1"/>
  <c r="AC32" i="8"/>
  <c r="AB41" i="19" s="1"/>
  <c r="AB477" i="19" s="1"/>
  <c r="AH477" i="21" s="1"/>
  <c r="AB47" i="19"/>
  <c r="AB486" i="19" s="1"/>
  <c r="AH486" i="21" s="1"/>
  <c r="AB49" i="19"/>
  <c r="AC40" i="19"/>
  <c r="AC476" i="19" s="1"/>
  <c r="AI476" i="21" s="1"/>
  <c r="AD32" i="8"/>
  <c r="AC41" i="19" s="1"/>
  <c r="AC477" i="19" s="1"/>
  <c r="AI477" i="21" s="1"/>
  <c r="AC47" i="19"/>
  <c r="AC486" i="19" s="1"/>
  <c r="AI486" i="21" s="1"/>
  <c r="AC49" i="19"/>
  <c r="AD40" i="19"/>
  <c r="AD476" i="19" s="1"/>
  <c r="AJ476" i="21" s="1"/>
  <c r="AE32" i="8"/>
  <c r="AD41" i="19" s="1"/>
  <c r="AD477" i="19" s="1"/>
  <c r="AJ477" i="21" s="1"/>
  <c r="AD47" i="19"/>
  <c r="AD486" i="19" s="1"/>
  <c r="AJ486" i="21" s="1"/>
  <c r="AD49" i="19"/>
  <c r="AE40" i="19"/>
  <c r="AE476" i="19" s="1"/>
  <c r="AK476" i="21" s="1"/>
  <c r="AF32" i="8"/>
  <c r="AE41" i="19" s="1"/>
  <c r="AE477" i="19" s="1"/>
  <c r="AK477" i="21" s="1"/>
  <c r="AE47" i="19"/>
  <c r="AE486" i="19" s="1"/>
  <c r="AK486" i="21" s="1"/>
  <c r="AE49" i="19"/>
  <c r="AF40" i="19"/>
  <c r="AF476" i="19" s="1"/>
  <c r="AL476" i="21" s="1"/>
  <c r="AG32" i="8"/>
  <c r="AF41" i="19" s="1"/>
  <c r="AF477" i="19" s="1"/>
  <c r="AL477" i="21" s="1"/>
  <c r="AF47" i="19"/>
  <c r="AF486" i="19" s="1"/>
  <c r="AL486" i="21" s="1"/>
  <c r="AF49" i="19"/>
  <c r="AG40" i="19"/>
  <c r="AG476" i="19" s="1"/>
  <c r="AM476" i="21" s="1"/>
  <c r="AH32" i="8"/>
  <c r="AG41" i="19" s="1"/>
  <c r="AG477" i="19" s="1"/>
  <c r="AM477" i="21" s="1"/>
  <c r="AG47" i="19"/>
  <c r="AG486" i="19" s="1"/>
  <c r="AM486" i="21" s="1"/>
  <c r="AG49" i="19"/>
  <c r="AH40" i="19"/>
  <c r="AH476" i="19" s="1"/>
  <c r="AN476" i="21" s="1"/>
  <c r="AI32" i="8"/>
  <c r="AH41" i="19" s="1"/>
  <c r="AH477" i="19" s="1"/>
  <c r="AN477" i="21" s="1"/>
  <c r="AH47" i="19"/>
  <c r="AH486" i="19" s="1"/>
  <c r="AN486" i="21" s="1"/>
  <c r="AH49" i="19"/>
  <c r="AI40" i="19"/>
  <c r="AI476" i="19" s="1"/>
  <c r="AO476" i="21" s="1"/>
  <c r="AJ32" i="8"/>
  <c r="AI41" i="19" s="1"/>
  <c r="AI477" i="19" s="1"/>
  <c r="AO477" i="21" s="1"/>
  <c r="AI47" i="19"/>
  <c r="AI486" i="19" s="1"/>
  <c r="AO486" i="21" s="1"/>
  <c r="AI49" i="19"/>
  <c r="AJ40" i="19"/>
  <c r="AJ476" i="19" s="1"/>
  <c r="AP476" i="21" s="1"/>
  <c r="AK32" i="8"/>
  <c r="AJ41" i="19" s="1"/>
  <c r="AJ477" i="19" s="1"/>
  <c r="AP477" i="21" s="1"/>
  <c r="AJ47" i="19"/>
  <c r="AJ486" i="19" s="1"/>
  <c r="AP486" i="21" s="1"/>
  <c r="AK40" i="19"/>
  <c r="AK476" i="19" s="1"/>
  <c r="AQ476" i="21" s="1"/>
  <c r="AL32" i="8"/>
  <c r="AK41" i="19" s="1"/>
  <c r="AK477" i="19" s="1"/>
  <c r="AQ477" i="21" s="1"/>
  <c r="AK47" i="19"/>
  <c r="AK486" i="19" s="1"/>
  <c r="AQ486" i="21" s="1"/>
  <c r="AN20" i="5"/>
  <c r="AN15" i="3"/>
  <c r="Q9" i="12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C9" i="12" s="1"/>
  <c r="AD9" i="12" s="1"/>
  <c r="AE9" i="12" s="1"/>
  <c r="AF9" i="12" s="1"/>
  <c r="AG9" i="12" s="1"/>
  <c r="P135" i="12"/>
  <c r="N59" i="8"/>
  <c r="O25" i="10"/>
  <c r="G221" i="20" s="1"/>
  <c r="O28" i="10"/>
  <c r="Q134" i="12"/>
  <c r="O59" i="8"/>
  <c r="P25" i="10"/>
  <c r="H221" i="20" s="1"/>
  <c r="P28" i="10"/>
  <c r="R134" i="12"/>
  <c r="P59" i="8"/>
  <c r="Q25" i="10"/>
  <c r="I221" i="20" s="1"/>
  <c r="Q28" i="10"/>
  <c r="S134" i="12"/>
  <c r="Q59" i="8"/>
  <c r="R25" i="10"/>
  <c r="J221" i="20" s="1"/>
  <c r="R28" i="10"/>
  <c r="T134" i="12"/>
  <c r="R59" i="8"/>
  <c r="S25" i="10"/>
  <c r="K221" i="20" s="1"/>
  <c r="S28" i="10"/>
  <c r="U134" i="12"/>
  <c r="S59" i="8"/>
  <c r="T25" i="10"/>
  <c r="L221" i="20" s="1"/>
  <c r="T28" i="10"/>
  <c r="V134" i="12"/>
  <c r="T59" i="8"/>
  <c r="U25" i="10"/>
  <c r="U28" i="10"/>
  <c r="W134" i="12"/>
  <c r="U59" i="8"/>
  <c r="V25" i="10"/>
  <c r="N221" i="20" s="1"/>
  <c r="V28" i="10"/>
  <c r="X134" i="12"/>
  <c r="V59" i="8"/>
  <c r="W25" i="10"/>
  <c r="O221" i="20" s="1"/>
  <c r="W28" i="10"/>
  <c r="Y134" i="12"/>
  <c r="W59" i="8"/>
  <c r="X25" i="10"/>
  <c r="P221" i="20" s="1"/>
  <c r="X28" i="10"/>
  <c r="Z134" i="12"/>
  <c r="X59" i="8"/>
  <c r="Y25" i="10"/>
  <c r="Q221" i="20" s="1"/>
  <c r="Y28" i="10"/>
  <c r="AA134" i="12"/>
  <c r="Y59" i="8"/>
  <c r="Z25" i="10"/>
  <c r="R221" i="20" s="1"/>
  <c r="Z28" i="10"/>
  <c r="Z15" i="3"/>
  <c r="Z16" i="3"/>
  <c r="AB516" i="10"/>
  <c r="AB517" i="10"/>
  <c r="AB567" i="9"/>
  <c r="AB433" i="10"/>
  <c r="AF433" i="21" s="1"/>
  <c r="AB435" i="10"/>
  <c r="AF435" i="21" s="1"/>
  <c r="AB436" i="10"/>
  <c r="AF436" i="21" s="1"/>
  <c r="AB437" i="10"/>
  <c r="AF437" i="21" s="1"/>
  <c r="AB438" i="10"/>
  <c r="AF438" i="21" s="1"/>
  <c r="AB439" i="10"/>
  <c r="AF439" i="21" s="1"/>
  <c r="AB440" i="10"/>
  <c r="AF440" i="21" s="1"/>
  <c r="AB441" i="10"/>
  <c r="AF441" i="21" s="1"/>
  <c r="AB442" i="10"/>
  <c r="AF442" i="21" s="1"/>
  <c r="AB443" i="10"/>
  <c r="AF443" i="21" s="1"/>
  <c r="AB445" i="10"/>
  <c r="AF445" i="21" s="1"/>
  <c r="AC516" i="10"/>
  <c r="AC517" i="10"/>
  <c r="AB147" i="8"/>
  <c r="AB518" i="8" s="1"/>
  <c r="AG518" i="21" s="1"/>
  <c r="AC567" i="9"/>
  <c r="AC433" i="10"/>
  <c r="AG433" i="21" s="1"/>
  <c r="AC435" i="10"/>
  <c r="AG435" i="21" s="1"/>
  <c r="AC436" i="10"/>
  <c r="AG436" i="21" s="1"/>
  <c r="AC437" i="10"/>
  <c r="AG437" i="21" s="1"/>
  <c r="AC438" i="10"/>
  <c r="AG438" i="21" s="1"/>
  <c r="AC439" i="10"/>
  <c r="AG439" i="21" s="1"/>
  <c r="AC440" i="10"/>
  <c r="AG440" i="21" s="1"/>
  <c r="AC441" i="10"/>
  <c r="AG441" i="21" s="1"/>
  <c r="AC442" i="10"/>
  <c r="AG442" i="21" s="1"/>
  <c r="AC443" i="10"/>
  <c r="AG443" i="21" s="1"/>
  <c r="AC445" i="10"/>
  <c r="AG445" i="21" s="1"/>
  <c r="AD516" i="10"/>
  <c r="AD517" i="10"/>
  <c r="AC147" i="8"/>
  <c r="AC518" i="8" s="1"/>
  <c r="AH518" i="21" s="1"/>
  <c r="AD567" i="9"/>
  <c r="AD433" i="10"/>
  <c r="AH433" i="21" s="1"/>
  <c r="AD435" i="10"/>
  <c r="AH435" i="21" s="1"/>
  <c r="AD436" i="10"/>
  <c r="AH436" i="21" s="1"/>
  <c r="AD437" i="10"/>
  <c r="AH437" i="21" s="1"/>
  <c r="AD438" i="10"/>
  <c r="AH438" i="21" s="1"/>
  <c r="AD439" i="10"/>
  <c r="AH439" i="21" s="1"/>
  <c r="AD440" i="10"/>
  <c r="AH440" i="21" s="1"/>
  <c r="AD441" i="10"/>
  <c r="AH441" i="21" s="1"/>
  <c r="AD442" i="10"/>
  <c r="AH442" i="21" s="1"/>
  <c r="AD443" i="10"/>
  <c r="AH443" i="21" s="1"/>
  <c r="AD445" i="10"/>
  <c r="AH445" i="21" s="1"/>
  <c r="AE516" i="10"/>
  <c r="AE517" i="10"/>
  <c r="AD147" i="8"/>
  <c r="AD518" i="8" s="1"/>
  <c r="AI518" i="21" s="1"/>
  <c r="AE567" i="9"/>
  <c r="AE433" i="10"/>
  <c r="AI433" i="21" s="1"/>
  <c r="AE435" i="10"/>
  <c r="AI435" i="21" s="1"/>
  <c r="AE436" i="10"/>
  <c r="AI436" i="21" s="1"/>
  <c r="AE437" i="10"/>
  <c r="AI437" i="21" s="1"/>
  <c r="AE438" i="10"/>
  <c r="AI438" i="21" s="1"/>
  <c r="AE439" i="10"/>
  <c r="AI439" i="21" s="1"/>
  <c r="AE440" i="10"/>
  <c r="AI440" i="21" s="1"/>
  <c r="AE441" i="10"/>
  <c r="AI441" i="21" s="1"/>
  <c r="AE442" i="10"/>
  <c r="AI442" i="21" s="1"/>
  <c r="AE443" i="10"/>
  <c r="AI443" i="21" s="1"/>
  <c r="AE445" i="10"/>
  <c r="AI445" i="21" s="1"/>
  <c r="AF516" i="10"/>
  <c r="AF517" i="10"/>
  <c r="AE147" i="8"/>
  <c r="AE518" i="8" s="1"/>
  <c r="AJ518" i="21" s="1"/>
  <c r="AF567" i="9"/>
  <c r="AF433" i="10"/>
  <c r="AJ433" i="21" s="1"/>
  <c r="AF435" i="10"/>
  <c r="AJ435" i="21" s="1"/>
  <c r="AF436" i="10"/>
  <c r="AJ436" i="21" s="1"/>
  <c r="AF437" i="10"/>
  <c r="AJ437" i="21" s="1"/>
  <c r="AF438" i="10"/>
  <c r="AJ438" i="21" s="1"/>
  <c r="AF439" i="10"/>
  <c r="AJ439" i="21" s="1"/>
  <c r="AF440" i="10"/>
  <c r="AJ440" i="21" s="1"/>
  <c r="AF441" i="10"/>
  <c r="AJ441" i="21" s="1"/>
  <c r="AF442" i="10"/>
  <c r="AJ442" i="21" s="1"/>
  <c r="AF443" i="10"/>
  <c r="AJ443" i="21" s="1"/>
  <c r="AF445" i="10"/>
  <c r="AJ445" i="21" s="1"/>
  <c r="AG516" i="10"/>
  <c r="AG517" i="10"/>
  <c r="AF147" i="8"/>
  <c r="AF518" i="8" s="1"/>
  <c r="AK518" i="21" s="1"/>
  <c r="AG567" i="9"/>
  <c r="AG433" i="10"/>
  <c r="AK433" i="21" s="1"/>
  <c r="AG435" i="10"/>
  <c r="AK435" i="21" s="1"/>
  <c r="AG436" i="10"/>
  <c r="AK436" i="21" s="1"/>
  <c r="AG437" i="10"/>
  <c r="AK437" i="21" s="1"/>
  <c r="AG438" i="10"/>
  <c r="AK438" i="21" s="1"/>
  <c r="AG439" i="10"/>
  <c r="AK439" i="21" s="1"/>
  <c r="AG440" i="10"/>
  <c r="AK440" i="21" s="1"/>
  <c r="AG441" i="10"/>
  <c r="AK441" i="21" s="1"/>
  <c r="AG442" i="10"/>
  <c r="AK442" i="21" s="1"/>
  <c r="AG443" i="10"/>
  <c r="AK443" i="21" s="1"/>
  <c r="AG445" i="10"/>
  <c r="AK445" i="21" s="1"/>
  <c r="AH516" i="10"/>
  <c r="AH517" i="10"/>
  <c r="AG147" i="8"/>
  <c r="AG518" i="8" s="1"/>
  <c r="AL518" i="21" s="1"/>
  <c r="AH567" i="9"/>
  <c r="AH433" i="10"/>
  <c r="AL433" i="21" s="1"/>
  <c r="AH435" i="10"/>
  <c r="AL435" i="21" s="1"/>
  <c r="AH436" i="10"/>
  <c r="AL436" i="21" s="1"/>
  <c r="AH437" i="10"/>
  <c r="AL437" i="21" s="1"/>
  <c r="AH438" i="10"/>
  <c r="AL438" i="21" s="1"/>
  <c r="AH439" i="10"/>
  <c r="AL439" i="21" s="1"/>
  <c r="AH440" i="10"/>
  <c r="AL440" i="21" s="1"/>
  <c r="AH441" i="10"/>
  <c r="AL441" i="21" s="1"/>
  <c r="AH442" i="10"/>
  <c r="AL442" i="21" s="1"/>
  <c r="AH443" i="10"/>
  <c r="AL443" i="21" s="1"/>
  <c r="AH445" i="10"/>
  <c r="AL445" i="21" s="1"/>
  <c r="AI516" i="10"/>
  <c r="AI517" i="10"/>
  <c r="AH147" i="8"/>
  <c r="AH518" i="8" s="1"/>
  <c r="AM518" i="21" s="1"/>
  <c r="AI567" i="9"/>
  <c r="AI433" i="10"/>
  <c r="AM433" i="21" s="1"/>
  <c r="AI435" i="10"/>
  <c r="AM435" i="21" s="1"/>
  <c r="AI436" i="10"/>
  <c r="AM436" i="21" s="1"/>
  <c r="AI437" i="10"/>
  <c r="AM437" i="21" s="1"/>
  <c r="AI438" i="10"/>
  <c r="AM438" i="21" s="1"/>
  <c r="AI439" i="10"/>
  <c r="AM439" i="21" s="1"/>
  <c r="AI440" i="10"/>
  <c r="AM440" i="21" s="1"/>
  <c r="AI441" i="10"/>
  <c r="AM441" i="21" s="1"/>
  <c r="AI442" i="10"/>
  <c r="AM442" i="21" s="1"/>
  <c r="AI443" i="10"/>
  <c r="AM443" i="21" s="1"/>
  <c r="AI445" i="10"/>
  <c r="AM445" i="21" s="1"/>
  <c r="AJ516" i="10"/>
  <c r="AJ517" i="10"/>
  <c r="AI147" i="8"/>
  <c r="AI518" i="8" s="1"/>
  <c r="AN518" i="21" s="1"/>
  <c r="AJ567" i="9"/>
  <c r="AJ433" i="10"/>
  <c r="AN433" i="21" s="1"/>
  <c r="AJ435" i="10"/>
  <c r="AN435" i="21" s="1"/>
  <c r="AJ436" i="10"/>
  <c r="AN436" i="21" s="1"/>
  <c r="AJ437" i="10"/>
  <c r="AN437" i="21" s="1"/>
  <c r="AJ438" i="10"/>
  <c r="AN438" i="21" s="1"/>
  <c r="AJ439" i="10"/>
  <c r="AN439" i="21" s="1"/>
  <c r="AJ440" i="10"/>
  <c r="AN440" i="21" s="1"/>
  <c r="AJ441" i="10"/>
  <c r="AN441" i="21" s="1"/>
  <c r="AJ442" i="10"/>
  <c r="AN442" i="21" s="1"/>
  <c r="AJ443" i="10"/>
  <c r="AN443" i="21" s="1"/>
  <c r="AJ445" i="10"/>
  <c r="AN445" i="21" s="1"/>
  <c r="AK516" i="10"/>
  <c r="AK517" i="10"/>
  <c r="AJ147" i="8"/>
  <c r="AJ518" i="8" s="1"/>
  <c r="AO518" i="21" s="1"/>
  <c r="AK567" i="9"/>
  <c r="AK433" i="10"/>
  <c r="AO433" i="21" s="1"/>
  <c r="AK435" i="10"/>
  <c r="AO435" i="21" s="1"/>
  <c r="AK436" i="10"/>
  <c r="AO436" i="21" s="1"/>
  <c r="AK437" i="10"/>
  <c r="AO437" i="21" s="1"/>
  <c r="AK438" i="10"/>
  <c r="AO438" i="21" s="1"/>
  <c r="AK439" i="10"/>
  <c r="AO439" i="21" s="1"/>
  <c r="AK440" i="10"/>
  <c r="AO440" i="21" s="1"/>
  <c r="AK441" i="10"/>
  <c r="AO441" i="21" s="1"/>
  <c r="AK442" i="10"/>
  <c r="AO442" i="21" s="1"/>
  <c r="AK443" i="10"/>
  <c r="AO443" i="21" s="1"/>
  <c r="AK445" i="10"/>
  <c r="AO445" i="21" s="1"/>
  <c r="AL516" i="10"/>
  <c r="AL517" i="10"/>
  <c r="AK147" i="8"/>
  <c r="AK518" i="8" s="1"/>
  <c r="AP518" i="21" s="1"/>
  <c r="AL567" i="9"/>
  <c r="AL433" i="10"/>
  <c r="AP433" i="21" s="1"/>
  <c r="AL435" i="10"/>
  <c r="AP435" i="21" s="1"/>
  <c r="AL436" i="10"/>
  <c r="AP436" i="21" s="1"/>
  <c r="AL437" i="10"/>
  <c r="AP437" i="21" s="1"/>
  <c r="AL438" i="10"/>
  <c r="AP438" i="21" s="1"/>
  <c r="AL439" i="10"/>
  <c r="AP439" i="21" s="1"/>
  <c r="AL440" i="10"/>
  <c r="AP440" i="21" s="1"/>
  <c r="AL441" i="10"/>
  <c r="AP441" i="21" s="1"/>
  <c r="AL442" i="10"/>
  <c r="AP442" i="21" s="1"/>
  <c r="AL443" i="10"/>
  <c r="AP443" i="21" s="1"/>
  <c r="AL445" i="10"/>
  <c r="AP445" i="21" s="1"/>
  <c r="AM516" i="10"/>
  <c r="AM517" i="10"/>
  <c r="AL147" i="8"/>
  <c r="AL518" i="8" s="1"/>
  <c r="AQ518" i="21" s="1"/>
  <c r="AM567" i="9"/>
  <c r="AM433" i="10"/>
  <c r="AQ433" i="21" s="1"/>
  <c r="AM435" i="10"/>
  <c r="AQ435" i="21" s="1"/>
  <c r="AM436" i="10"/>
  <c r="AQ436" i="21" s="1"/>
  <c r="AM437" i="10"/>
  <c r="AQ437" i="21" s="1"/>
  <c r="AM438" i="10"/>
  <c r="AQ438" i="21" s="1"/>
  <c r="AM439" i="10"/>
  <c r="AQ439" i="21" s="1"/>
  <c r="AM440" i="10"/>
  <c r="AQ440" i="21" s="1"/>
  <c r="AM441" i="10"/>
  <c r="AQ441" i="21" s="1"/>
  <c r="AM442" i="10"/>
  <c r="AQ442" i="21" s="1"/>
  <c r="AM443" i="10"/>
  <c r="AQ443" i="21" s="1"/>
  <c r="AM445" i="10"/>
  <c r="AQ445" i="21" s="1"/>
  <c r="AA15" i="3"/>
  <c r="U15" i="20" s="1"/>
  <c r="AA16" i="3"/>
  <c r="U16" i="20" s="1"/>
  <c r="AB15" i="3"/>
  <c r="V15" i="20" s="1"/>
  <c r="AB16" i="3"/>
  <c r="AC15" i="3"/>
  <c r="W15" i="20" s="1"/>
  <c r="AC16" i="3"/>
  <c r="W16" i="20" s="1"/>
  <c r="AD15" i="3"/>
  <c r="X15" i="20" s="1"/>
  <c r="AD16" i="3"/>
  <c r="AE15" i="3"/>
  <c r="Y15" i="20" s="1"/>
  <c r="AE16" i="3"/>
  <c r="Y16" i="20" s="1"/>
  <c r="AF15" i="3"/>
  <c r="AF16" i="3"/>
  <c r="AG15" i="3"/>
  <c r="AA15" i="20" s="1"/>
  <c r="AG16" i="3"/>
  <c r="AA16" i="20" s="1"/>
  <c r="AH15" i="3"/>
  <c r="AB15" i="20" s="1"/>
  <c r="AH16" i="3"/>
  <c r="AI15" i="3"/>
  <c r="AC15" i="20" s="1"/>
  <c r="AI16" i="3"/>
  <c r="AC16" i="20" s="1"/>
  <c r="AJ15" i="3"/>
  <c r="AD15" i="20" s="1"/>
  <c r="AJ16" i="3"/>
  <c r="AK15" i="3"/>
  <c r="AE15" i="20" s="1"/>
  <c r="AK16" i="3"/>
  <c r="AE16" i="20" s="1"/>
  <c r="T45" i="13"/>
  <c r="T451" i="13" s="1"/>
  <c r="W45" i="13"/>
  <c r="W451" i="13" s="1"/>
  <c r="Y45" i="13"/>
  <c r="Y451" i="13" s="1"/>
  <c r="AA45" i="13"/>
  <c r="AA451" i="13" s="1"/>
  <c r="AC45" i="13"/>
  <c r="AC451" i="13" s="1"/>
  <c r="AM10" i="8"/>
  <c r="AM77" i="8" s="1"/>
  <c r="AL83" i="3" s="1"/>
  <c r="AC134" i="12"/>
  <c r="AB25" i="10"/>
  <c r="AB28" i="10"/>
  <c r="AD134" i="12"/>
  <c r="AC25" i="10"/>
  <c r="U221" i="20" s="1"/>
  <c r="AC28" i="10"/>
  <c r="AE134" i="12"/>
  <c r="AD25" i="10"/>
  <c r="V221" i="20" s="1"/>
  <c r="AD28" i="10"/>
  <c r="AF134" i="12"/>
  <c r="AE25" i="10"/>
  <c r="W221" i="20" s="1"/>
  <c r="AE28" i="10"/>
  <c r="AF25" i="10"/>
  <c r="X221" i="20" s="1"/>
  <c r="AF28" i="10"/>
  <c r="AH134" i="12"/>
  <c r="AG25" i="10"/>
  <c r="Y221" i="20" s="1"/>
  <c r="AG28" i="10"/>
  <c r="AI134" i="12"/>
  <c r="AH25" i="10"/>
  <c r="Z221" i="20" s="1"/>
  <c r="AH28" i="10"/>
  <c r="AJ134" i="12"/>
  <c r="AI25" i="10"/>
  <c r="AA221" i="20" s="1"/>
  <c r="AI28" i="10"/>
  <c r="AK134" i="12"/>
  <c r="AJ25" i="10"/>
  <c r="AB221" i="20" s="1"/>
  <c r="AJ28" i="10"/>
  <c r="AL134" i="12"/>
  <c r="AK25" i="10"/>
  <c r="AC221" i="20" s="1"/>
  <c r="AK28" i="10"/>
  <c r="AM134" i="12"/>
  <c r="AL25" i="10"/>
  <c r="AD221" i="20" s="1"/>
  <c r="AL28" i="10"/>
  <c r="AN134" i="12"/>
  <c r="AM25" i="10"/>
  <c r="AE221" i="20" s="1"/>
  <c r="AM28" i="10"/>
  <c r="AM15" i="3"/>
  <c r="AG15" i="20" s="1"/>
  <c r="AO516" i="10"/>
  <c r="AO517" i="10"/>
  <c r="AN147" i="8"/>
  <c r="AN518" i="8" s="1"/>
  <c r="AS518" i="21" s="1"/>
  <c r="AO567" i="9"/>
  <c r="AO433" i="10"/>
  <c r="AS433" i="21" s="1"/>
  <c r="AO435" i="10"/>
  <c r="AS435" i="21" s="1"/>
  <c r="AO436" i="10"/>
  <c r="AS436" i="21" s="1"/>
  <c r="AO437" i="10"/>
  <c r="AS437" i="21" s="1"/>
  <c r="AO438" i="10"/>
  <c r="AS438" i="21" s="1"/>
  <c r="AO439" i="10"/>
  <c r="AS439" i="21" s="1"/>
  <c r="AO440" i="10"/>
  <c r="AS440" i="21" s="1"/>
  <c r="AO441" i="10"/>
  <c r="AS441" i="21" s="1"/>
  <c r="AO442" i="10"/>
  <c r="AS442" i="21" s="1"/>
  <c r="AO443" i="10"/>
  <c r="AS443" i="21" s="1"/>
  <c r="AO445" i="10"/>
  <c r="AS445" i="21" s="1"/>
  <c r="AP134" i="12"/>
  <c r="AO25" i="10"/>
  <c r="AG221" i="20" s="1"/>
  <c r="AO28" i="10"/>
  <c r="AG379" i="20"/>
  <c r="AG392" i="20"/>
  <c r="AP516" i="10"/>
  <c r="AP517" i="10"/>
  <c r="AO147" i="8"/>
  <c r="AO518" i="8" s="1"/>
  <c r="AT518" i="21" s="1"/>
  <c r="AP567" i="9"/>
  <c r="AP433" i="10"/>
  <c r="AT433" i="21" s="1"/>
  <c r="AP435" i="10"/>
  <c r="AT435" i="21" s="1"/>
  <c r="AP436" i="10"/>
  <c r="AT436" i="21" s="1"/>
  <c r="AP437" i="10"/>
  <c r="AT437" i="21" s="1"/>
  <c r="AP438" i="10"/>
  <c r="AT438" i="21" s="1"/>
  <c r="AP439" i="10"/>
  <c r="AT439" i="21" s="1"/>
  <c r="AP440" i="10"/>
  <c r="AT440" i="21" s="1"/>
  <c r="AP441" i="10"/>
  <c r="AT441" i="21" s="1"/>
  <c r="AP442" i="10"/>
  <c r="AT442" i="21" s="1"/>
  <c r="AP443" i="10"/>
  <c r="AT443" i="21" s="1"/>
  <c r="AQ134" i="12"/>
  <c r="AP25" i="10"/>
  <c r="AH221" i="20" s="1"/>
  <c r="AP28" i="10"/>
  <c r="AH379" i="20"/>
  <c r="AH392" i="20"/>
  <c r="AP500" i="8"/>
  <c r="AQ567" i="9"/>
  <c r="AR134" i="12"/>
  <c r="AI392" i="20"/>
  <c r="AQ500" i="8"/>
  <c r="AR567" i="9"/>
  <c r="AS134" i="12"/>
  <c r="AJ392" i="20"/>
  <c r="AR500" i="8"/>
  <c r="AS567" i="9"/>
  <c r="AT134" i="12"/>
  <c r="AK392" i="20"/>
  <c r="AS500" i="8"/>
  <c r="AT567" i="9"/>
  <c r="AU134" i="12"/>
  <c r="AL392" i="20"/>
  <c r="AT500" i="8"/>
  <c r="AU567" i="9"/>
  <c r="AV134" i="12"/>
  <c r="AM392" i="20"/>
  <c r="AU500" i="8"/>
  <c r="AV567" i="9"/>
  <c r="AP163" i="3"/>
  <c r="AA8" i="10"/>
  <c r="AF19" i="28"/>
  <c r="AF17" i="28"/>
  <c r="AF15" i="28"/>
  <c r="AF13" i="28"/>
  <c r="AF11" i="28"/>
  <c r="AF9" i="28"/>
  <c r="S19" i="28"/>
  <c r="S17" i="28"/>
  <c r="S15" i="28"/>
  <c r="S13" i="28"/>
  <c r="S11" i="28"/>
  <c r="S9" i="28"/>
  <c r="S7" i="28"/>
  <c r="H1" i="28"/>
  <c r="I1" i="28"/>
  <c r="J1" i="28"/>
  <c r="K1" i="28"/>
  <c r="L1" i="28"/>
  <c r="M1" i="28"/>
  <c r="N1" i="28"/>
  <c r="O1" i="28"/>
  <c r="P1" i="28"/>
  <c r="Q1" i="28"/>
  <c r="R1" i="28"/>
  <c r="T1" i="28"/>
  <c r="U1" i="28"/>
  <c r="V1" i="28"/>
  <c r="W1" i="28"/>
  <c r="X1" i="28"/>
  <c r="Y1" i="28"/>
  <c r="Z1" i="28"/>
  <c r="AA1" i="28"/>
  <c r="AB1" i="28"/>
  <c r="AC1" i="28"/>
  <c r="AD1" i="28"/>
  <c r="AE1" i="28"/>
  <c r="H2" i="28"/>
  <c r="I2" i="28"/>
  <c r="J2" i="28"/>
  <c r="K2" i="28"/>
  <c r="L2" i="28"/>
  <c r="M2" i="28"/>
  <c r="N2" i="28"/>
  <c r="O2" i="28"/>
  <c r="P2" i="28"/>
  <c r="Q2" i="28"/>
  <c r="R2" i="28"/>
  <c r="S2" i="28"/>
  <c r="T2" i="28"/>
  <c r="U2" i="28"/>
  <c r="V2" i="28"/>
  <c r="W2" i="28"/>
  <c r="X2" i="28"/>
  <c r="Y2" i="28"/>
  <c r="Z2" i="28"/>
  <c r="AA2" i="28"/>
  <c r="AB2" i="28"/>
  <c r="AC2" i="28"/>
  <c r="AD2" i="28"/>
  <c r="AE2" i="28"/>
  <c r="AF2" i="28"/>
  <c r="AG2" i="28"/>
  <c r="G2" i="28"/>
  <c r="G1" i="28"/>
  <c r="AM163" i="3"/>
  <c r="M32" i="3"/>
  <c r="N32" i="3" s="1"/>
  <c r="O32" i="3" s="1"/>
  <c r="P32" i="3" s="1"/>
  <c r="Q32" i="3" s="1"/>
  <c r="R32" i="3" s="1"/>
  <c r="M31" i="3"/>
  <c r="N31" i="3" s="1"/>
  <c r="O31" i="3" s="1"/>
  <c r="P31" i="3" s="1"/>
  <c r="Q31" i="3" s="1"/>
  <c r="R31" i="3" s="1"/>
  <c r="S31" i="3" s="1"/>
  <c r="T31" i="3" s="1"/>
  <c r="M163" i="3"/>
  <c r="N163" i="3"/>
  <c r="O163" i="3"/>
  <c r="P163" i="3"/>
  <c r="Q163" i="3"/>
  <c r="R163" i="3"/>
  <c r="S163" i="3"/>
  <c r="T163" i="3"/>
  <c r="U163" i="3"/>
  <c r="V163" i="3"/>
  <c r="W163" i="3"/>
  <c r="X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N163" i="3"/>
  <c r="AO163" i="3"/>
  <c r="AQ163" i="3"/>
  <c r="AR163" i="3"/>
  <c r="AS163" i="3"/>
  <c r="AT163" i="3"/>
  <c r="AV163" i="3"/>
  <c r="AW163" i="3"/>
  <c r="R164" i="3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M23" i="3"/>
  <c r="N23" i="3" s="1"/>
  <c r="O23" i="3" s="1"/>
  <c r="Y7" i="5"/>
  <c r="AL8" i="5"/>
  <c r="E133" i="20"/>
  <c r="F4" i="32"/>
  <c r="AQ26" i="10"/>
  <c r="AI222" i="20" s="1"/>
  <c r="G140" i="20"/>
  <c r="H140" i="20" s="1"/>
  <c r="I140" i="20" s="1"/>
  <c r="J140" i="20" s="1"/>
  <c r="K140" i="20" s="1"/>
  <c r="L140" i="20" s="1"/>
  <c r="M140" i="20" s="1"/>
  <c r="N140" i="20" s="1"/>
  <c r="O140" i="20" s="1"/>
  <c r="P140" i="20" s="1"/>
  <c r="Q140" i="20" s="1"/>
  <c r="R140" i="20" s="1"/>
  <c r="AM164" i="3"/>
  <c r="AM16" i="3"/>
  <c r="AG16" i="20" s="1"/>
  <c r="A3" i="20"/>
  <c r="A4" i="20" s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Z143" i="12"/>
  <c r="AQ414" i="20" s="1"/>
  <c r="AQ234" i="20" s="1"/>
  <c r="AQ292" i="20" s="1"/>
  <c r="BA143" i="12"/>
  <c r="BB143" i="12"/>
  <c r="AO143" i="12"/>
  <c r="AH292" i="20"/>
  <c r="AI292" i="20"/>
  <c r="AJ292" i="20"/>
  <c r="AK292" i="20"/>
  <c r="AL292" i="20"/>
  <c r="AM292" i="20"/>
  <c r="AN292" i="20"/>
  <c r="AO292" i="20"/>
  <c r="AP292" i="20"/>
  <c r="AG292" i="20"/>
  <c r="T292" i="20"/>
  <c r="U292" i="20"/>
  <c r="V292" i="20"/>
  <c r="W292" i="20"/>
  <c r="X292" i="20"/>
  <c r="Y292" i="20"/>
  <c r="Z292" i="20"/>
  <c r="AA292" i="20"/>
  <c r="AB292" i="20"/>
  <c r="AC292" i="20"/>
  <c r="AD292" i="20"/>
  <c r="AE292" i="20"/>
  <c r="AE291" i="20"/>
  <c r="U291" i="20"/>
  <c r="V291" i="20"/>
  <c r="W291" i="20"/>
  <c r="X291" i="20"/>
  <c r="Y291" i="20"/>
  <c r="AA291" i="20"/>
  <c r="AB291" i="20"/>
  <c r="AC291" i="20"/>
  <c r="AD291" i="20"/>
  <c r="Q292" i="20"/>
  <c r="M292" i="20"/>
  <c r="G292" i="20"/>
  <c r="H292" i="20"/>
  <c r="I292" i="20"/>
  <c r="K292" i="20"/>
  <c r="L292" i="20"/>
  <c r="N292" i="20"/>
  <c r="O292" i="20"/>
  <c r="P292" i="20"/>
  <c r="R292" i="20"/>
  <c r="AH291" i="20"/>
  <c r="AI291" i="20"/>
  <c r="AJ291" i="20"/>
  <c r="AK291" i="20"/>
  <c r="AL291" i="20"/>
  <c r="AM291" i="20"/>
  <c r="AN291" i="20"/>
  <c r="AG291" i="20"/>
  <c r="I291" i="20"/>
  <c r="J291" i="20"/>
  <c r="R291" i="20"/>
  <c r="K291" i="20"/>
  <c r="L291" i="20"/>
  <c r="M291" i="20"/>
  <c r="N291" i="20"/>
  <c r="O291" i="20"/>
  <c r="P291" i="20"/>
  <c r="Q291" i="20"/>
  <c r="G278" i="20"/>
  <c r="AW567" i="9"/>
  <c r="AX567" i="9"/>
  <c r="AY567" i="9"/>
  <c r="AB123" i="12"/>
  <c r="AB125" i="12"/>
  <c r="AB126" i="12"/>
  <c r="T361" i="20"/>
  <c r="AM47" i="8"/>
  <c r="AM46" i="8"/>
  <c r="AM45" i="8"/>
  <c r="AM44" i="8"/>
  <c r="AM43" i="8"/>
  <c r="AM42" i="8"/>
  <c r="AM41" i="8"/>
  <c r="AM40" i="8"/>
  <c r="AM39" i="8"/>
  <c r="Z40" i="8"/>
  <c r="Z41" i="8"/>
  <c r="Z42" i="8"/>
  <c r="Z43" i="8"/>
  <c r="Z44" i="8"/>
  <c r="Z45" i="8"/>
  <c r="Z46" i="8"/>
  <c r="Z47" i="8"/>
  <c r="Z39" i="8"/>
  <c r="M51" i="3"/>
  <c r="M50" i="3"/>
  <c r="N50" i="3" s="1"/>
  <c r="AN16" i="3"/>
  <c r="AH16" i="20" s="1"/>
  <c r="N159" i="9"/>
  <c r="N51" i="3"/>
  <c r="O51" i="3" s="1"/>
  <c r="P51" i="3" s="1"/>
  <c r="Q51" i="3" s="1"/>
  <c r="R51" i="3" s="1"/>
  <c r="C189" i="3"/>
  <c r="C190" i="3"/>
  <c r="AM83" i="8"/>
  <c r="AA99" i="8" s="1"/>
  <c r="AQ469" i="9"/>
  <c r="AO164" i="3"/>
  <c r="AR469" i="9"/>
  <c r="AS469" i="9"/>
  <c r="AK314" i="20"/>
  <c r="AK328" i="20" s="1"/>
  <c r="AF378" i="20"/>
  <c r="Y52" i="5"/>
  <c r="U399" i="20"/>
  <c r="V399" i="20"/>
  <c r="W399" i="20"/>
  <c r="X399" i="20"/>
  <c r="Y399" i="20"/>
  <c r="Z399" i="20"/>
  <c r="AA399" i="20"/>
  <c r="AB399" i="20"/>
  <c r="AC399" i="20"/>
  <c r="AD399" i="20"/>
  <c r="AE399" i="20"/>
  <c r="T399" i="20"/>
  <c r="U385" i="20"/>
  <c r="U367" i="20"/>
  <c r="W367" i="20"/>
  <c r="X367" i="20"/>
  <c r="Z367" i="20"/>
  <c r="AA367" i="20"/>
  <c r="AC367" i="20"/>
  <c r="AD367" i="20"/>
  <c r="U361" i="20"/>
  <c r="W361" i="20"/>
  <c r="X361" i="20"/>
  <c r="Z361" i="20"/>
  <c r="AA361" i="20"/>
  <c r="AC361" i="20"/>
  <c r="AD361" i="20"/>
  <c r="H367" i="20"/>
  <c r="J367" i="20"/>
  <c r="K367" i="20"/>
  <c r="M367" i="20"/>
  <c r="N367" i="20"/>
  <c r="P367" i="20"/>
  <c r="Q367" i="20"/>
  <c r="G367" i="20"/>
  <c r="H399" i="20"/>
  <c r="I399" i="20"/>
  <c r="J399" i="20"/>
  <c r="K399" i="20"/>
  <c r="L399" i="20"/>
  <c r="M399" i="20"/>
  <c r="N399" i="20"/>
  <c r="O399" i="20"/>
  <c r="P399" i="20"/>
  <c r="Q399" i="20"/>
  <c r="R399" i="20"/>
  <c r="G399" i="20"/>
  <c r="H361" i="20"/>
  <c r="J361" i="20"/>
  <c r="K361" i="20"/>
  <c r="M361" i="20"/>
  <c r="P361" i="20"/>
  <c r="Q361" i="20"/>
  <c r="G361" i="20"/>
  <c r="R385" i="20"/>
  <c r="AL41" i="5"/>
  <c r="AL37" i="5"/>
  <c r="C170" i="3"/>
  <c r="M170" i="3" s="1"/>
  <c r="AN164" i="3"/>
  <c r="AR164" i="3"/>
  <c r="AS164" i="3"/>
  <c r="AT164" i="3"/>
  <c r="C171" i="3"/>
  <c r="AY469" i="9"/>
  <c r="AW500" i="8"/>
  <c r="AV500" i="8"/>
  <c r="AX500" i="8"/>
  <c r="AW134" i="12"/>
  <c r="AX134" i="12"/>
  <c r="AY134" i="12"/>
  <c r="AZ134" i="12"/>
  <c r="Z82" i="8"/>
  <c r="Z4" i="8"/>
  <c r="AB5" i="12" s="1"/>
  <c r="AM4" i="8"/>
  <c r="AO5" i="12" s="1"/>
  <c r="AE3" i="13" s="1"/>
  <c r="AT469" i="9"/>
  <c r="AU469" i="9"/>
  <c r="AV469" i="9"/>
  <c r="AW469" i="9"/>
  <c r="AX469" i="9"/>
  <c r="AN85" i="9"/>
  <c r="Z83" i="8"/>
  <c r="N115" i="8" s="1"/>
  <c r="Z86" i="8"/>
  <c r="Y100" i="8" s="1"/>
  <c r="Y112" i="8" s="1"/>
  <c r="Z89" i="8"/>
  <c r="Y101" i="8" s="1"/>
  <c r="Y113" i="8" s="1"/>
  <c r="N140" i="8"/>
  <c r="N141" i="8"/>
  <c r="N448" i="8" s="1"/>
  <c r="O140" i="8"/>
  <c r="O141" i="8"/>
  <c r="O448" i="8" s="1"/>
  <c r="P140" i="8"/>
  <c r="P141" i="8"/>
  <c r="P448" i="8" s="1"/>
  <c r="Q140" i="8"/>
  <c r="Q141" i="8"/>
  <c r="Q448" i="8" s="1"/>
  <c r="R140" i="8"/>
  <c r="R141" i="8"/>
  <c r="R448" i="8" s="1"/>
  <c r="S140" i="8"/>
  <c r="S141" i="8"/>
  <c r="S448" i="8" s="1"/>
  <c r="T140" i="8"/>
  <c r="T141" i="8"/>
  <c r="T448" i="8" s="1"/>
  <c r="U140" i="8"/>
  <c r="U141" i="8"/>
  <c r="U448" i="8" s="1"/>
  <c r="V140" i="8"/>
  <c r="V141" i="8"/>
  <c r="V448" i="8" s="1"/>
  <c r="W140" i="8"/>
  <c r="W141" i="8"/>
  <c r="W448" i="8" s="1"/>
  <c r="X140" i="8"/>
  <c r="X141" i="8"/>
  <c r="X448" i="8" s="1"/>
  <c r="Y141" i="8"/>
  <c r="Y448" i="8" s="1"/>
  <c r="AM86" i="8"/>
  <c r="AL100" i="8" s="1"/>
  <c r="AM89" i="8"/>
  <c r="AL101" i="8" s="1"/>
  <c r="AA140" i="8"/>
  <c r="AA141" i="8"/>
  <c r="AA448" i="8" s="1"/>
  <c r="AB140" i="8"/>
  <c r="AB141" i="8"/>
  <c r="AB448" i="8" s="1"/>
  <c r="AC140" i="8"/>
  <c r="AC141" i="8"/>
  <c r="AC448" i="8" s="1"/>
  <c r="AD140" i="8"/>
  <c r="AD141" i="8"/>
  <c r="AD448" i="8" s="1"/>
  <c r="AE140" i="8"/>
  <c r="AE141" i="8"/>
  <c r="AE448" i="8" s="1"/>
  <c r="AF140" i="8"/>
  <c r="AF141" i="8"/>
  <c r="AF448" i="8" s="1"/>
  <c r="AG140" i="8"/>
  <c r="AG141" i="8"/>
  <c r="AG448" i="8" s="1"/>
  <c r="AH140" i="8"/>
  <c r="AH141" i="8"/>
  <c r="AH448" i="8" s="1"/>
  <c r="AI140" i="8"/>
  <c r="AI141" i="8"/>
  <c r="AI448" i="8" s="1"/>
  <c r="AJ140" i="8"/>
  <c r="AJ141" i="8"/>
  <c r="AJ448" i="8" s="1"/>
  <c r="AK140" i="8"/>
  <c r="AK141" i="8"/>
  <c r="AK448" i="8" s="1"/>
  <c r="AL141" i="8"/>
  <c r="AL448" i="8" s="1"/>
  <c r="U270" i="20"/>
  <c r="V270" i="20"/>
  <c r="X270" i="20"/>
  <c r="Y270" i="20"/>
  <c r="AA270" i="20"/>
  <c r="AB270" i="20"/>
  <c r="AD270" i="20"/>
  <c r="AE270" i="20"/>
  <c r="T271" i="20"/>
  <c r="U271" i="20"/>
  <c r="W271" i="20"/>
  <c r="X271" i="20"/>
  <c r="Z271" i="20"/>
  <c r="AA271" i="20"/>
  <c r="AC271" i="20"/>
  <c r="AD271" i="20"/>
  <c r="AA183" i="9"/>
  <c r="AN141" i="8"/>
  <c r="AN448" i="8" s="1"/>
  <c r="AS448" i="21" s="1"/>
  <c r="AG173" i="20"/>
  <c r="I19" i="27" s="1"/>
  <c r="AN44" i="10"/>
  <c r="AN50" i="10"/>
  <c r="AE173" i="20"/>
  <c r="AF173" i="20" s="1"/>
  <c r="AO141" i="8"/>
  <c r="AO448" i="8" s="1"/>
  <c r="AT448" i="21" s="1"/>
  <c r="AN392" i="20"/>
  <c r="AO385" i="20"/>
  <c r="AO392" i="20"/>
  <c r="AP385" i="20"/>
  <c r="AM15" i="8"/>
  <c r="AM14" i="8"/>
  <c r="Z15" i="8"/>
  <c r="Y16" i="3" s="1"/>
  <c r="Z14" i="8"/>
  <c r="Y15" i="3" s="1"/>
  <c r="S15" i="20" s="1"/>
  <c r="Y4" i="3"/>
  <c r="S3" i="29" s="1"/>
  <c r="AL4" i="3"/>
  <c r="AF3" i="29" s="1"/>
  <c r="T15" i="20"/>
  <c r="Z15" i="20"/>
  <c r="AH15" i="20"/>
  <c r="T16" i="20"/>
  <c r="V16" i="20"/>
  <c r="X16" i="20"/>
  <c r="Z16" i="20"/>
  <c r="AB16" i="20"/>
  <c r="AD16" i="20"/>
  <c r="H16" i="20"/>
  <c r="I16" i="20"/>
  <c r="J16" i="20"/>
  <c r="K16" i="20"/>
  <c r="L16" i="20"/>
  <c r="M16" i="20"/>
  <c r="N16" i="20"/>
  <c r="O16" i="20"/>
  <c r="P16" i="20"/>
  <c r="Q16" i="20"/>
  <c r="R16" i="20"/>
  <c r="G16" i="20"/>
  <c r="AA85" i="9"/>
  <c r="S297" i="20"/>
  <c r="M27" i="3"/>
  <c r="N27" i="3"/>
  <c r="O27" i="3"/>
  <c r="P27" i="3"/>
  <c r="Q27" i="3"/>
  <c r="R27" i="3"/>
  <c r="S27" i="3"/>
  <c r="T27" i="3"/>
  <c r="U27" i="3"/>
  <c r="V27" i="3"/>
  <c r="W27" i="3"/>
  <c r="X27" i="3"/>
  <c r="Y116" i="3"/>
  <c r="M164" i="3"/>
  <c r="N16" i="18"/>
  <c r="M191" i="3"/>
  <c r="N33" i="18"/>
  <c r="Y137" i="3"/>
  <c r="M207" i="3"/>
  <c r="G223" i="20"/>
  <c r="E169" i="20"/>
  <c r="E180" i="20"/>
  <c r="E157" i="20"/>
  <c r="AO50" i="12"/>
  <c r="N164" i="3"/>
  <c r="O16" i="18"/>
  <c r="N191" i="3"/>
  <c r="O33" i="18"/>
  <c r="O164" i="3"/>
  <c r="P16" i="18"/>
  <c r="O191" i="3"/>
  <c r="P33" i="18"/>
  <c r="P164" i="3"/>
  <c r="Q16" i="18"/>
  <c r="P191" i="3"/>
  <c r="Q33" i="18"/>
  <c r="Q164" i="3"/>
  <c r="R16" i="18"/>
  <c r="Q191" i="3"/>
  <c r="R33" i="18"/>
  <c r="S16" i="18"/>
  <c r="R191" i="3"/>
  <c r="S33" i="18"/>
  <c r="S164" i="3"/>
  <c r="T16" i="18"/>
  <c r="S191" i="3"/>
  <c r="T33" i="18"/>
  <c r="T164" i="3"/>
  <c r="U16" i="18"/>
  <c r="T191" i="3"/>
  <c r="U33" i="18"/>
  <c r="U164" i="3"/>
  <c r="V16" i="18"/>
  <c r="U191" i="3"/>
  <c r="V33" i="18"/>
  <c r="V164" i="3"/>
  <c r="W16" i="18"/>
  <c r="V191" i="3"/>
  <c r="W33" i="18"/>
  <c r="W164" i="3"/>
  <c r="X16" i="18"/>
  <c r="W191" i="3"/>
  <c r="X33" i="18"/>
  <c r="X164" i="3"/>
  <c r="Y16" i="18"/>
  <c r="X191" i="3"/>
  <c r="Y33" i="18"/>
  <c r="AL3" i="3"/>
  <c r="AK3" i="3" s="1"/>
  <c r="Z27" i="3"/>
  <c r="Z164" i="3"/>
  <c r="AA16" i="18"/>
  <c r="H223" i="20"/>
  <c r="I223" i="20"/>
  <c r="J223" i="20"/>
  <c r="K223" i="20"/>
  <c r="L223" i="20"/>
  <c r="M223" i="20"/>
  <c r="N223" i="20"/>
  <c r="O223" i="20"/>
  <c r="P223" i="20"/>
  <c r="Q223" i="20"/>
  <c r="R223" i="20"/>
  <c r="AA27" i="3"/>
  <c r="AB27" i="3"/>
  <c r="AC27" i="3"/>
  <c r="AD27" i="3"/>
  <c r="AE27" i="3"/>
  <c r="AF27" i="3"/>
  <c r="AG27" i="3"/>
  <c r="AH27" i="3"/>
  <c r="AI27" i="3"/>
  <c r="AJ27" i="3"/>
  <c r="AK27" i="3"/>
  <c r="AL116" i="3"/>
  <c r="Z191" i="3"/>
  <c r="AA33" i="18"/>
  <c r="AA164" i="3"/>
  <c r="AB16" i="18"/>
  <c r="AA191" i="3"/>
  <c r="AB33" i="18"/>
  <c r="AB164" i="3"/>
  <c r="AC16" i="18"/>
  <c r="AB191" i="3"/>
  <c r="AC33" i="18"/>
  <c r="AC164" i="3"/>
  <c r="AD16" i="18"/>
  <c r="AC191" i="3"/>
  <c r="AD33" i="18"/>
  <c r="AD164" i="3"/>
  <c r="AE16" i="18"/>
  <c r="AD191" i="3"/>
  <c r="AE33" i="18"/>
  <c r="AE164" i="3"/>
  <c r="AF16" i="18"/>
  <c r="AE191" i="3"/>
  <c r="AF33" i="18"/>
  <c r="AF164" i="3"/>
  <c r="AG16" i="18"/>
  <c r="AF191" i="3"/>
  <c r="AG33" i="18"/>
  <c r="AG164" i="3"/>
  <c r="AH16" i="18"/>
  <c r="AG191" i="3"/>
  <c r="AH33" i="18"/>
  <c r="AH164" i="3"/>
  <c r="AI16" i="18"/>
  <c r="AH191" i="3"/>
  <c r="AI33" i="18"/>
  <c r="AI164" i="3"/>
  <c r="AJ16" i="18"/>
  <c r="AI191" i="3"/>
  <c r="AJ33" i="18"/>
  <c r="AJ164" i="3"/>
  <c r="AK16" i="18"/>
  <c r="AJ191" i="3"/>
  <c r="AK33" i="18"/>
  <c r="AK164" i="3"/>
  <c r="AL16" i="18"/>
  <c r="AK191" i="3"/>
  <c r="AL33" i="18"/>
  <c r="AM27" i="3"/>
  <c r="AN16" i="18"/>
  <c r="AM116" i="3"/>
  <c r="AM191" i="3"/>
  <c r="AN33" i="18"/>
  <c r="AN27" i="3"/>
  <c r="AO16" i="18"/>
  <c r="AN116" i="3"/>
  <c r="AN191" i="3"/>
  <c r="AO33" i="18"/>
  <c r="AO27" i="3"/>
  <c r="AP16" i="18"/>
  <c r="AO116" i="3"/>
  <c r="AO191" i="3"/>
  <c r="AP33" i="18"/>
  <c r="AP27" i="3"/>
  <c r="AQ16" i="18"/>
  <c r="AP116" i="3"/>
  <c r="AP191" i="3"/>
  <c r="AQ33" i="18"/>
  <c r="AQ27" i="3"/>
  <c r="AQ164" i="3"/>
  <c r="AR16" i="18"/>
  <c r="AQ116" i="3"/>
  <c r="AQ191" i="3"/>
  <c r="AR33" i="18"/>
  <c r="AR27" i="3"/>
  <c r="AS16" i="18"/>
  <c r="AR116" i="3"/>
  <c r="AR191" i="3"/>
  <c r="AS33" i="18"/>
  <c r="AS27" i="3"/>
  <c r="AT16" i="18"/>
  <c r="AS116" i="3"/>
  <c r="AS191" i="3"/>
  <c r="AT33" i="18"/>
  <c r="AT27" i="3"/>
  <c r="AU16" i="18"/>
  <c r="AT116" i="3"/>
  <c r="AT191" i="3"/>
  <c r="AU33" i="18"/>
  <c r="AU27" i="3"/>
  <c r="AV16" i="18"/>
  <c r="AU116" i="3"/>
  <c r="AU191" i="3"/>
  <c r="AO43" i="20" s="1"/>
  <c r="AV33" i="18"/>
  <c r="AV27" i="3"/>
  <c r="AV164" i="3"/>
  <c r="AW16" i="18"/>
  <c r="AV116" i="3"/>
  <c r="AV191" i="3"/>
  <c r="AW33" i="18"/>
  <c r="AW27" i="3"/>
  <c r="AW164" i="3"/>
  <c r="AW116" i="3"/>
  <c r="AW191" i="3"/>
  <c r="AQ43" i="20" s="1"/>
  <c r="AX33" i="18"/>
  <c r="I270" i="20"/>
  <c r="J270" i="20"/>
  <c r="J271" i="20"/>
  <c r="K270" i="20"/>
  <c r="K271" i="20"/>
  <c r="L270" i="20"/>
  <c r="M271" i="20"/>
  <c r="N270" i="20"/>
  <c r="N271" i="20"/>
  <c r="O270" i="20"/>
  <c r="P271" i="20"/>
  <c r="Q270" i="20"/>
  <c r="Q271" i="20"/>
  <c r="R270" i="20"/>
  <c r="H270" i="20"/>
  <c r="H271" i="20"/>
  <c r="G270" i="20"/>
  <c r="G271" i="20"/>
  <c r="Z15" i="5"/>
  <c r="AA15" i="5"/>
  <c r="AB15" i="5"/>
  <c r="AC15" i="5"/>
  <c r="AD15" i="5"/>
  <c r="AE15" i="5"/>
  <c r="AF15" i="5"/>
  <c r="AG15" i="5"/>
  <c r="AH15" i="5"/>
  <c r="AI15" i="5"/>
  <c r="AJ15" i="5"/>
  <c r="AK15" i="5"/>
  <c r="AM15" i="5"/>
  <c r="AN15" i="5"/>
  <c r="AO15" i="5"/>
  <c r="AP15" i="5"/>
  <c r="AQ15" i="5"/>
  <c r="AR15" i="5"/>
  <c r="AS15" i="5"/>
  <c r="AT15" i="5"/>
  <c r="AU15" i="5"/>
  <c r="AV15" i="5"/>
  <c r="AW15" i="5"/>
  <c r="N15" i="5"/>
  <c r="O15" i="5"/>
  <c r="P15" i="5"/>
  <c r="Q15" i="5"/>
  <c r="R15" i="5"/>
  <c r="S15" i="5"/>
  <c r="T15" i="5"/>
  <c r="U15" i="5"/>
  <c r="V15" i="5"/>
  <c r="W15" i="5"/>
  <c r="X15" i="5"/>
  <c r="M15" i="5"/>
  <c r="M9" i="17"/>
  <c r="N207" i="3"/>
  <c r="O207" i="3"/>
  <c r="P207" i="3"/>
  <c r="Q207" i="3"/>
  <c r="R207" i="3"/>
  <c r="S207" i="3"/>
  <c r="T207" i="3"/>
  <c r="U207" i="3"/>
  <c r="V207" i="3"/>
  <c r="W207" i="3"/>
  <c r="X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G271" i="20"/>
  <c r="AH271" i="20"/>
  <c r="AI271" i="20"/>
  <c r="AJ271" i="20"/>
  <c r="AK271" i="20"/>
  <c r="AL271" i="20"/>
  <c r="AM270" i="20"/>
  <c r="AM271" i="20"/>
  <c r="AN270" i="20"/>
  <c r="AN271" i="20"/>
  <c r="AO270" i="20"/>
  <c r="AO271" i="20"/>
  <c r="AP270" i="20"/>
  <c r="G162" i="20"/>
  <c r="H162" i="20" s="1"/>
  <c r="I162" i="20" s="1"/>
  <c r="J162" i="20" s="1"/>
  <c r="K162" i="20" s="1"/>
  <c r="L162" i="20" s="1"/>
  <c r="M162" i="20" s="1"/>
  <c r="N162" i="20" s="1"/>
  <c r="O162" i="20" s="1"/>
  <c r="P162" i="20" s="1"/>
  <c r="Q162" i="20" s="1"/>
  <c r="R162" i="20" s="1"/>
  <c r="AU207" i="3"/>
  <c r="AV207" i="3"/>
  <c r="AW207" i="3"/>
  <c r="R173" i="20"/>
  <c r="S173" i="20" s="1"/>
  <c r="AF377" i="20"/>
  <c r="S397" i="20"/>
  <c r="S390" i="20"/>
  <c r="S377" i="20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N234" i="3"/>
  <c r="AO234" i="3"/>
  <c r="AP234" i="3"/>
  <c r="AQ234" i="3"/>
  <c r="AR234" i="3"/>
  <c r="AS234" i="3"/>
  <c r="AT234" i="3"/>
  <c r="AU234" i="3"/>
  <c r="AV234" i="3"/>
  <c r="AW234" i="3"/>
  <c r="AM234" i="3"/>
  <c r="AL13" i="17"/>
  <c r="AO121" i="12"/>
  <c r="AO108" i="12"/>
  <c r="H100" i="27"/>
  <c r="I100" i="27"/>
  <c r="AF149" i="20"/>
  <c r="AF139" i="20"/>
  <c r="H109" i="27" s="1"/>
  <c r="S139" i="20"/>
  <c r="G109" i="27" s="1"/>
  <c r="S149" i="20"/>
  <c r="AP43" i="20"/>
  <c r="AO314" i="20"/>
  <c r="AP314" i="20"/>
  <c r="AO324" i="20"/>
  <c r="AP324" i="20"/>
  <c r="AO328" i="20"/>
  <c r="AP328" i="20"/>
  <c r="E324" i="20"/>
  <c r="E328" i="20"/>
  <c r="AB121" i="12"/>
  <c r="AB108" i="12"/>
  <c r="S155" i="27"/>
  <c r="R155" i="27"/>
  <c r="P155" i="27"/>
  <c r="O155" i="27"/>
  <c r="N155" i="27"/>
  <c r="M155" i="27"/>
  <c r="L155" i="27"/>
  <c r="K155" i="27"/>
  <c r="AT207" i="3"/>
  <c r="AS207" i="3"/>
  <c r="AR207" i="3"/>
  <c r="AQ207" i="3"/>
  <c r="AP207" i="3"/>
  <c r="AO207" i="3"/>
  <c r="AN207" i="3"/>
  <c r="AM207" i="3"/>
  <c r="S378" i="20"/>
  <c r="J4" i="27"/>
  <c r="J48" i="27" s="1"/>
  <c r="I4" i="27"/>
  <c r="I85" i="27" s="1"/>
  <c r="I97" i="27" s="1"/>
  <c r="I108" i="27" s="1"/>
  <c r="H4" i="27"/>
  <c r="H48" i="27" s="1"/>
  <c r="G4" i="27"/>
  <c r="G48" i="27" s="1"/>
  <c r="G100" i="27"/>
  <c r="AA37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I48" i="27"/>
  <c r="AN23" i="5"/>
  <c r="AO23" i="5"/>
  <c r="AP23" i="5"/>
  <c r="AQ23" i="5"/>
  <c r="AR23" i="5"/>
  <c r="AS23" i="5"/>
  <c r="AT23" i="5"/>
  <c r="AU23" i="5"/>
  <c r="AV23" i="5"/>
  <c r="AW23" i="5"/>
  <c r="AM23" i="5"/>
  <c r="AA23" i="5"/>
  <c r="AB23" i="5"/>
  <c r="AC23" i="5"/>
  <c r="AD23" i="5"/>
  <c r="AE23" i="5"/>
  <c r="AF23" i="5"/>
  <c r="AG23" i="5"/>
  <c r="AH23" i="5"/>
  <c r="AI23" i="5"/>
  <c r="AJ23" i="5"/>
  <c r="AK23" i="5"/>
  <c r="Z23" i="5"/>
  <c r="W23" i="5"/>
  <c r="X23" i="5"/>
  <c r="V23" i="5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B50" i="12"/>
  <c r="AB57" i="12"/>
  <c r="AO57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P65" i="12"/>
  <c r="AQ65" i="12"/>
  <c r="AR65" i="12"/>
  <c r="AS65" i="12"/>
  <c r="AT65" i="12"/>
  <c r="AU65" i="12"/>
  <c r="AV65" i="12"/>
  <c r="AW65" i="12"/>
  <c r="AX65" i="12"/>
  <c r="AY65" i="12"/>
  <c r="P66" i="12"/>
  <c r="Q66" i="12"/>
  <c r="S66" i="12"/>
  <c r="T66" i="12"/>
  <c r="V66" i="12"/>
  <c r="W66" i="12"/>
  <c r="Y66" i="12"/>
  <c r="Z66" i="12"/>
  <c r="AC66" i="12"/>
  <c r="AD66" i="12"/>
  <c r="AF66" i="12"/>
  <c r="AG66" i="12"/>
  <c r="AI66" i="12"/>
  <c r="AJ66" i="12"/>
  <c r="AL66" i="12"/>
  <c r="AM66" i="12"/>
  <c r="AP66" i="12"/>
  <c r="AQ66" i="12"/>
  <c r="AR66" i="12"/>
  <c r="AS66" i="12"/>
  <c r="AT66" i="12"/>
  <c r="AU66" i="12"/>
  <c r="AV66" i="12"/>
  <c r="AW66" i="12"/>
  <c r="AX66" i="12"/>
  <c r="BC66" i="12"/>
  <c r="BD66" i="12"/>
  <c r="BE66" i="12"/>
  <c r="BF66" i="12"/>
  <c r="BG66" i="12"/>
  <c r="BH66" i="12"/>
  <c r="BI66" i="12"/>
  <c r="BJ66" i="12"/>
  <c r="BK66" i="12"/>
  <c r="BL66" i="12"/>
  <c r="BM66" i="12"/>
  <c r="BN66" i="12"/>
  <c r="BO66" i="12"/>
  <c r="BP66" i="12"/>
  <c r="BQ66" i="12"/>
  <c r="AB114" i="12"/>
  <c r="AO114" i="12"/>
  <c r="AB122" i="12"/>
  <c r="AO122" i="12"/>
  <c r="O130" i="12"/>
  <c r="BA134" i="12"/>
  <c r="O143" i="12"/>
  <c r="AB433" i="12"/>
  <c r="AO433" i="12"/>
  <c r="AL31" i="17"/>
  <c r="AM72" i="8"/>
  <c r="AM141" i="8" s="1"/>
  <c r="Z72" i="8"/>
  <c r="Z141" i="8" s="1"/>
  <c r="P2" i="26"/>
  <c r="R2" i="26"/>
  <c r="T2" i="26"/>
  <c r="V2" i="26"/>
  <c r="X2" i="26"/>
  <c r="Z2" i="26"/>
  <c r="AB2" i="26"/>
  <c r="AF2" i="26"/>
  <c r="AH2" i="26"/>
  <c r="AJ2" i="26"/>
  <c r="AL2" i="26"/>
  <c r="AN2" i="26"/>
  <c r="AP2" i="26"/>
  <c r="AR2" i="26"/>
  <c r="AT2" i="26"/>
  <c r="AV2" i="26"/>
  <c r="AX2" i="26"/>
  <c r="AZ2" i="26"/>
  <c r="BB2" i="26"/>
  <c r="BF2" i="26"/>
  <c r="BH2" i="26"/>
  <c r="BJ2" i="26"/>
  <c r="BL2" i="26"/>
  <c r="BN2" i="26"/>
  <c r="BP2" i="26"/>
  <c r="BR2" i="26"/>
  <c r="BT2" i="26"/>
  <c r="BV2" i="26"/>
  <c r="BX2" i="26"/>
  <c r="BZ2" i="26"/>
  <c r="CB2" i="26"/>
  <c r="S324" i="20"/>
  <c r="S314" i="20"/>
  <c r="S328" i="20" s="1"/>
  <c r="AF324" i="20"/>
  <c r="AF314" i="20"/>
  <c r="AF328" i="20" s="1"/>
  <c r="AL137" i="3"/>
  <c r="Z77" i="8"/>
  <c r="U173" i="20"/>
  <c r="V173" i="20"/>
  <c r="W173" i="20"/>
  <c r="X173" i="20"/>
  <c r="Y173" i="20"/>
  <c r="Z173" i="20"/>
  <c r="AA173" i="20"/>
  <c r="AB173" i="20"/>
  <c r="AC173" i="20"/>
  <c r="AD173" i="20"/>
  <c r="T173" i="20"/>
  <c r="H173" i="20"/>
  <c r="I173" i="20"/>
  <c r="J173" i="20"/>
  <c r="K173" i="20"/>
  <c r="L173" i="20"/>
  <c r="M173" i="20"/>
  <c r="N173" i="20"/>
  <c r="O173" i="20"/>
  <c r="P173" i="20"/>
  <c r="Q173" i="20"/>
  <c r="G173" i="20"/>
  <c r="AG314" i="20"/>
  <c r="AG328" i="20" s="1"/>
  <c r="AH314" i="20"/>
  <c r="AH328" i="20" s="1"/>
  <c r="E448" i="8"/>
  <c r="F448" i="8"/>
  <c r="E468" i="8"/>
  <c r="F468" i="8"/>
  <c r="E488" i="8"/>
  <c r="F488" i="8"/>
  <c r="E491" i="8"/>
  <c r="F491" i="8"/>
  <c r="E501" i="8"/>
  <c r="F501" i="8"/>
  <c r="E515" i="8"/>
  <c r="F515" i="8"/>
  <c r="E516" i="8"/>
  <c r="F516" i="8"/>
  <c r="E517" i="8"/>
  <c r="F517" i="8"/>
  <c r="E518" i="8"/>
  <c r="F518" i="8"/>
  <c r="E575" i="8"/>
  <c r="F575" i="8"/>
  <c r="AB223" i="20"/>
  <c r="AC223" i="20"/>
  <c r="AD223" i="20"/>
  <c r="AE223" i="20"/>
  <c r="Y146" i="3"/>
  <c r="Y37" i="5"/>
  <c r="AL52" i="5"/>
  <c r="AA12" i="10"/>
  <c r="AA13" i="10" s="1"/>
  <c r="F474" i="19"/>
  <c r="F476" i="19"/>
  <c r="F477" i="19"/>
  <c r="F479" i="19"/>
  <c r="F481" i="19"/>
  <c r="F482" i="19"/>
  <c r="F484" i="19"/>
  <c r="F485" i="19"/>
  <c r="F486" i="19"/>
  <c r="F516" i="19"/>
  <c r="H516" i="10"/>
  <c r="H517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G474" i="19"/>
  <c r="G476" i="19"/>
  <c r="G477" i="19"/>
  <c r="G479" i="19"/>
  <c r="G481" i="19"/>
  <c r="G482" i="19"/>
  <c r="G484" i="19"/>
  <c r="G485" i="19"/>
  <c r="G486" i="19"/>
  <c r="G516" i="19"/>
  <c r="I516" i="10"/>
  <c r="I517" i="10"/>
  <c r="G571" i="6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H474" i="19"/>
  <c r="H476" i="19"/>
  <c r="H477" i="19"/>
  <c r="H479" i="19"/>
  <c r="H481" i="19"/>
  <c r="H482" i="19"/>
  <c r="H484" i="19"/>
  <c r="H485" i="19"/>
  <c r="H486" i="19"/>
  <c r="H516" i="19"/>
  <c r="J516" i="10"/>
  <c r="J517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K516" i="10"/>
  <c r="K517" i="10"/>
  <c r="I571" i="6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L516" i="10"/>
  <c r="L517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M516" i="10"/>
  <c r="M517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AA9" i="9"/>
  <c r="AA10" i="9"/>
  <c r="AN183" i="9"/>
  <c r="AN9" i="9"/>
  <c r="AN10" i="9"/>
  <c r="AP5" i="9"/>
  <c r="R1" i="13"/>
  <c r="R2" i="13"/>
  <c r="R569" i="13"/>
  <c r="O3" i="10"/>
  <c r="P3" i="10"/>
  <c r="Q3" i="10"/>
  <c r="R3" i="10"/>
  <c r="S3" i="10"/>
  <c r="T3" i="10"/>
  <c r="U3" i="10"/>
  <c r="V3" i="10"/>
  <c r="W3" i="10"/>
  <c r="X3" i="10"/>
  <c r="Y3" i="10"/>
  <c r="Z3" i="10"/>
  <c r="AB3" i="10"/>
  <c r="AC3" i="10"/>
  <c r="AD3" i="10"/>
  <c r="AE3" i="10"/>
  <c r="AF3" i="10"/>
  <c r="AG3" i="10"/>
  <c r="AH3" i="10"/>
  <c r="AI3" i="10"/>
  <c r="AJ3" i="10"/>
  <c r="AK3" i="10"/>
  <c r="AL3" i="10"/>
  <c r="AM3" i="10"/>
  <c r="AO4" i="10"/>
  <c r="AP4" i="10"/>
  <c r="AO5" i="9"/>
  <c r="O8" i="9"/>
  <c r="O11" i="9" s="1"/>
  <c r="P8" i="9" s="1"/>
  <c r="P11" i="9" s="1"/>
  <c r="Q8" i="9" s="1"/>
  <c r="Q11" i="9" s="1"/>
  <c r="R8" i="9" s="1"/>
  <c r="R11" i="9" s="1"/>
  <c r="S8" i="9" s="1"/>
  <c r="S11" i="9" s="1"/>
  <c r="T8" i="9" s="1"/>
  <c r="T11" i="9" s="1"/>
  <c r="U8" i="9" s="1"/>
  <c r="U11" i="9" s="1"/>
  <c r="V8" i="9" s="1"/>
  <c r="V11" i="9" s="1"/>
  <c r="W8" i="9" s="1"/>
  <c r="W11" i="9" s="1"/>
  <c r="X8" i="9" s="1"/>
  <c r="X11" i="9" s="1"/>
  <c r="Y8" i="9" s="1"/>
  <c r="Y11" i="9" s="1"/>
  <c r="Z8" i="9" s="1"/>
  <c r="Z11" i="9" s="1"/>
  <c r="AB8" i="9" s="1"/>
  <c r="AB11" i="9" s="1"/>
  <c r="AC8" i="9" s="1"/>
  <c r="AC11" i="9" s="1"/>
  <c r="AD8" i="9" s="1"/>
  <c r="AD11" i="9" s="1"/>
  <c r="AE8" i="9" s="1"/>
  <c r="AE11" i="9" s="1"/>
  <c r="AF8" i="9" s="1"/>
  <c r="AF11" i="9" s="1"/>
  <c r="AG8" i="9" s="1"/>
  <c r="AG11" i="9" s="1"/>
  <c r="AH8" i="9" s="1"/>
  <c r="AH11" i="9" s="1"/>
  <c r="AI8" i="9" s="1"/>
  <c r="AI11" i="9" s="1"/>
  <c r="AJ8" i="9" s="1"/>
  <c r="AJ11" i="9" s="1"/>
  <c r="AK8" i="9" s="1"/>
  <c r="AK11" i="9" s="1"/>
  <c r="AL8" i="9" s="1"/>
  <c r="AL11" i="9" s="1"/>
  <c r="AM8" i="9" s="1"/>
  <c r="AM11" i="9" s="1"/>
  <c r="AO8" i="9" s="1"/>
  <c r="AO11" i="9" s="1"/>
  <c r="AP8" i="9" s="1"/>
  <c r="AP11" i="9" s="1"/>
  <c r="AQ8" i="9" s="1"/>
  <c r="AQ11" i="9" s="1"/>
  <c r="AR8" i="9" s="1"/>
  <c r="AR11" i="9" s="1"/>
  <c r="AS8" i="9" s="1"/>
  <c r="AS11" i="9" s="1"/>
  <c r="AT8" i="9" s="1"/>
  <c r="AT11" i="9" s="1"/>
  <c r="AU8" i="9" s="1"/>
  <c r="AU11" i="9" s="1"/>
  <c r="AV8" i="9" s="1"/>
  <c r="AV11" i="9" s="1"/>
  <c r="AW8" i="9" s="1"/>
  <c r="AW11" i="9" s="1"/>
  <c r="AX8" i="9" s="1"/>
  <c r="AX11" i="9" s="1"/>
  <c r="AY8" i="9" s="1"/>
  <c r="AY11" i="9" s="1"/>
  <c r="Y31" i="17"/>
  <c r="N169" i="9"/>
  <c r="N133" i="9"/>
  <c r="N111" i="9"/>
  <c r="N84" i="9"/>
  <c r="N67" i="9"/>
  <c r="N55" i="9"/>
  <c r="N45" i="9"/>
  <c r="N197" i="9"/>
  <c r="M146" i="3"/>
  <c r="N146" i="3"/>
  <c r="O146" i="3"/>
  <c r="P146" i="3"/>
  <c r="Q146" i="3"/>
  <c r="R146" i="3"/>
  <c r="S146" i="3"/>
  <c r="T146" i="3"/>
  <c r="U146" i="3"/>
  <c r="V146" i="3"/>
  <c r="W146" i="3"/>
  <c r="X146" i="3"/>
  <c r="AC99" i="8"/>
  <c r="AE99" i="8"/>
  <c r="AG99" i="8"/>
  <c r="AI99" i="8"/>
  <c r="AK99" i="8"/>
  <c r="AE100" i="8"/>
  <c r="AI100" i="8"/>
  <c r="AC101" i="8"/>
  <c r="AE101" i="8"/>
  <c r="AG101" i="8"/>
  <c r="AI101" i="8"/>
  <c r="AK101" i="8"/>
  <c r="AM88" i="8"/>
  <c r="AA101" i="8"/>
  <c r="P101" i="8"/>
  <c r="T101" i="8"/>
  <c r="X101" i="8"/>
  <c r="Q100" i="8"/>
  <c r="S100" i="8"/>
  <c r="U100" i="8"/>
  <c r="W100" i="8"/>
  <c r="N100" i="8"/>
  <c r="S99" i="8"/>
  <c r="W99" i="8"/>
  <c r="Z88" i="8"/>
  <c r="AM137" i="3"/>
  <c r="AN137" i="3"/>
  <c r="AO137" i="3"/>
  <c r="AP137" i="3"/>
  <c r="AQ137" i="3"/>
  <c r="AR137" i="3"/>
  <c r="AS137" i="3"/>
  <c r="AT137" i="3"/>
  <c r="AU137" i="3"/>
  <c r="AV137" i="3"/>
  <c r="AW137" i="3"/>
  <c r="N52" i="9"/>
  <c r="N53" i="9"/>
  <c r="AA16" i="10"/>
  <c r="F445" i="10"/>
  <c r="G445" i="10"/>
  <c r="N118" i="9"/>
  <c r="N131" i="9"/>
  <c r="N561" i="9"/>
  <c r="Y23" i="3"/>
  <c r="D2" i="17"/>
  <c r="AG2" i="13"/>
  <c r="AF2" i="13"/>
  <c r="AN8" i="10"/>
  <c r="AN26" i="10"/>
  <c r="AN2" i="17"/>
  <c r="AM2" i="17"/>
  <c r="AO2" i="8"/>
  <c r="AN2" i="8"/>
  <c r="AN6" i="19"/>
  <c r="AM6" i="19"/>
  <c r="AN2" i="6"/>
  <c r="AM2" i="6"/>
  <c r="AN2" i="5"/>
  <c r="AM2" i="5"/>
  <c r="AO4" i="18"/>
  <c r="AN4" i="18"/>
  <c r="AN2" i="3"/>
  <c r="AM2" i="3"/>
  <c r="F1" i="13"/>
  <c r="G1" i="13"/>
  <c r="H1" i="13"/>
  <c r="I1" i="13"/>
  <c r="J1" i="13"/>
  <c r="K1" i="13"/>
  <c r="L1" i="13"/>
  <c r="M1" i="13"/>
  <c r="N1" i="13"/>
  <c r="O1" i="13"/>
  <c r="P1" i="13"/>
  <c r="Q1" i="13"/>
  <c r="S1" i="13"/>
  <c r="T1" i="13"/>
  <c r="U1" i="13"/>
  <c r="V1" i="13"/>
  <c r="W1" i="13"/>
  <c r="X1" i="13"/>
  <c r="Y1" i="13"/>
  <c r="Z1" i="13"/>
  <c r="AA1" i="13"/>
  <c r="AB1" i="13"/>
  <c r="AC1" i="13"/>
  <c r="AD1" i="13"/>
  <c r="AE1" i="13"/>
  <c r="D2" i="13"/>
  <c r="F2" i="13"/>
  <c r="G2" i="13"/>
  <c r="H2" i="13"/>
  <c r="I2" i="13"/>
  <c r="J2" i="13"/>
  <c r="K2" i="13"/>
  <c r="L2" i="13"/>
  <c r="M2" i="13"/>
  <c r="N2" i="13"/>
  <c r="O2" i="13"/>
  <c r="P2" i="13"/>
  <c r="Q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E569" i="13"/>
  <c r="D474" i="19"/>
  <c r="D479" i="19"/>
  <c r="D482" i="19"/>
  <c r="D485" i="19"/>
  <c r="D476" i="19"/>
  <c r="D477" i="19"/>
  <c r="D481" i="19"/>
  <c r="D484" i="19"/>
  <c r="D486" i="19"/>
  <c r="D516" i="19"/>
  <c r="F516" i="10"/>
  <c r="F517" i="10"/>
  <c r="G516" i="10"/>
  <c r="E516" i="19"/>
  <c r="G517" i="10"/>
  <c r="E474" i="19"/>
  <c r="E479" i="19"/>
  <c r="E482" i="19"/>
  <c r="E485" i="19"/>
  <c r="E476" i="19"/>
  <c r="E477" i="19"/>
  <c r="E481" i="19"/>
  <c r="E484" i="19"/>
  <c r="E486" i="19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G433" i="10"/>
  <c r="G434" i="10"/>
  <c r="G435" i="10"/>
  <c r="G436" i="10"/>
  <c r="G437" i="10"/>
  <c r="G438" i="10"/>
  <c r="G439" i="10"/>
  <c r="G440" i="10"/>
  <c r="G441" i="10"/>
  <c r="G442" i="10"/>
  <c r="G443" i="10"/>
  <c r="G444" i="10"/>
  <c r="G392" i="20"/>
  <c r="H392" i="20"/>
  <c r="I392" i="20"/>
  <c r="J392" i="20"/>
  <c r="K392" i="20"/>
  <c r="L392" i="20"/>
  <c r="M392" i="20"/>
  <c r="N392" i="20"/>
  <c r="O392" i="20"/>
  <c r="P392" i="20"/>
  <c r="Q392" i="20"/>
  <c r="R392" i="20"/>
  <c r="T392" i="20"/>
  <c r="U392" i="20"/>
  <c r="V392" i="20"/>
  <c r="W392" i="20"/>
  <c r="X392" i="20"/>
  <c r="Y392" i="20"/>
  <c r="Z392" i="20"/>
  <c r="AA392" i="20"/>
  <c r="AB392" i="20"/>
  <c r="AC392" i="20"/>
  <c r="AD392" i="20"/>
  <c r="AE392" i="20"/>
  <c r="AF234" i="20"/>
  <c r="AF414" i="20"/>
  <c r="AF400" i="20"/>
  <c r="AF399" i="20"/>
  <c r="AF398" i="20"/>
  <c r="AF393" i="20"/>
  <c r="AF391" i="20"/>
  <c r="S400" i="20"/>
  <c r="S398" i="20"/>
  <c r="S393" i="20"/>
  <c r="S391" i="20"/>
  <c r="S360" i="20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G314" i="20"/>
  <c r="H314" i="20"/>
  <c r="I314" i="20"/>
  <c r="J314" i="20"/>
  <c r="K314" i="20"/>
  <c r="L314" i="20"/>
  <c r="M314" i="20"/>
  <c r="N314" i="20"/>
  <c r="O314" i="20"/>
  <c r="P314" i="20"/>
  <c r="Q314" i="20"/>
  <c r="R314" i="20"/>
  <c r="G324" i="20"/>
  <c r="H324" i="20"/>
  <c r="I324" i="20"/>
  <c r="J324" i="20"/>
  <c r="K324" i="20"/>
  <c r="L324" i="20"/>
  <c r="M324" i="20"/>
  <c r="N324" i="20"/>
  <c r="O324" i="20"/>
  <c r="P324" i="20"/>
  <c r="Q324" i="20"/>
  <c r="R324" i="20"/>
  <c r="G328" i="20"/>
  <c r="H328" i="20"/>
  <c r="I328" i="20"/>
  <c r="J328" i="20"/>
  <c r="K328" i="20"/>
  <c r="L328" i="20"/>
  <c r="M328" i="20"/>
  <c r="N328" i="20"/>
  <c r="O328" i="20"/>
  <c r="P328" i="20"/>
  <c r="Q328" i="20"/>
  <c r="R328" i="20"/>
  <c r="Y24" i="3"/>
  <c r="T314" i="20"/>
  <c r="U314" i="20"/>
  <c r="U328" i="20" s="1"/>
  <c r="V314" i="20"/>
  <c r="V328" i="20" s="1"/>
  <c r="W314" i="20"/>
  <c r="W328" i="20" s="1"/>
  <c r="X314" i="20"/>
  <c r="X328" i="20" s="1"/>
  <c r="Y314" i="20"/>
  <c r="Y328" i="20" s="1"/>
  <c r="Z314" i="20"/>
  <c r="Z328" i="20" s="1"/>
  <c r="AA314" i="20"/>
  <c r="AA328" i="20" s="1"/>
  <c r="AB314" i="20"/>
  <c r="AB328" i="20" s="1"/>
  <c r="AC314" i="20"/>
  <c r="AC328" i="20" s="1"/>
  <c r="AD314" i="20"/>
  <c r="AD328" i="20" s="1"/>
  <c r="AE314" i="20"/>
  <c r="AE328" i="20" s="1"/>
  <c r="T324" i="20"/>
  <c r="U324" i="20"/>
  <c r="V324" i="20"/>
  <c r="W324" i="20"/>
  <c r="X324" i="20"/>
  <c r="Y324" i="20"/>
  <c r="Z324" i="20"/>
  <c r="AA324" i="20"/>
  <c r="AB324" i="20"/>
  <c r="AC324" i="20"/>
  <c r="AD324" i="20"/>
  <c r="AE324" i="20"/>
  <c r="T328" i="20"/>
  <c r="U43" i="20"/>
  <c r="V43" i="20"/>
  <c r="W43" i="20"/>
  <c r="X43" i="20"/>
  <c r="Y43" i="20"/>
  <c r="Z43" i="20"/>
  <c r="AA43" i="20"/>
  <c r="AB43" i="20"/>
  <c r="AC43" i="20"/>
  <c r="AD43" i="20"/>
  <c r="AE43" i="20"/>
  <c r="T43" i="20"/>
  <c r="H43" i="20"/>
  <c r="I43" i="20"/>
  <c r="J43" i="20"/>
  <c r="K43" i="20"/>
  <c r="L43" i="20"/>
  <c r="M43" i="20"/>
  <c r="N43" i="20"/>
  <c r="O43" i="20"/>
  <c r="P43" i="20"/>
  <c r="Q43" i="20"/>
  <c r="R43" i="20"/>
  <c r="G43" i="20"/>
  <c r="AL243" i="3"/>
  <c r="AL247" i="3"/>
  <c r="AK243" i="3"/>
  <c r="AK116" i="3"/>
  <c r="AK247" i="3" s="1"/>
  <c r="AJ243" i="3"/>
  <c r="AJ116" i="3"/>
  <c r="AJ247" i="3"/>
  <c r="AI243" i="3"/>
  <c r="AI116" i="3"/>
  <c r="AI247" i="3" s="1"/>
  <c r="AH243" i="3"/>
  <c r="AH116" i="3"/>
  <c r="AH247" i="3" s="1"/>
  <c r="AG243" i="3"/>
  <c r="AG116" i="3"/>
  <c r="AG247" i="3" s="1"/>
  <c r="AF243" i="3"/>
  <c r="AF116" i="3"/>
  <c r="AF247" i="3" s="1"/>
  <c r="AE243" i="3"/>
  <c r="AE116" i="3"/>
  <c r="AE247" i="3" s="1"/>
  <c r="AD243" i="3"/>
  <c r="AD116" i="3"/>
  <c r="AD247" i="3" s="1"/>
  <c r="AC243" i="3"/>
  <c r="AC116" i="3"/>
  <c r="AC247" i="3" s="1"/>
  <c r="AB243" i="3"/>
  <c r="AB116" i="3"/>
  <c r="AB247" i="3" s="1"/>
  <c r="AA243" i="3"/>
  <c r="AA116" i="3"/>
  <c r="AA247" i="3" s="1"/>
  <c r="Z243" i="3"/>
  <c r="Z116" i="3"/>
  <c r="Z247" i="3" s="1"/>
  <c r="AL46" i="5"/>
  <c r="AL47" i="5"/>
  <c r="Y243" i="3"/>
  <c r="Y247" i="3"/>
  <c r="X243" i="3"/>
  <c r="O243" i="3"/>
  <c r="P243" i="3"/>
  <c r="Q243" i="3"/>
  <c r="R243" i="3"/>
  <c r="S243" i="3"/>
  <c r="T243" i="3"/>
  <c r="U243" i="3"/>
  <c r="V243" i="3"/>
  <c r="W243" i="3"/>
  <c r="O116" i="3"/>
  <c r="O247" i="3" s="1"/>
  <c r="P116" i="3"/>
  <c r="P247" i="3" s="1"/>
  <c r="Q116" i="3"/>
  <c r="Q247" i="3" s="1"/>
  <c r="R116" i="3"/>
  <c r="R247" i="3" s="1"/>
  <c r="S116" i="3"/>
  <c r="S247" i="3" s="1"/>
  <c r="T116" i="3"/>
  <c r="T247" i="3" s="1"/>
  <c r="U116" i="3"/>
  <c r="U247" i="3" s="1"/>
  <c r="V116" i="3"/>
  <c r="V247" i="3" s="1"/>
  <c r="W116" i="3"/>
  <c r="W247" i="3" s="1"/>
  <c r="X116" i="3"/>
  <c r="X247" i="3" s="1"/>
  <c r="N243" i="3"/>
  <c r="N116" i="3"/>
  <c r="N247" i="3" s="1"/>
  <c r="M243" i="3"/>
  <c r="M116" i="3"/>
  <c r="M247" i="3" s="1"/>
  <c r="Y46" i="5"/>
  <c r="Y47" i="5"/>
  <c r="Y41" i="5"/>
  <c r="AL3" i="17"/>
  <c r="AM3" i="17"/>
  <c r="AN3" i="17"/>
  <c r="AO3" i="17"/>
  <c r="AP3" i="17"/>
  <c r="AQ3" i="17"/>
  <c r="AR3" i="17"/>
  <c r="AS3" i="17"/>
  <c r="AT3" i="17"/>
  <c r="AU3" i="17"/>
  <c r="AV3" i="17"/>
  <c r="AW3" i="17"/>
  <c r="Y4" i="17"/>
  <c r="AL4" i="17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M1" i="3"/>
  <c r="N1" i="3"/>
  <c r="O1" i="3"/>
  <c r="P1" i="3"/>
  <c r="Q1" i="3"/>
  <c r="R1" i="3"/>
  <c r="S1" i="3"/>
  <c r="T1" i="3"/>
  <c r="U1" i="3"/>
  <c r="V1" i="3"/>
  <c r="W1" i="3"/>
  <c r="X1" i="3"/>
  <c r="Y1" i="3"/>
  <c r="M2" i="3"/>
  <c r="N2" i="3"/>
  <c r="O2" i="3"/>
  <c r="P2" i="3"/>
  <c r="Q2" i="3"/>
  <c r="R2" i="3"/>
  <c r="S2" i="3"/>
  <c r="T2" i="3"/>
  <c r="U2" i="3"/>
  <c r="V2" i="3"/>
  <c r="W2" i="3"/>
  <c r="X2" i="3"/>
  <c r="Y2" i="3"/>
  <c r="AR519" i="21"/>
  <c r="Z20" i="8"/>
  <c r="Z21" i="8"/>
  <c r="Z22" i="8"/>
  <c r="Z23" i="8"/>
  <c r="Z24" i="8"/>
  <c r="Z25" i="8"/>
  <c r="Z26" i="8"/>
  <c r="Z27" i="8"/>
  <c r="AM20" i="8"/>
  <c r="AM21" i="8"/>
  <c r="AM22" i="8"/>
  <c r="AM23" i="8"/>
  <c r="AM24" i="8"/>
  <c r="AM25" i="8"/>
  <c r="AM26" i="8"/>
  <c r="AM27" i="8"/>
  <c r="F571" i="10"/>
  <c r="K571" i="10"/>
  <c r="AM433" i="8"/>
  <c r="Z433" i="8"/>
  <c r="AM147" i="8"/>
  <c r="Z147" i="8"/>
  <c r="AE6" i="21"/>
  <c r="AF6" i="21"/>
  <c r="AG6" i="21"/>
  <c r="AH6" i="21"/>
  <c r="AI6" i="21"/>
  <c r="AJ6" i="21"/>
  <c r="AK6" i="21"/>
  <c r="AL6" i="21"/>
  <c r="AM6" i="21"/>
  <c r="AN6" i="21"/>
  <c r="AO6" i="21"/>
  <c r="AP6" i="21"/>
  <c r="AQ6" i="21"/>
  <c r="AR6" i="21"/>
  <c r="AE7" i="21"/>
  <c r="AF7" i="21"/>
  <c r="AG7" i="21"/>
  <c r="AH7" i="21"/>
  <c r="AI7" i="21"/>
  <c r="AJ7" i="21"/>
  <c r="AK7" i="21"/>
  <c r="AL7" i="21"/>
  <c r="AM7" i="21"/>
  <c r="AN7" i="21"/>
  <c r="AO7" i="21"/>
  <c r="AP7" i="21"/>
  <c r="AQ7" i="21"/>
  <c r="AR7" i="21"/>
  <c r="AS7" i="21"/>
  <c r="AT7" i="21"/>
  <c r="S6" i="21"/>
  <c r="T6" i="21"/>
  <c r="U6" i="21"/>
  <c r="V6" i="21"/>
  <c r="W6" i="21"/>
  <c r="X6" i="21"/>
  <c r="Y6" i="21"/>
  <c r="Z6" i="21"/>
  <c r="AA6" i="21"/>
  <c r="AB6" i="21"/>
  <c r="AC6" i="21"/>
  <c r="AD6" i="21"/>
  <c r="S7" i="21"/>
  <c r="T7" i="21"/>
  <c r="U7" i="21"/>
  <c r="V7" i="21"/>
  <c r="W7" i="21"/>
  <c r="X7" i="21"/>
  <c r="Y7" i="21"/>
  <c r="Z7" i="21"/>
  <c r="AA7" i="21"/>
  <c r="AB7" i="21"/>
  <c r="AC7" i="21"/>
  <c r="AD7" i="21"/>
  <c r="D571" i="6"/>
  <c r="E571" i="6"/>
  <c r="F571" i="6"/>
  <c r="H571" i="6"/>
  <c r="J571" i="6"/>
  <c r="E575" i="6"/>
  <c r="F575" i="6"/>
  <c r="G575" i="6"/>
  <c r="H575" i="6"/>
  <c r="I575" i="6"/>
  <c r="J575" i="6"/>
  <c r="D575" i="6"/>
  <c r="AL433" i="19"/>
  <c r="Y446" i="19"/>
  <c r="Y447" i="19"/>
  <c r="Y448" i="19"/>
  <c r="Y449" i="19"/>
  <c r="Y450" i="19"/>
  <c r="Y451" i="19"/>
  <c r="Y452" i="19"/>
  <c r="Y453" i="19"/>
  <c r="Y454" i="19"/>
  <c r="Y455" i="19"/>
  <c r="Y456" i="19"/>
  <c r="Y457" i="19"/>
  <c r="Y458" i="19"/>
  <c r="Y459" i="19"/>
  <c r="Y460" i="19"/>
  <c r="Y461" i="19"/>
  <c r="Y462" i="19"/>
  <c r="Y463" i="19"/>
  <c r="Y464" i="19"/>
  <c r="Y465" i="19"/>
  <c r="Y466" i="19"/>
  <c r="Y467" i="19"/>
  <c r="Y468" i="19"/>
  <c r="Y469" i="19"/>
  <c r="Y470" i="19"/>
  <c r="Y471" i="19"/>
  <c r="Y472" i="19"/>
  <c r="Y473" i="19"/>
  <c r="Y475" i="19"/>
  <c r="Y476" i="19"/>
  <c r="Y478" i="19"/>
  <c r="Y480" i="19"/>
  <c r="Y481" i="19"/>
  <c r="Y483" i="19"/>
  <c r="Y484" i="19"/>
  <c r="Y486" i="19"/>
  <c r="Y487" i="19"/>
  <c r="Y488" i="19"/>
  <c r="Y489" i="19"/>
  <c r="Y490" i="19"/>
  <c r="Y491" i="19"/>
  <c r="Y492" i="19"/>
  <c r="Y493" i="19"/>
  <c r="Y494" i="19"/>
  <c r="Y495" i="19"/>
  <c r="Y496" i="19"/>
  <c r="Y497" i="19"/>
  <c r="Y498" i="19"/>
  <c r="Y499" i="19"/>
  <c r="Y500" i="19"/>
  <c r="Y501" i="19"/>
  <c r="Y502" i="19"/>
  <c r="Y503" i="19"/>
  <c r="Y504" i="19"/>
  <c r="Y505" i="19"/>
  <c r="Y506" i="19"/>
  <c r="Y507" i="19"/>
  <c r="Y508" i="19"/>
  <c r="Y509" i="19"/>
  <c r="Y510" i="19"/>
  <c r="Y511" i="19"/>
  <c r="Y512" i="19"/>
  <c r="Y513" i="19"/>
  <c r="Y514" i="19"/>
  <c r="Y515" i="19"/>
  <c r="Y517" i="19"/>
  <c r="Y518" i="19"/>
  <c r="Y519" i="19"/>
  <c r="Y520" i="19"/>
  <c r="E571" i="19"/>
  <c r="G571" i="19"/>
  <c r="E575" i="19"/>
  <c r="E576" i="19" s="1"/>
  <c r="F575" i="19"/>
  <c r="G575" i="19"/>
  <c r="H575" i="19"/>
  <c r="D575" i="19"/>
  <c r="AL40" i="19"/>
  <c r="AL41" i="19"/>
  <c r="AL47" i="19"/>
  <c r="Y40" i="19"/>
  <c r="Y43" i="19"/>
  <c r="Y45" i="19"/>
  <c r="Y47" i="19"/>
  <c r="Y49" i="19"/>
  <c r="AL29" i="19"/>
  <c r="AL30" i="19"/>
  <c r="AL31" i="19"/>
  <c r="AL32" i="19"/>
  <c r="AL28" i="19"/>
  <c r="Y29" i="19"/>
  <c r="Y30" i="19"/>
  <c r="Y32" i="19"/>
  <c r="Y28" i="19"/>
  <c r="AM31" i="8"/>
  <c r="AM32" i="8"/>
  <c r="AM30" i="8"/>
  <c r="Z31" i="8"/>
  <c r="Z32" i="8"/>
  <c r="Z30" i="8"/>
  <c r="G574" i="10"/>
  <c r="H574" i="10"/>
  <c r="I574" i="10"/>
  <c r="J574" i="10"/>
  <c r="K574" i="10"/>
  <c r="L574" i="10"/>
  <c r="M574" i="10"/>
  <c r="F574" i="10"/>
  <c r="N571" i="9"/>
  <c r="AN433" i="9"/>
  <c r="AA433" i="9"/>
  <c r="N434" i="9"/>
  <c r="N435" i="9"/>
  <c r="N436" i="9"/>
  <c r="N437" i="9"/>
  <c r="N438" i="9"/>
  <c r="N439" i="9"/>
  <c r="N440" i="9"/>
  <c r="N441" i="9"/>
  <c r="N442" i="9"/>
  <c r="N443" i="9"/>
  <c r="N444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509" i="9"/>
  <c r="N510" i="9"/>
  <c r="N511" i="9"/>
  <c r="N512" i="9"/>
  <c r="N513" i="9"/>
  <c r="N514" i="9"/>
  <c r="N515" i="9"/>
  <c r="N516" i="9"/>
  <c r="N517" i="9"/>
  <c r="N518" i="9"/>
  <c r="N519" i="9"/>
  <c r="N520" i="9"/>
  <c r="N522" i="9"/>
  <c r="N523" i="9"/>
  <c r="N524" i="9"/>
  <c r="N525" i="9"/>
  <c r="N526" i="9"/>
  <c r="N529" i="9"/>
  <c r="N530" i="9"/>
  <c r="N531" i="9"/>
  <c r="N532" i="9"/>
  <c r="N533" i="9"/>
  <c r="N534" i="9"/>
  <c r="N535" i="9"/>
  <c r="N536" i="9"/>
  <c r="N537" i="9"/>
  <c r="N538" i="9"/>
  <c r="N539" i="9"/>
  <c r="N540" i="9"/>
  <c r="N541" i="9"/>
  <c r="N542" i="9"/>
  <c r="N543" i="9"/>
  <c r="N544" i="9"/>
  <c r="N545" i="9"/>
  <c r="N546" i="9"/>
  <c r="N547" i="9"/>
  <c r="N548" i="9"/>
  <c r="N549" i="9"/>
  <c r="N550" i="9"/>
  <c r="N552" i="9"/>
  <c r="N553" i="9"/>
  <c r="N554" i="9"/>
  <c r="N555" i="9"/>
  <c r="N556" i="9"/>
  <c r="N557" i="9"/>
  <c r="N558" i="9"/>
  <c r="N559" i="9"/>
  <c r="N560" i="9"/>
  <c r="N562" i="9"/>
  <c r="N563" i="9"/>
  <c r="N564" i="9"/>
  <c r="N565" i="9"/>
  <c r="N566" i="9"/>
  <c r="N567" i="9"/>
  <c r="N568" i="9"/>
  <c r="N569" i="9"/>
  <c r="N433" i="9"/>
  <c r="AA168" i="9"/>
  <c r="N138" i="9"/>
  <c r="N139" i="9"/>
  <c r="N140" i="9"/>
  <c r="N141" i="9"/>
  <c r="N142" i="9"/>
  <c r="N143" i="9"/>
  <c r="N145" i="9"/>
  <c r="N146" i="9"/>
  <c r="N147" i="9"/>
  <c r="N149" i="9"/>
  <c r="N150" i="9"/>
  <c r="N151" i="9"/>
  <c r="N152" i="9"/>
  <c r="N153" i="9"/>
  <c r="N154" i="9"/>
  <c r="N155" i="9"/>
  <c r="N156" i="9"/>
  <c r="N157" i="9"/>
  <c r="N158" i="9"/>
  <c r="N160" i="9"/>
  <c r="N161" i="9"/>
  <c r="N162" i="9"/>
  <c r="N163" i="9"/>
  <c r="N164" i="9"/>
  <c r="N165" i="9"/>
  <c r="N166" i="9"/>
  <c r="N137" i="9"/>
  <c r="N116" i="9"/>
  <c r="N117" i="9"/>
  <c r="N119" i="9"/>
  <c r="N120" i="9"/>
  <c r="N123" i="9"/>
  <c r="N124" i="9"/>
  <c r="N125" i="9"/>
  <c r="N126" i="9"/>
  <c r="N127" i="9"/>
  <c r="N130" i="9"/>
  <c r="N115" i="9"/>
  <c r="N93" i="9"/>
  <c r="N94" i="9"/>
  <c r="N95" i="9"/>
  <c r="N96" i="9"/>
  <c r="N97" i="9"/>
  <c r="N100" i="9"/>
  <c r="N101" i="9"/>
  <c r="N102" i="9"/>
  <c r="N103" i="9"/>
  <c r="N104" i="9"/>
  <c r="N107" i="9"/>
  <c r="N108" i="9"/>
  <c r="N92" i="9"/>
  <c r="N73" i="9"/>
  <c r="N74" i="9"/>
  <c r="N75" i="9"/>
  <c r="N76" i="9"/>
  <c r="N77" i="9"/>
  <c r="N78" i="9"/>
  <c r="N79" i="9"/>
  <c r="N80" i="9"/>
  <c r="N81" i="9"/>
  <c r="N82" i="9"/>
  <c r="N72" i="9"/>
  <c r="N58" i="9"/>
  <c r="N59" i="9"/>
  <c r="N60" i="9"/>
  <c r="N61" i="9"/>
  <c r="N62" i="9"/>
  <c r="N63" i="9"/>
  <c r="N64" i="9"/>
  <c r="N65" i="9"/>
  <c r="N48" i="9"/>
  <c r="N49" i="9"/>
  <c r="N41" i="9"/>
  <c r="N40" i="9"/>
  <c r="N39" i="9"/>
  <c r="N38" i="9"/>
  <c r="N37" i="9"/>
  <c r="N22" i="9"/>
  <c r="N19" i="9"/>
  <c r="N18" i="9"/>
  <c r="K28" i="6"/>
  <c r="L28" i="6" s="1"/>
  <c r="L27" i="6"/>
  <c r="L15" i="6"/>
  <c r="L14" i="6"/>
  <c r="AA25" i="10"/>
  <c r="AA26" i="10"/>
  <c r="AA28" i="10"/>
  <c r="AA19" i="10"/>
  <c r="AA6" i="10"/>
  <c r="AM85" i="8"/>
  <c r="AM82" i="8"/>
  <c r="Z85" i="8"/>
  <c r="AN3" i="10"/>
  <c r="AB4" i="10"/>
  <c r="AC4" i="10"/>
  <c r="AD4" i="10"/>
  <c r="AE4" i="10"/>
  <c r="AF4" i="10"/>
  <c r="AG4" i="10"/>
  <c r="AH4" i="10"/>
  <c r="AI4" i="10"/>
  <c r="AJ4" i="10"/>
  <c r="AK4" i="10"/>
  <c r="AL4" i="10"/>
  <c r="AM4" i="10"/>
  <c r="AN4" i="10"/>
  <c r="AA3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N5" i="9"/>
  <c r="AB4" i="9"/>
  <c r="AC4" i="9"/>
  <c r="AD4" i="9"/>
  <c r="AE4" i="9"/>
  <c r="AF4" i="9"/>
  <c r="AG4" i="9"/>
  <c r="AH4" i="9"/>
  <c r="AI4" i="9"/>
  <c r="AJ4" i="9"/>
  <c r="AK4" i="9"/>
  <c r="AL4" i="9"/>
  <c r="AM4" i="9"/>
  <c r="AB5" i="9"/>
  <c r="AC5" i="9"/>
  <c r="AD5" i="9"/>
  <c r="AE5" i="9"/>
  <c r="AF5" i="9"/>
  <c r="AG5" i="9"/>
  <c r="AH5" i="9"/>
  <c r="AI5" i="9"/>
  <c r="AJ5" i="9"/>
  <c r="AK5" i="9"/>
  <c r="AL5" i="9"/>
  <c r="AM5" i="9"/>
  <c r="P4" i="9"/>
  <c r="Q4" i="9"/>
  <c r="R4" i="9"/>
  <c r="S4" i="9"/>
  <c r="T4" i="9"/>
  <c r="U4" i="9"/>
  <c r="V4" i="9"/>
  <c r="W4" i="9"/>
  <c r="X4" i="9"/>
  <c r="Y4" i="9"/>
  <c r="Z4" i="9"/>
  <c r="P5" i="9"/>
  <c r="Q5" i="9"/>
  <c r="R5" i="9"/>
  <c r="S5" i="9"/>
  <c r="T5" i="9"/>
  <c r="U5" i="9"/>
  <c r="V5" i="9"/>
  <c r="W5" i="9"/>
  <c r="X5" i="9"/>
  <c r="Y5" i="9"/>
  <c r="Z5" i="9"/>
  <c r="AA5" i="9"/>
  <c r="O4" i="9"/>
  <c r="O5" i="9"/>
  <c r="N4" i="9"/>
  <c r="N5" i="9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Z2" i="17"/>
  <c r="AA2" i="17"/>
  <c r="AB2" i="17"/>
  <c r="AC2" i="17"/>
  <c r="AD2" i="17"/>
  <c r="AE2" i="17"/>
  <c r="AF2" i="17"/>
  <c r="AG2" i="17"/>
  <c r="AH2" i="17"/>
  <c r="AI2" i="17"/>
  <c r="AJ2" i="17"/>
  <c r="AK2" i="17"/>
  <c r="AL2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M2" i="17"/>
  <c r="N2" i="17"/>
  <c r="O2" i="17"/>
  <c r="P2" i="17"/>
  <c r="Q2" i="17"/>
  <c r="R2" i="17"/>
  <c r="S2" i="17"/>
  <c r="T2" i="17"/>
  <c r="U2" i="17"/>
  <c r="V2" i="17"/>
  <c r="W2" i="17"/>
  <c r="X2" i="17"/>
  <c r="Y2" i="17"/>
  <c r="AB1" i="8"/>
  <c r="AC1" i="8"/>
  <c r="AD1" i="8"/>
  <c r="AE1" i="8"/>
  <c r="AF1" i="8"/>
  <c r="AG1" i="8"/>
  <c r="AH1" i="8"/>
  <c r="AI1" i="8"/>
  <c r="AJ1" i="8"/>
  <c r="AK1" i="8"/>
  <c r="AL1" i="8"/>
  <c r="AM1" i="8"/>
  <c r="AB2" i="8"/>
  <c r="AC2" i="8"/>
  <c r="AD2" i="8"/>
  <c r="AE2" i="8"/>
  <c r="AF2" i="8"/>
  <c r="AG2" i="8"/>
  <c r="AH2" i="8"/>
  <c r="AI2" i="8"/>
  <c r="AJ2" i="8"/>
  <c r="AK2" i="8"/>
  <c r="AL2" i="8"/>
  <c r="AM2" i="8"/>
  <c r="AA2" i="8"/>
  <c r="AA1" i="8"/>
  <c r="O1" i="8"/>
  <c r="P1" i="8"/>
  <c r="Q1" i="8"/>
  <c r="R1" i="8"/>
  <c r="S1" i="8"/>
  <c r="T1" i="8"/>
  <c r="U1" i="8"/>
  <c r="V1" i="8"/>
  <c r="W1" i="8"/>
  <c r="X1" i="8"/>
  <c r="Y1" i="8"/>
  <c r="Z1" i="8"/>
  <c r="O2" i="8"/>
  <c r="P2" i="8"/>
  <c r="Q2" i="8"/>
  <c r="R2" i="8"/>
  <c r="S2" i="8"/>
  <c r="T2" i="8"/>
  <c r="U2" i="8"/>
  <c r="V2" i="8"/>
  <c r="W2" i="8"/>
  <c r="X2" i="8"/>
  <c r="Y2" i="8"/>
  <c r="Z2" i="8"/>
  <c r="N2" i="8"/>
  <c r="N1" i="8"/>
  <c r="AA5" i="19"/>
  <c r="AB5" i="19"/>
  <c r="AC5" i="19"/>
  <c r="AD5" i="19"/>
  <c r="AE5" i="19"/>
  <c r="AF5" i="19"/>
  <c r="AG5" i="19"/>
  <c r="AH5" i="19"/>
  <c r="AI5" i="19"/>
  <c r="AJ5" i="19"/>
  <c r="AK5" i="19"/>
  <c r="AL5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Z6" i="19"/>
  <c r="Z5" i="19"/>
  <c r="N5" i="19"/>
  <c r="O5" i="19"/>
  <c r="P5" i="19"/>
  <c r="Q5" i="19"/>
  <c r="R5" i="19"/>
  <c r="S5" i="19"/>
  <c r="T5" i="19"/>
  <c r="U5" i="19"/>
  <c r="V5" i="19"/>
  <c r="W5" i="19"/>
  <c r="X5" i="19"/>
  <c r="Y5" i="19"/>
  <c r="N6" i="19"/>
  <c r="O6" i="19"/>
  <c r="P6" i="19"/>
  <c r="Q6" i="19"/>
  <c r="R6" i="19"/>
  <c r="S6" i="19"/>
  <c r="T6" i="19"/>
  <c r="U6" i="19"/>
  <c r="V6" i="19"/>
  <c r="W6" i="19"/>
  <c r="X6" i="19"/>
  <c r="Y6" i="19"/>
  <c r="M6" i="19"/>
  <c r="M5" i="19"/>
  <c r="AA1" i="6"/>
  <c r="AB1" i="6"/>
  <c r="AC1" i="6"/>
  <c r="AD1" i="6"/>
  <c r="AE1" i="6"/>
  <c r="AF1" i="6"/>
  <c r="AG1" i="6"/>
  <c r="AH1" i="6"/>
  <c r="AI1" i="6"/>
  <c r="AJ1" i="6"/>
  <c r="AK1" i="6"/>
  <c r="AL1" i="6"/>
  <c r="AA2" i="6"/>
  <c r="AB2" i="6"/>
  <c r="AC2" i="6"/>
  <c r="AD2" i="6"/>
  <c r="AE2" i="6"/>
  <c r="AF2" i="6"/>
  <c r="AG2" i="6"/>
  <c r="AH2" i="6"/>
  <c r="AI2" i="6"/>
  <c r="AJ2" i="6"/>
  <c r="AK2" i="6"/>
  <c r="AL2" i="6"/>
  <c r="Z2" i="6"/>
  <c r="Z1" i="6"/>
  <c r="N1" i="6"/>
  <c r="O1" i="6"/>
  <c r="P1" i="6"/>
  <c r="Q1" i="6"/>
  <c r="R1" i="6"/>
  <c r="S1" i="6"/>
  <c r="T1" i="6"/>
  <c r="U1" i="6"/>
  <c r="V1" i="6"/>
  <c r="W1" i="6"/>
  <c r="X1" i="6"/>
  <c r="Y1" i="6"/>
  <c r="N2" i="6"/>
  <c r="O2" i="6"/>
  <c r="P2" i="6"/>
  <c r="Q2" i="6"/>
  <c r="R2" i="6"/>
  <c r="S2" i="6"/>
  <c r="T2" i="6"/>
  <c r="U2" i="6"/>
  <c r="V2" i="6"/>
  <c r="W2" i="6"/>
  <c r="X2" i="6"/>
  <c r="Y2" i="6"/>
  <c r="M2" i="6"/>
  <c r="M1" i="6"/>
  <c r="AA1" i="5"/>
  <c r="AB1" i="5"/>
  <c r="AC1" i="5"/>
  <c r="AD1" i="5"/>
  <c r="AE1" i="5"/>
  <c r="AF1" i="5"/>
  <c r="AG1" i="5"/>
  <c r="AH1" i="5"/>
  <c r="AI1" i="5"/>
  <c r="AJ1" i="5"/>
  <c r="AK1" i="5"/>
  <c r="AA2" i="5"/>
  <c r="AB2" i="5"/>
  <c r="AC2" i="5"/>
  <c r="AD2" i="5"/>
  <c r="AE2" i="5"/>
  <c r="AF2" i="5"/>
  <c r="AG2" i="5"/>
  <c r="AH2" i="5"/>
  <c r="AI2" i="5"/>
  <c r="AJ2" i="5"/>
  <c r="AK2" i="5"/>
  <c r="AL2" i="5"/>
  <c r="Z2" i="5"/>
  <c r="Z1" i="5"/>
  <c r="N1" i="5"/>
  <c r="O1" i="5"/>
  <c r="P1" i="5"/>
  <c r="Q1" i="5"/>
  <c r="R1" i="5"/>
  <c r="S1" i="5"/>
  <c r="T1" i="5"/>
  <c r="U1" i="5"/>
  <c r="V1" i="5"/>
  <c r="W1" i="5"/>
  <c r="X1" i="5"/>
  <c r="N2" i="5"/>
  <c r="O2" i="5"/>
  <c r="P2" i="5"/>
  <c r="Q2" i="5"/>
  <c r="R2" i="5"/>
  <c r="S2" i="5"/>
  <c r="T2" i="5"/>
  <c r="U2" i="5"/>
  <c r="V2" i="5"/>
  <c r="W2" i="5"/>
  <c r="X2" i="5"/>
  <c r="Y2" i="5"/>
  <c r="M1" i="5"/>
  <c r="M2" i="5"/>
  <c r="K1" i="6"/>
  <c r="L1" i="6"/>
  <c r="K2" i="6"/>
  <c r="L2" i="6"/>
  <c r="AG324" i="20"/>
  <c r="AH324" i="20"/>
  <c r="AI324" i="20"/>
  <c r="AJ324" i="20"/>
  <c r="AK324" i="20"/>
  <c r="AL324" i="20"/>
  <c r="AM324" i="20"/>
  <c r="AN324" i="20"/>
  <c r="AI314" i="20"/>
  <c r="AI328" i="20" s="1"/>
  <c r="AJ314" i="20"/>
  <c r="AJ328" i="20" s="1"/>
  <c r="AL314" i="20"/>
  <c r="AL328" i="20" s="1"/>
  <c r="AM314" i="20"/>
  <c r="AM328" i="20" s="1"/>
  <c r="AN314" i="20"/>
  <c r="AN328" i="20" s="1"/>
  <c r="AN43" i="20"/>
  <c r="AM43" i="20"/>
  <c r="AL43" i="20"/>
  <c r="AK43" i="20"/>
  <c r="AJ43" i="20"/>
  <c r="AI43" i="20"/>
  <c r="AH43" i="20"/>
  <c r="AG43" i="20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M247" i="3"/>
  <c r="AN247" i="3"/>
  <c r="AO247" i="3"/>
  <c r="AP247" i="3"/>
  <c r="AQ247" i="3"/>
  <c r="AR247" i="3"/>
  <c r="AS247" i="3"/>
  <c r="AT247" i="3"/>
  <c r="AU247" i="3"/>
  <c r="AV247" i="3"/>
  <c r="AW247" i="3"/>
  <c r="AM243" i="3"/>
  <c r="AN243" i="3"/>
  <c r="AO243" i="3"/>
  <c r="AP243" i="3"/>
  <c r="AQ243" i="3"/>
  <c r="AR243" i="3"/>
  <c r="AS243" i="3"/>
  <c r="AT243" i="3"/>
  <c r="AU243" i="3"/>
  <c r="AV243" i="3"/>
  <c r="AW243" i="3"/>
  <c r="Y147" i="3"/>
  <c r="M147" i="3" s="1"/>
  <c r="S147" i="3"/>
  <c r="U147" i="3"/>
  <c r="W147" i="3"/>
  <c r="T367" i="20"/>
  <c r="B2" i="26"/>
  <c r="O99" i="8" l="1"/>
  <c r="U99" i="8"/>
  <c r="Q99" i="8"/>
  <c r="N101" i="8"/>
  <c r="V101" i="8"/>
  <c r="R101" i="8"/>
  <c r="AB99" i="8"/>
  <c r="AK100" i="8"/>
  <c r="AG100" i="8"/>
  <c r="AC100" i="8"/>
  <c r="AJ99" i="8"/>
  <c r="AH99" i="8"/>
  <c r="AF99" i="8"/>
  <c r="AD99" i="8"/>
  <c r="Z448" i="8"/>
  <c r="M24" i="3"/>
  <c r="S32" i="3"/>
  <c r="T32" i="3" s="1"/>
  <c r="AM48" i="12"/>
  <c r="AK48" i="12"/>
  <c r="AI48" i="12"/>
  <c r="AG48" i="12"/>
  <c r="AE48" i="12"/>
  <c r="AC48" i="12"/>
  <c r="Z48" i="12"/>
  <c r="X48" i="12"/>
  <c r="V48" i="12"/>
  <c r="T48" i="12"/>
  <c r="R48" i="12"/>
  <c r="R46" i="12" s="1"/>
  <c r="AR37" i="12"/>
  <c r="AM448" i="8"/>
  <c r="S51" i="3"/>
  <c r="AN567" i="9"/>
  <c r="AA567" i="9"/>
  <c r="AN48" i="12"/>
  <c r="AL48" i="12"/>
  <c r="AJ48" i="12"/>
  <c r="AH48" i="12"/>
  <c r="AF48" i="12"/>
  <c r="AD48" i="12"/>
  <c r="AA48" i="12"/>
  <c r="Y48" i="12"/>
  <c r="W48" i="12"/>
  <c r="U48" i="12"/>
  <c r="S48" i="12"/>
  <c r="Q48" i="12"/>
  <c r="Q46" i="12" s="1"/>
  <c r="P48" i="12"/>
  <c r="P46" i="12" s="1"/>
  <c r="AN445" i="10"/>
  <c r="AN442" i="10"/>
  <c r="AN440" i="10"/>
  <c r="AN438" i="10"/>
  <c r="AN436" i="10"/>
  <c r="AE443" i="21"/>
  <c r="AA443" i="10"/>
  <c r="AA441" i="10"/>
  <c r="AA439" i="10"/>
  <c r="AE437" i="21"/>
  <c r="AA437" i="10"/>
  <c r="AA435" i="10"/>
  <c r="AA517" i="10"/>
  <c r="AN443" i="10"/>
  <c r="AN441" i="10"/>
  <c r="AN439" i="10"/>
  <c r="AN437" i="10"/>
  <c r="AN435" i="10"/>
  <c r="AN517" i="10"/>
  <c r="AN516" i="10"/>
  <c r="AA445" i="10"/>
  <c r="AE445" i="21" s="1"/>
  <c r="AA442" i="10"/>
  <c r="AA440" i="10"/>
  <c r="AA438" i="10"/>
  <c r="AA436" i="10"/>
  <c r="AA516" i="10"/>
  <c r="T45" i="12"/>
  <c r="S46" i="12"/>
  <c r="AL477" i="19"/>
  <c r="Z518" i="8"/>
  <c r="AM518" i="8"/>
  <c r="AL486" i="19"/>
  <c r="AL476" i="19"/>
  <c r="AH9" i="12"/>
  <c r="AI9" i="12" s="1"/>
  <c r="AJ9" i="12" s="1"/>
  <c r="AK9" i="12" s="1"/>
  <c r="AL9" i="12" s="1"/>
  <c r="AM9" i="12" s="1"/>
  <c r="AN9" i="12" s="1"/>
  <c r="AP9" i="12" s="1"/>
  <c r="K16" i="6"/>
  <c r="K22" i="6" s="1"/>
  <c r="T152" i="20"/>
  <c r="U152" i="20" s="1"/>
  <c r="V152" i="20" s="1"/>
  <c r="W152" i="20" s="1"/>
  <c r="X152" i="20" s="1"/>
  <c r="Y152" i="20" s="1"/>
  <c r="Z152" i="20" s="1"/>
  <c r="AA152" i="20" s="1"/>
  <c r="AB152" i="20" s="1"/>
  <c r="AC152" i="20" s="1"/>
  <c r="AD152" i="20" s="1"/>
  <c r="AE152" i="20" s="1"/>
  <c r="S152" i="20"/>
  <c r="AQ9" i="12"/>
  <c r="AR9" i="12" s="1"/>
  <c r="AS9" i="12" s="1"/>
  <c r="AT9" i="12" s="1"/>
  <c r="AU9" i="12" s="1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BO9" i="12" s="1"/>
  <c r="BP9" i="12" s="1"/>
  <c r="BQ9" i="12" s="1"/>
  <c r="AD3" i="13"/>
  <c r="AB3" i="13"/>
  <c r="Z3" i="13"/>
  <c r="AC3" i="13"/>
  <c r="AA3" i="13"/>
  <c r="E64" i="20"/>
  <c r="W373" i="20"/>
  <c r="AI373" i="20"/>
  <c r="G576" i="19"/>
  <c r="AE200" i="20"/>
  <c r="AD45" i="13"/>
  <c r="AD451" i="13" s="1"/>
  <c r="AC200" i="20"/>
  <c r="AB45" i="13"/>
  <c r="AB451" i="13" s="1"/>
  <c r="AA200" i="20"/>
  <c r="Z45" i="13"/>
  <c r="Z451" i="13" s="1"/>
  <c r="H576" i="6"/>
  <c r="W200" i="20"/>
  <c r="V45" i="13"/>
  <c r="V451" i="13" s="1"/>
  <c r="E576" i="6"/>
  <c r="Y200" i="20"/>
  <c r="X45" i="13"/>
  <c r="X451" i="13" s="1"/>
  <c r="T200" i="20"/>
  <c r="S45" i="13"/>
  <c r="S451" i="13" s="1"/>
  <c r="D571" i="19"/>
  <c r="J576" i="6"/>
  <c r="F576" i="6"/>
  <c r="M571" i="10"/>
  <c r="I576" i="6"/>
  <c r="H571" i="19"/>
  <c r="I571" i="10"/>
  <c r="G576" i="6"/>
  <c r="F571" i="19"/>
  <c r="F576" i="19" s="1"/>
  <c r="F571" i="8"/>
  <c r="F576" i="8" s="1"/>
  <c r="D576" i="19"/>
  <c r="H576" i="19"/>
  <c r="O100" i="8"/>
  <c r="V100" i="8"/>
  <c r="T100" i="8"/>
  <c r="R100" i="8"/>
  <c r="P100" i="8"/>
  <c r="AB101" i="8"/>
  <c r="AJ101" i="8"/>
  <c r="AH101" i="8"/>
  <c r="AF101" i="8"/>
  <c r="AD101" i="8"/>
  <c r="AG223" i="20"/>
  <c r="Z223" i="20"/>
  <c r="X223" i="20"/>
  <c r="X100" i="8"/>
  <c r="G416" i="20"/>
  <c r="H416" i="20"/>
  <c r="AD416" i="20"/>
  <c r="J414" i="20"/>
  <c r="J234" i="20" s="1"/>
  <c r="AB143" i="12"/>
  <c r="AL234" i="3"/>
  <c r="AD125" i="20"/>
  <c r="AJ100" i="3" s="1"/>
  <c r="AJ230" i="3" s="1"/>
  <c r="AB125" i="20"/>
  <c r="AH100" i="3" s="1"/>
  <c r="AH230" i="3" s="1"/>
  <c r="Z125" i="20"/>
  <c r="AF100" i="3" s="1"/>
  <c r="AF230" i="3" s="1"/>
  <c r="X125" i="20"/>
  <c r="AD100" i="3" s="1"/>
  <c r="AD230" i="3" s="1"/>
  <c r="U125" i="20"/>
  <c r="AA100" i="3" s="1"/>
  <c r="AA230" i="3" s="1"/>
  <c r="X385" i="20"/>
  <c r="AL104" i="3"/>
  <c r="Q385" i="20"/>
  <c r="P10" i="12"/>
  <c r="L571" i="10"/>
  <c r="L575" i="10" s="1"/>
  <c r="J571" i="10"/>
  <c r="J575" i="10" s="1"/>
  <c r="AE125" i="20"/>
  <c r="AK100" i="3" s="1"/>
  <c r="AK230" i="3" s="1"/>
  <c r="AC125" i="20"/>
  <c r="AI100" i="3" s="1"/>
  <c r="AI230" i="3" s="1"/>
  <c r="AA125" i="20"/>
  <c r="AG100" i="3" s="1"/>
  <c r="AG230" i="3" s="1"/>
  <c r="Y125" i="20"/>
  <c r="AE100" i="3" s="1"/>
  <c r="AE230" i="3" s="1"/>
  <c r="T125" i="20"/>
  <c r="Z100" i="3" s="1"/>
  <c r="Z230" i="3" s="1"/>
  <c r="N361" i="20"/>
  <c r="M373" i="20"/>
  <c r="P373" i="20"/>
  <c r="AP373" i="20"/>
  <c r="AJ373" i="20"/>
  <c r="Z373" i="20"/>
  <c r="T373" i="20"/>
  <c r="AF372" i="20"/>
  <c r="AC373" i="20"/>
  <c r="J45" i="29"/>
  <c r="R33" i="10" s="1"/>
  <c r="L45" i="29"/>
  <c r="T33" i="10" s="1"/>
  <c r="N45" i="29"/>
  <c r="V33" i="10" s="1"/>
  <c r="P45" i="29"/>
  <c r="R45" i="29"/>
  <c r="G45" i="29"/>
  <c r="I45" i="29"/>
  <c r="Q33" i="10" s="1"/>
  <c r="K45" i="29"/>
  <c r="S33" i="10" s="1"/>
  <c r="M45" i="29"/>
  <c r="U33" i="10" s="1"/>
  <c r="O45" i="29"/>
  <c r="W33" i="10" s="1"/>
  <c r="Q45" i="29"/>
  <c r="H45" i="29"/>
  <c r="P33" i="10" s="1"/>
  <c r="AN48" i="10"/>
  <c r="AH373" i="20"/>
  <c r="U373" i="20"/>
  <c r="I373" i="20"/>
  <c r="H185" i="20"/>
  <c r="I185" i="20" s="1"/>
  <c r="J185" i="20" s="1"/>
  <c r="K185" i="20" s="1"/>
  <c r="L185" i="20" s="1"/>
  <c r="M185" i="20" s="1"/>
  <c r="N185" i="20" s="1"/>
  <c r="O185" i="20" s="1"/>
  <c r="P185" i="20" s="1"/>
  <c r="Q185" i="20" s="1"/>
  <c r="R185" i="20" s="1"/>
  <c r="T185" i="20" s="1"/>
  <c r="U185" i="20" s="1"/>
  <c r="V185" i="20" s="1"/>
  <c r="W185" i="20" s="1"/>
  <c r="X185" i="20" s="1"/>
  <c r="Y185" i="20" s="1"/>
  <c r="Z185" i="20" s="1"/>
  <c r="AA185" i="20" s="1"/>
  <c r="AB185" i="20" s="1"/>
  <c r="AC185" i="20" s="1"/>
  <c r="AD185" i="20" s="1"/>
  <c r="AE185" i="20" s="1"/>
  <c r="AF222" i="20"/>
  <c r="X99" i="8"/>
  <c r="V99" i="8"/>
  <c r="T99" i="8"/>
  <c r="R99" i="8"/>
  <c r="P99" i="8"/>
  <c r="O101" i="8"/>
  <c r="W101" i="8"/>
  <c r="U101" i="8"/>
  <c r="S101" i="8"/>
  <c r="Q101" i="8"/>
  <c r="AA100" i="8"/>
  <c r="AB100" i="8"/>
  <c r="AJ100" i="8"/>
  <c r="AH100" i="8"/>
  <c r="AF100" i="8"/>
  <c r="AD100" i="8"/>
  <c r="AN40" i="10"/>
  <c r="N373" i="20"/>
  <c r="AG373" i="20"/>
  <c r="J373" i="20"/>
  <c r="O373" i="20"/>
  <c r="W125" i="20"/>
  <c r="AC100" i="3" s="1"/>
  <c r="AC230" i="3" s="1"/>
  <c r="Y3" i="13"/>
  <c r="X3" i="13"/>
  <c r="W3" i="13"/>
  <c r="V3" i="13"/>
  <c r="U3" i="13"/>
  <c r="T3" i="13"/>
  <c r="Q3" i="13"/>
  <c r="P3" i="13"/>
  <c r="O3" i="13"/>
  <c r="N3" i="13"/>
  <c r="M3" i="13"/>
  <c r="L3" i="13"/>
  <c r="K3" i="13"/>
  <c r="J3" i="13"/>
  <c r="I3" i="13"/>
  <c r="H3" i="13"/>
  <c r="G3" i="13"/>
  <c r="P8" i="12"/>
  <c r="Z233" i="20"/>
  <c r="S3" i="13"/>
  <c r="F3" i="13"/>
  <c r="AA416" i="20"/>
  <c r="X416" i="20"/>
  <c r="U416" i="20"/>
  <c r="AD385" i="20"/>
  <c r="V385" i="20"/>
  <c r="R53" i="12"/>
  <c r="H390" i="20"/>
  <c r="AO373" i="20"/>
  <c r="X373" i="20"/>
  <c r="AF374" i="20"/>
  <c r="Q373" i="20"/>
  <c r="L385" i="20"/>
  <c r="AE561" i="21"/>
  <c r="S185" i="20"/>
  <c r="H259" i="20"/>
  <c r="E135" i="20"/>
  <c r="E100" i="20"/>
  <c r="A94" i="20"/>
  <c r="A95" i="20" s="1"/>
  <c r="A96" i="20" s="1"/>
  <c r="A97" i="20" s="1"/>
  <c r="A98" i="20" s="1"/>
  <c r="A99" i="20" s="1"/>
  <c r="A100" i="20" s="1"/>
  <c r="A101" i="20" s="1"/>
  <c r="A102" i="20" s="1"/>
  <c r="AL16" i="3"/>
  <c r="W15" i="3"/>
  <c r="Q15" i="20" s="1"/>
  <c r="U15" i="3"/>
  <c r="O15" i="20" s="1"/>
  <c r="S15" i="3"/>
  <c r="M15" i="20" s="1"/>
  <c r="Q15" i="3"/>
  <c r="K15" i="20" s="1"/>
  <c r="O15" i="3"/>
  <c r="I15" i="20" s="1"/>
  <c r="M15" i="3"/>
  <c r="G15" i="20" s="1"/>
  <c r="AL15" i="3"/>
  <c r="X15" i="3"/>
  <c r="R15" i="20" s="1"/>
  <c r="V15" i="3"/>
  <c r="P15" i="20" s="1"/>
  <c r="T15" i="3"/>
  <c r="N15" i="20" s="1"/>
  <c r="R15" i="3"/>
  <c r="L15" i="20" s="1"/>
  <c r="P15" i="3"/>
  <c r="J15" i="20" s="1"/>
  <c r="N15" i="3"/>
  <c r="H15" i="20" s="1"/>
  <c r="S392" i="20"/>
  <c r="I178" i="20"/>
  <c r="J178" i="20" s="1"/>
  <c r="AG152" i="20"/>
  <c r="AH152" i="20" s="1"/>
  <c r="AI152" i="20" s="1"/>
  <c r="AJ152" i="20" s="1"/>
  <c r="AK152" i="20" s="1"/>
  <c r="AL152" i="20" s="1"/>
  <c r="AM152" i="20" s="1"/>
  <c r="AN152" i="20" s="1"/>
  <c r="AO152" i="20" s="1"/>
  <c r="AP152" i="20" s="1"/>
  <c r="AQ152" i="20" s="1"/>
  <c r="AF152" i="20"/>
  <c r="I67" i="27"/>
  <c r="I120" i="27" s="1"/>
  <c r="I135" i="27" s="1"/>
  <c r="I150" i="27" s="1"/>
  <c r="I174" i="27" s="1"/>
  <c r="G85" i="27"/>
  <c r="G97" i="27" s="1"/>
  <c r="G108" i="27" s="1"/>
  <c r="G67" i="27"/>
  <c r="S222" i="20"/>
  <c r="T140" i="20"/>
  <c r="U140" i="20" s="1"/>
  <c r="V140" i="20" s="1"/>
  <c r="W140" i="20" s="1"/>
  <c r="X140" i="20" s="1"/>
  <c r="Y140" i="20" s="1"/>
  <c r="Z140" i="20" s="1"/>
  <c r="AA140" i="20" s="1"/>
  <c r="AB140" i="20" s="1"/>
  <c r="AC140" i="20" s="1"/>
  <c r="AD140" i="20" s="1"/>
  <c r="AE140" i="20" s="1"/>
  <c r="S140" i="20"/>
  <c r="G110" i="27" s="1"/>
  <c r="Y385" i="20"/>
  <c r="X412" i="20"/>
  <c r="X231" i="20" s="1"/>
  <c r="X290" i="20" s="1"/>
  <c r="X293" i="20" s="1"/>
  <c r="U412" i="20"/>
  <c r="U231" i="20" s="1"/>
  <c r="Q412" i="20"/>
  <c r="Q231" i="20" s="1"/>
  <c r="Q290" i="20" s="1"/>
  <c r="Q293" i="20" s="1"/>
  <c r="N412" i="20"/>
  <c r="N231" i="20" s="1"/>
  <c r="H415" i="20"/>
  <c r="H385" i="20"/>
  <c r="Q54" i="12"/>
  <c r="R3" i="13"/>
  <c r="Q416" i="20"/>
  <c r="N416" i="20"/>
  <c r="K416" i="20"/>
  <c r="J416" i="20"/>
  <c r="AD412" i="20"/>
  <c r="AD231" i="20" s="1"/>
  <c r="AD290" i="20" s="1"/>
  <c r="AD293" i="20" s="1"/>
  <c r="AA412" i="20"/>
  <c r="AA231" i="20" s="1"/>
  <c r="K385" i="20"/>
  <c r="H412" i="20"/>
  <c r="H231" i="20" s="1"/>
  <c r="H290" i="20" s="1"/>
  <c r="H293" i="20" s="1"/>
  <c r="F575" i="10"/>
  <c r="M575" i="10"/>
  <c r="K575" i="10"/>
  <c r="I575" i="10"/>
  <c r="H571" i="10"/>
  <c r="H575" i="10" s="1"/>
  <c r="AN16" i="10"/>
  <c r="AN6" i="10"/>
  <c r="AR445" i="21"/>
  <c r="AA223" i="20"/>
  <c r="Y223" i="20"/>
  <c r="AN51" i="10"/>
  <c r="AN49" i="10"/>
  <c r="AN46" i="10"/>
  <c r="AN42" i="10"/>
  <c r="AN37" i="10"/>
  <c r="AR462" i="21"/>
  <c r="AE441" i="21"/>
  <c r="AE461" i="21"/>
  <c r="AE519" i="21"/>
  <c r="S399" i="20"/>
  <c r="H31" i="27"/>
  <c r="J67" i="27"/>
  <c r="H67" i="27"/>
  <c r="J31" i="27"/>
  <c r="H19" i="27"/>
  <c r="AF392" i="20"/>
  <c r="T147" i="20"/>
  <c r="U147" i="20" s="1"/>
  <c r="V147" i="20" s="1"/>
  <c r="W147" i="20" s="1"/>
  <c r="X147" i="20" s="1"/>
  <c r="Y147" i="20" s="1"/>
  <c r="Z147" i="20" s="1"/>
  <c r="AA147" i="20" s="1"/>
  <c r="AB147" i="20" s="1"/>
  <c r="AC147" i="20" s="1"/>
  <c r="AD147" i="20" s="1"/>
  <c r="AE147" i="20" s="1"/>
  <c r="S147" i="20"/>
  <c r="G112" i="27" s="1"/>
  <c r="T141" i="20"/>
  <c r="U141" i="20" s="1"/>
  <c r="V141" i="20" s="1"/>
  <c r="W141" i="20" s="1"/>
  <c r="X141" i="20" s="1"/>
  <c r="Y141" i="20" s="1"/>
  <c r="Z141" i="20" s="1"/>
  <c r="AA141" i="20" s="1"/>
  <c r="AB141" i="20" s="1"/>
  <c r="AC141" i="20" s="1"/>
  <c r="AD141" i="20" s="1"/>
  <c r="AE141" i="20" s="1"/>
  <c r="S141" i="20"/>
  <c r="AE385" i="20"/>
  <c r="AB385" i="20"/>
  <c r="AA385" i="20"/>
  <c r="O385" i="20"/>
  <c r="I385" i="20"/>
  <c r="I31" i="27"/>
  <c r="G31" i="27"/>
  <c r="AH2" i="29"/>
  <c r="N385" i="20"/>
  <c r="AR486" i="21"/>
  <c r="AE439" i="21"/>
  <c r="AE486" i="21"/>
  <c r="AE476" i="21"/>
  <c r="AR450" i="21"/>
  <c r="AR567" i="21"/>
  <c r="AR477" i="21"/>
  <c r="AE567" i="21"/>
  <c r="AE481" i="21"/>
  <c r="AE442" i="21"/>
  <c r="AE440" i="21"/>
  <c r="AE438" i="21"/>
  <c r="AE436" i="21"/>
  <c r="AE484" i="21"/>
  <c r="AR461" i="21"/>
  <c r="AR561" i="21"/>
  <c r="AR476" i="21"/>
  <c r="S35" i="29"/>
  <c r="T35" i="29" s="1"/>
  <c r="O434" i="10"/>
  <c r="S434" i="21" s="1"/>
  <c r="J48" i="29"/>
  <c r="M47" i="29"/>
  <c r="M48" i="29" s="1"/>
  <c r="O47" i="29"/>
  <c r="O48" i="29" s="1"/>
  <c r="Q47" i="29"/>
  <c r="Q48" i="29" s="1"/>
  <c r="K47" i="29"/>
  <c r="K48" i="29" s="1"/>
  <c r="I48" i="29"/>
  <c r="L47" i="29"/>
  <c r="L48" i="29" s="1"/>
  <c r="N47" i="29"/>
  <c r="N48" i="29" s="1"/>
  <c r="P47" i="29"/>
  <c r="P48" i="29" s="1"/>
  <c r="R47" i="29"/>
  <c r="R48" i="29" s="1"/>
  <c r="AI4" i="29"/>
  <c r="AA20" i="10"/>
  <c r="S27" i="29"/>
  <c r="T27" i="29" s="1"/>
  <c r="Y434" i="10"/>
  <c r="AC434" i="21" s="1"/>
  <c r="X434" i="10"/>
  <c r="AB434" i="21" s="1"/>
  <c r="W434" i="10"/>
  <c r="AA434" i="21" s="1"/>
  <c r="V434" i="10"/>
  <c r="Z434" i="21" s="1"/>
  <c r="U434" i="10"/>
  <c r="Y434" i="21" s="1"/>
  <c r="T434" i="10"/>
  <c r="X434" i="21" s="1"/>
  <c r="S434" i="10"/>
  <c r="W434" i="21" s="1"/>
  <c r="R434" i="10"/>
  <c r="V434" i="21" s="1"/>
  <c r="Q434" i="10"/>
  <c r="U434" i="21" s="1"/>
  <c r="S39" i="29"/>
  <c r="U58" i="12"/>
  <c r="L394" i="20" s="1"/>
  <c r="L416" i="20" s="1"/>
  <c r="X58" i="12"/>
  <c r="O394" i="20" s="1"/>
  <c r="O416" i="20" s="1"/>
  <c r="R58" i="12"/>
  <c r="I394" i="20" s="1"/>
  <c r="I416" i="20" s="1"/>
  <c r="AP394" i="20"/>
  <c r="AP416" i="20" s="1"/>
  <c r="AY66" i="12"/>
  <c r="AP271" i="20"/>
  <c r="AO106" i="12"/>
  <c r="O271" i="20"/>
  <c r="AH223" i="20"/>
  <c r="AW106" i="12"/>
  <c r="AU106" i="12"/>
  <c r="AS106" i="12"/>
  <c r="AQ106" i="12"/>
  <c r="P106" i="12"/>
  <c r="AB106" i="12" s="1"/>
  <c r="AK58" i="12"/>
  <c r="AE58" i="12"/>
  <c r="V394" i="20" s="1"/>
  <c r="V416" i="20" s="1"/>
  <c r="AE462" i="21"/>
  <c r="AC10" i="12"/>
  <c r="S444" i="10"/>
  <c r="W444" i="21" s="1"/>
  <c r="O444" i="10"/>
  <c r="S444" i="21" s="1"/>
  <c r="AE435" i="21"/>
  <c r="AE433" i="21"/>
  <c r="AA433" i="10"/>
  <c r="AA58" i="12"/>
  <c r="R394" i="20" s="1"/>
  <c r="R416" i="20" s="1"/>
  <c r="AH58" i="12"/>
  <c r="V271" i="20"/>
  <c r="R271" i="20"/>
  <c r="AA66" i="12"/>
  <c r="AN58" i="12"/>
  <c r="S223" i="20"/>
  <c r="AO65" i="12"/>
  <c r="AM444" i="10"/>
  <c r="AQ444" i="21" s="1"/>
  <c r="Y11" i="3"/>
  <c r="S11" i="20" s="1"/>
  <c r="G155" i="27" s="1"/>
  <c r="AN47" i="10"/>
  <c r="AN45" i="10"/>
  <c r="AN43" i="10"/>
  <c r="AN41" i="10"/>
  <c r="AN39" i="10"/>
  <c r="AQ183" i="9"/>
  <c r="AQ558" i="9" s="1"/>
  <c r="AK444" i="10"/>
  <c r="AO444" i="21" s="1"/>
  <c r="AG444" i="10"/>
  <c r="AK444" i="21" s="1"/>
  <c r="AL11" i="3"/>
  <c r="AF11" i="20" s="1"/>
  <c r="H155" i="27" s="1"/>
  <c r="O33" i="19"/>
  <c r="P444" i="10"/>
  <c r="T444" i="21" s="1"/>
  <c r="Z59" i="8"/>
  <c r="D576" i="6"/>
  <c r="AE450" i="21"/>
  <c r="AR463" i="21"/>
  <c r="T221" i="20"/>
  <c r="AF221" i="20" s="1"/>
  <c r="AN25" i="10"/>
  <c r="AR454" i="21"/>
  <c r="AR452" i="21"/>
  <c r="G571" i="10"/>
  <c r="G575" i="10" s="1"/>
  <c r="AN28" i="10"/>
  <c r="AE452" i="21"/>
  <c r="AE463" i="21"/>
  <c r="W223" i="20"/>
  <c r="U223" i="20"/>
  <c r="E571" i="8"/>
  <c r="O134" i="12"/>
  <c r="P54" i="12"/>
  <c r="M190" i="3"/>
  <c r="AR8" i="10"/>
  <c r="N24" i="3"/>
  <c r="AH92" i="3"/>
  <c r="AH223" i="3" s="1"/>
  <c r="AD92" i="3"/>
  <c r="AD223" i="3" s="1"/>
  <c r="Z92" i="3"/>
  <c r="V223" i="20"/>
  <c r="T223" i="20"/>
  <c r="O19" i="12"/>
  <c r="AL6" i="5"/>
  <c r="Y6" i="5"/>
  <c r="AC444" i="10"/>
  <c r="AG444" i="21" s="1"/>
  <c r="AM51" i="8"/>
  <c r="S414" i="20"/>
  <c r="R48" i="8"/>
  <c r="Q13" i="19" s="1"/>
  <c r="Q16" i="19" s="1"/>
  <c r="V444" i="10"/>
  <c r="Z444" i="21" s="1"/>
  <c r="U48" i="8"/>
  <c r="T13" i="19" s="1"/>
  <c r="T16" i="19" s="1"/>
  <c r="T444" i="10"/>
  <c r="X444" i="21" s="1"/>
  <c r="N116" i="8"/>
  <c r="E37" i="20"/>
  <c r="AF25" i="29"/>
  <c r="AL99" i="8"/>
  <c r="Y99" i="8"/>
  <c r="N99" i="8"/>
  <c r="E576" i="8"/>
  <c r="AR442" i="21"/>
  <c r="AR440" i="21"/>
  <c r="AR438" i="21"/>
  <c r="AR436" i="21"/>
  <c r="AR433" i="21"/>
  <c r="AN433" i="10"/>
  <c r="AR443" i="21"/>
  <c r="AR441" i="21"/>
  <c r="AR439" i="21"/>
  <c r="AR437" i="21"/>
  <c r="AR435" i="21"/>
  <c r="Q147" i="3"/>
  <c r="O147" i="3"/>
  <c r="AC59" i="8"/>
  <c r="AA59" i="8"/>
  <c r="X147" i="3"/>
  <c r="V147" i="3"/>
  <c r="T147" i="3"/>
  <c r="R147" i="3"/>
  <c r="P147" i="3"/>
  <c r="N147" i="3"/>
  <c r="AE454" i="21"/>
  <c r="N173" i="9"/>
  <c r="N575" i="9" s="1"/>
  <c r="N576" i="9" s="1"/>
  <c r="J85" i="27"/>
  <c r="J97" i="27" s="1"/>
  <c r="J108" i="27" s="1"/>
  <c r="H85" i="27"/>
  <c r="H97" i="27" s="1"/>
  <c r="H108" i="27" s="1"/>
  <c r="E315" i="20"/>
  <c r="E327" i="20"/>
  <c r="E329" i="20" s="1"/>
  <c r="M171" i="3"/>
  <c r="M189" i="3"/>
  <c r="AD59" i="8"/>
  <c r="AM58" i="8"/>
  <c r="AB59" i="8"/>
  <c r="AM55" i="8"/>
  <c r="AF292" i="20"/>
  <c r="Y8" i="5"/>
  <c r="AL7" i="5"/>
  <c r="V31" i="19"/>
  <c r="V33" i="19" s="1"/>
  <c r="W28" i="8"/>
  <c r="V12" i="19" s="1"/>
  <c r="V92" i="3"/>
  <c r="V223" i="3" s="1"/>
  <c r="L208" i="20"/>
  <c r="H208" i="20"/>
  <c r="Y48" i="8"/>
  <c r="X13" i="19" s="1"/>
  <c r="X16" i="19" s="1"/>
  <c r="X444" i="10"/>
  <c r="AB444" i="21" s="1"/>
  <c r="W48" i="8"/>
  <c r="V13" i="19" s="1"/>
  <c r="V16" i="19" s="1"/>
  <c r="V48" i="8"/>
  <c r="U13" i="19" s="1"/>
  <c r="U16" i="19" s="1"/>
  <c r="U28" i="8"/>
  <c r="T12" i="19" s="1"/>
  <c r="T33" i="19"/>
  <c r="T48" i="8"/>
  <c r="S13" i="19" s="1"/>
  <c r="S16" i="19" s="1"/>
  <c r="R28" i="8"/>
  <c r="Q12" i="19" s="1"/>
  <c r="Q33" i="19"/>
  <c r="Q444" i="10"/>
  <c r="U444" i="21" s="1"/>
  <c r="N48" i="8"/>
  <c r="M13" i="19" s="1"/>
  <c r="AO123" i="12"/>
  <c r="G111" i="20"/>
  <c r="AF19" i="29"/>
  <c r="AF7" i="29"/>
  <c r="I259" i="20"/>
  <c r="H156" i="20"/>
  <c r="S57" i="29"/>
  <c r="S53" i="29"/>
  <c r="T47" i="29" s="1"/>
  <c r="S19" i="29"/>
  <c r="AF6" i="29"/>
  <c r="AB65" i="12"/>
  <c r="AI444" i="10"/>
  <c r="AM444" i="21" s="1"/>
  <c r="W31" i="19"/>
  <c r="X28" i="8"/>
  <c r="W12" i="19" s="1"/>
  <c r="AE444" i="10"/>
  <c r="AI444" i="21" s="1"/>
  <c r="AO63" i="8"/>
  <c r="AO145" i="8" s="1"/>
  <c r="AL48" i="8"/>
  <c r="AK13" i="19" s="1"/>
  <c r="AK16" i="19" s="1"/>
  <c r="AK48" i="8"/>
  <c r="AJ13" i="19" s="1"/>
  <c r="AJ16" i="19" s="1"/>
  <c r="AJ48" i="8"/>
  <c r="AI13" i="19" s="1"/>
  <c r="AI16" i="19" s="1"/>
  <c r="AI48" i="8"/>
  <c r="AH13" i="19" s="1"/>
  <c r="AH16" i="19" s="1"/>
  <c r="AH48" i="8"/>
  <c r="AG13" i="19" s="1"/>
  <c r="AG16" i="19" s="1"/>
  <c r="AG48" i="8"/>
  <c r="AF13" i="19" s="1"/>
  <c r="AF16" i="19" s="1"/>
  <c r="AF48" i="8"/>
  <c r="AE13" i="19" s="1"/>
  <c r="AE16" i="19" s="1"/>
  <c r="AE48" i="8"/>
  <c r="AD13" i="19" s="1"/>
  <c r="AD16" i="19" s="1"/>
  <c r="AD48" i="8"/>
  <c r="AC13" i="19" s="1"/>
  <c r="AC16" i="19" s="1"/>
  <c r="AC48" i="8"/>
  <c r="AB13" i="19" s="1"/>
  <c r="AB16" i="19" s="1"/>
  <c r="AB48" i="8"/>
  <c r="AA13" i="19" s="1"/>
  <c r="AA16" i="19" s="1"/>
  <c r="AA48" i="8"/>
  <c r="Z444" i="10"/>
  <c r="AD444" i="21" s="1"/>
  <c r="Y28" i="8"/>
  <c r="X12" i="19" s="1"/>
  <c r="X33" i="19"/>
  <c r="X48" i="8"/>
  <c r="W13" i="19" s="1"/>
  <c r="W16" i="19" s="1"/>
  <c r="R31" i="19"/>
  <c r="R33" i="19" s="1"/>
  <c r="S28" i="8"/>
  <c r="R12" i="19" s="1"/>
  <c r="Y444" i="10"/>
  <c r="AC444" i="21" s="1"/>
  <c r="W33" i="19"/>
  <c r="W444" i="10"/>
  <c r="AA444" i="21" s="1"/>
  <c r="V28" i="8"/>
  <c r="U12" i="19" s="1"/>
  <c r="U33" i="19"/>
  <c r="U444" i="10"/>
  <c r="Y444" i="21" s="1"/>
  <c r="T28" i="8"/>
  <c r="S12" i="19" s="1"/>
  <c r="S33" i="19"/>
  <c r="S48" i="8"/>
  <c r="R13" i="19" s="1"/>
  <c r="R16" i="19" s="1"/>
  <c r="P31" i="19"/>
  <c r="Q28" i="8"/>
  <c r="P12" i="19" s="1"/>
  <c r="R444" i="10"/>
  <c r="V444" i="21" s="1"/>
  <c r="Q48" i="8"/>
  <c r="P13" i="19" s="1"/>
  <c r="P16" i="19" s="1"/>
  <c r="P33" i="19"/>
  <c r="P53" i="10"/>
  <c r="N28" i="8"/>
  <c r="M12" i="19" s="1"/>
  <c r="M33" i="19"/>
  <c r="O48" i="8"/>
  <c r="AK3" i="17"/>
  <c r="AJ3" i="3"/>
  <c r="S16" i="20"/>
  <c r="Y107" i="8"/>
  <c r="AL107" i="8" s="1"/>
  <c r="AN112" i="8" s="1"/>
  <c r="N171" i="3"/>
  <c r="G25" i="20"/>
  <c r="N189" i="3"/>
  <c r="G41" i="20"/>
  <c r="O50" i="3"/>
  <c r="T162" i="20"/>
  <c r="U162" i="20" s="1"/>
  <c r="V162" i="20" s="1"/>
  <c r="W162" i="20" s="1"/>
  <c r="X162" i="20" s="1"/>
  <c r="Y162" i="20" s="1"/>
  <c r="Z162" i="20" s="1"/>
  <c r="AA162" i="20" s="1"/>
  <c r="AB162" i="20" s="1"/>
  <c r="AC162" i="20" s="1"/>
  <c r="AD162" i="20" s="1"/>
  <c r="AE162" i="20" s="1"/>
  <c r="S162" i="20"/>
  <c r="AF16" i="20"/>
  <c r="N170" i="3"/>
  <c r="G24" i="20"/>
  <c r="N190" i="3"/>
  <c r="G42" i="20"/>
  <c r="P23" i="3"/>
  <c r="O24" i="3"/>
  <c r="AX16" i="18"/>
  <c r="AF15" i="20"/>
  <c r="Y3" i="3"/>
  <c r="Y108" i="8"/>
  <c r="AL108" i="8" s="1"/>
  <c r="AM54" i="8"/>
  <c r="AN92" i="3"/>
  <c r="AN223" i="3" s="1"/>
  <c r="AH208" i="20"/>
  <c r="AP444" i="10"/>
  <c r="AT444" i="21" s="1"/>
  <c r="AI92" i="3"/>
  <c r="AI223" i="3" s="1"/>
  <c r="AC208" i="20"/>
  <c r="AB208" i="20"/>
  <c r="AE92" i="3"/>
  <c r="AE223" i="3" s="1"/>
  <c r="Y208" i="20"/>
  <c r="X208" i="20"/>
  <c r="AA92" i="3"/>
  <c r="AA223" i="3" s="1"/>
  <c r="U208" i="20"/>
  <c r="T208" i="20"/>
  <c r="AL444" i="10"/>
  <c r="AP444" i="21" s="1"/>
  <c r="AH444" i="10"/>
  <c r="AL444" i="21" s="1"/>
  <c r="AD444" i="10"/>
  <c r="AH444" i="21" s="1"/>
  <c r="M221" i="20"/>
  <c r="AO65" i="8"/>
  <c r="AK49" i="19"/>
  <c r="AK45" i="19"/>
  <c r="AK484" i="19" s="1"/>
  <c r="AQ484" i="21" s="1"/>
  <c r="Q8" i="12"/>
  <c r="Q10" i="12" s="1"/>
  <c r="G359" i="20"/>
  <c r="H371" i="20"/>
  <c r="R22" i="12"/>
  <c r="R200" i="20"/>
  <c r="Q45" i="13"/>
  <c r="Q451" i="13" s="1"/>
  <c r="P200" i="20"/>
  <c r="O45" i="13"/>
  <c r="O451" i="13" s="1"/>
  <c r="N200" i="20"/>
  <c r="M45" i="13"/>
  <c r="M451" i="13" s="1"/>
  <c r="L200" i="20"/>
  <c r="K45" i="13"/>
  <c r="K451" i="13" s="1"/>
  <c r="J200" i="20"/>
  <c r="I45" i="13"/>
  <c r="I451" i="13" s="1"/>
  <c r="H200" i="20"/>
  <c r="G45" i="13"/>
  <c r="G451" i="13" s="1"/>
  <c r="U92" i="3"/>
  <c r="U223" i="3" s="1"/>
  <c r="O208" i="20"/>
  <c r="Q92" i="3"/>
  <c r="Q223" i="3" s="1"/>
  <c r="K208" i="20"/>
  <c r="X41" i="19"/>
  <c r="X477" i="19" s="1"/>
  <c r="AD477" i="21" s="1"/>
  <c r="Y33" i="8"/>
  <c r="R206" i="20" s="1"/>
  <c r="V41" i="19"/>
  <c r="V477" i="19" s="1"/>
  <c r="AB477" i="21" s="1"/>
  <c r="W33" i="8"/>
  <c r="P206" i="20" s="1"/>
  <c r="T41" i="19"/>
  <c r="T477" i="19" s="1"/>
  <c r="Z477" i="21" s="1"/>
  <c r="U33" i="8"/>
  <c r="N206" i="20" s="1"/>
  <c r="R41" i="19"/>
  <c r="R477" i="19" s="1"/>
  <c r="X477" i="21" s="1"/>
  <c r="S33" i="8"/>
  <c r="L206" i="20" s="1"/>
  <c r="P41" i="19"/>
  <c r="P477" i="19" s="1"/>
  <c r="V477" i="21" s="1"/>
  <c r="Q33" i="8"/>
  <c r="J206" i="20" s="1"/>
  <c r="M41" i="19"/>
  <c r="N33" i="8"/>
  <c r="AR16" i="10"/>
  <c r="AQ28" i="10"/>
  <c r="AI223" i="20" s="1"/>
  <c r="N2" i="26"/>
  <c r="L2" i="26"/>
  <c r="J2" i="26"/>
  <c r="H2" i="26"/>
  <c r="F2" i="26"/>
  <c r="C2" i="26"/>
  <c r="A2" i="26"/>
  <c r="AH2" i="28"/>
  <c r="AP445" i="10"/>
  <c r="AT445" i="21" s="1"/>
  <c r="AM92" i="3"/>
  <c r="AM223" i="3" s="1"/>
  <c r="AG208" i="20"/>
  <c r="AO444" i="10"/>
  <c r="AS444" i="21" s="1"/>
  <c r="AJ444" i="10"/>
  <c r="AN444" i="21" s="1"/>
  <c r="AF444" i="10"/>
  <c r="AJ444" i="21" s="1"/>
  <c r="AB444" i="10"/>
  <c r="AF444" i="21" s="1"/>
  <c r="AJ49" i="19"/>
  <c r="AL49" i="19" s="1"/>
  <c r="AJ45" i="19"/>
  <c r="AJ484" i="19" s="1"/>
  <c r="AP484" i="21" s="1"/>
  <c r="Q200" i="20"/>
  <c r="P45" i="13"/>
  <c r="P451" i="13" s="1"/>
  <c r="O200" i="20"/>
  <c r="N45" i="13"/>
  <c r="N451" i="13" s="1"/>
  <c r="M200" i="20"/>
  <c r="L45" i="13"/>
  <c r="L451" i="13" s="1"/>
  <c r="K200" i="20"/>
  <c r="J45" i="13"/>
  <c r="J451" i="13" s="1"/>
  <c r="F17" i="13"/>
  <c r="G200" i="20"/>
  <c r="F45" i="13"/>
  <c r="P208" i="20"/>
  <c r="R92" i="3"/>
  <c r="R223" i="3" s="1"/>
  <c r="N92" i="3"/>
  <c r="N223" i="3" s="1"/>
  <c r="W41" i="19"/>
  <c r="W477" i="19" s="1"/>
  <c r="AC477" i="21" s="1"/>
  <c r="X33" i="8"/>
  <c r="Q206" i="20" s="1"/>
  <c r="U41" i="19"/>
  <c r="U477" i="19" s="1"/>
  <c r="AA477" i="21" s="1"/>
  <c r="V33" i="8"/>
  <c r="O206" i="20" s="1"/>
  <c r="S41" i="19"/>
  <c r="S477" i="19" s="1"/>
  <c r="Y477" i="21" s="1"/>
  <c r="T33" i="8"/>
  <c r="M206" i="20" s="1"/>
  <c r="Q41" i="19"/>
  <c r="Q477" i="19" s="1"/>
  <c r="W477" i="21" s="1"/>
  <c r="R33" i="8"/>
  <c r="K206" i="20" s="1"/>
  <c r="O41" i="19"/>
  <c r="O477" i="19" s="1"/>
  <c r="U477" i="21" s="1"/>
  <c r="P33" i="8"/>
  <c r="I206" i="20" s="1"/>
  <c r="AI45" i="19"/>
  <c r="AI484" i="19" s="1"/>
  <c r="AO484" i="21" s="1"/>
  <c r="AH45" i="19"/>
  <c r="AH484" i="19" s="1"/>
  <c r="AN484" i="21" s="1"/>
  <c r="AG45" i="19"/>
  <c r="AG484" i="19" s="1"/>
  <c r="AM484" i="21" s="1"/>
  <c r="AF45" i="19"/>
  <c r="AF484" i="19" s="1"/>
  <c r="AL484" i="21" s="1"/>
  <c r="AE45" i="19"/>
  <c r="AE484" i="19" s="1"/>
  <c r="AK484" i="21" s="1"/>
  <c r="AD45" i="19"/>
  <c r="AD484" i="19" s="1"/>
  <c r="AJ484" i="21" s="1"/>
  <c r="AC45" i="19"/>
  <c r="AC484" i="19" s="1"/>
  <c r="AI484" i="21" s="1"/>
  <c r="AB45" i="19"/>
  <c r="AB484" i="19" s="1"/>
  <c r="AH484" i="21" s="1"/>
  <c r="AA45" i="19"/>
  <c r="AA484" i="19" s="1"/>
  <c r="AG484" i="21" s="1"/>
  <c r="Z45" i="19"/>
  <c r="Z11" i="3"/>
  <c r="T11" i="20" s="1"/>
  <c r="AJ11" i="3"/>
  <c r="AD11" i="20" s="1"/>
  <c r="AH11" i="3"/>
  <c r="AB11" i="20" s="1"/>
  <c r="AF11" i="3"/>
  <c r="Z11" i="20" s="1"/>
  <c r="AD11" i="3"/>
  <c r="X11" i="20" s="1"/>
  <c r="AB11" i="3"/>
  <c r="V11" i="20" s="1"/>
  <c r="X11" i="3"/>
  <c r="R11" i="20" s="1"/>
  <c r="W11" i="3"/>
  <c r="Q11" i="20" s="1"/>
  <c r="V11" i="3"/>
  <c r="P11" i="20" s="1"/>
  <c r="U11" i="3"/>
  <c r="O11" i="20" s="1"/>
  <c r="T11" i="3"/>
  <c r="N11" i="20" s="1"/>
  <c r="S11" i="3"/>
  <c r="M11" i="20" s="1"/>
  <c r="R11" i="3"/>
  <c r="L11" i="20" s="1"/>
  <c r="Q11" i="3"/>
  <c r="K11" i="20" s="1"/>
  <c r="P11" i="3"/>
  <c r="J11" i="20" s="1"/>
  <c r="O11" i="3"/>
  <c r="I11" i="20" s="1"/>
  <c r="M11" i="3"/>
  <c r="G11" i="20" s="1"/>
  <c r="M14" i="19"/>
  <c r="M16" i="19"/>
  <c r="M21" i="19" s="1"/>
  <c r="N9" i="19" s="1"/>
  <c r="K372" i="20"/>
  <c r="S372" i="20" s="1"/>
  <c r="Z53" i="10"/>
  <c r="Y53" i="10"/>
  <c r="X53" i="10"/>
  <c r="W53" i="10"/>
  <c r="V53" i="10"/>
  <c r="U53" i="10"/>
  <c r="T53" i="10"/>
  <c r="S53" i="10"/>
  <c r="R53" i="10"/>
  <c r="Q53" i="10"/>
  <c r="O53" i="10"/>
  <c r="AH59" i="8"/>
  <c r="AG59" i="8"/>
  <c r="AF59" i="8"/>
  <c r="AE59" i="8"/>
  <c r="Q135" i="12"/>
  <c r="AN11" i="3"/>
  <c r="AH11" i="20" s="1"/>
  <c r="AM52" i="8"/>
  <c r="AM57" i="8"/>
  <c r="AM56" i="8"/>
  <c r="AM11" i="3"/>
  <c r="AG11" i="20" s="1"/>
  <c r="AK43" i="19"/>
  <c r="AK481" i="19" s="1"/>
  <c r="AQ481" i="21" s="1"/>
  <c r="AJ43" i="19"/>
  <c r="AJ481" i="19" s="1"/>
  <c r="AP481" i="21" s="1"/>
  <c r="AI43" i="19"/>
  <c r="AI481" i="19" s="1"/>
  <c r="AO481" i="21" s="1"/>
  <c r="AG43" i="19"/>
  <c r="AG481" i="19" s="1"/>
  <c r="AM481" i="21" s="1"/>
  <c r="AF43" i="19"/>
  <c r="AF481" i="19" s="1"/>
  <c r="AL481" i="21" s="1"/>
  <c r="AE43" i="19"/>
  <c r="AE481" i="19" s="1"/>
  <c r="AK481" i="21" s="1"/>
  <c r="AD43" i="19"/>
  <c r="AD481" i="19" s="1"/>
  <c r="AJ481" i="21" s="1"/>
  <c r="AC43" i="19"/>
  <c r="AC481" i="19" s="1"/>
  <c r="AI481" i="21" s="1"/>
  <c r="AB43" i="19"/>
  <c r="AB481" i="19" s="1"/>
  <c r="AH481" i="21" s="1"/>
  <c r="AA43" i="19"/>
  <c r="AA481" i="19" s="1"/>
  <c r="AG481" i="21" s="1"/>
  <c r="Z43" i="19"/>
  <c r="AL28" i="8"/>
  <c r="AK33" i="19"/>
  <c r="AK28" i="8"/>
  <c r="AJ33" i="19"/>
  <c r="AJ28" i="8"/>
  <c r="AI33" i="19"/>
  <c r="AI28" i="8"/>
  <c r="AH33" i="19"/>
  <c r="AH28" i="8"/>
  <c r="AG33" i="19"/>
  <c r="AG28" i="8"/>
  <c r="AF33" i="19"/>
  <c r="AF28" i="8"/>
  <c r="AE33" i="19"/>
  <c r="AE28" i="8"/>
  <c r="AD33" i="19"/>
  <c r="AD28" i="8"/>
  <c r="AC12" i="19" s="1"/>
  <c r="AC33" i="19"/>
  <c r="AC28" i="8"/>
  <c r="AB12" i="19" s="1"/>
  <c r="AB33" i="19"/>
  <c r="AB28" i="8"/>
  <c r="AA12" i="19" s="1"/>
  <c r="AA33" i="19"/>
  <c r="AA28" i="8"/>
  <c r="Z33" i="19"/>
  <c r="AL33" i="19" s="1"/>
  <c r="AK11" i="3"/>
  <c r="AE11" i="20" s="1"/>
  <c r="AI11" i="3"/>
  <c r="AC11" i="20" s="1"/>
  <c r="AG11" i="3"/>
  <c r="AA11" i="20" s="1"/>
  <c r="AE11" i="3"/>
  <c r="Y11" i="20" s="1"/>
  <c r="AC11" i="3"/>
  <c r="W11" i="20" s="1"/>
  <c r="AA11" i="3"/>
  <c r="U11" i="20" s="1"/>
  <c r="G371" i="20"/>
  <c r="S371" i="20" s="1"/>
  <c r="N11" i="3"/>
  <c r="H11" i="20" s="1"/>
  <c r="O28" i="8"/>
  <c r="N33" i="19"/>
  <c r="AR6" i="10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AH112" i="20"/>
  <c r="AG112" i="20"/>
  <c r="R35" i="29"/>
  <c r="U35" i="29"/>
  <c r="T46" i="29"/>
  <c r="AJ4" i="29"/>
  <c r="R27" i="29"/>
  <c r="U27" i="29"/>
  <c r="S11" i="29"/>
  <c r="D2" i="26"/>
  <c r="AF185" i="20" l="1"/>
  <c r="AG185" i="20"/>
  <c r="AH185" i="20" s="1"/>
  <c r="AI185" i="20" s="1"/>
  <c r="AJ185" i="20" s="1"/>
  <c r="AK185" i="20" s="1"/>
  <c r="AL185" i="20" s="1"/>
  <c r="AM185" i="20" s="1"/>
  <c r="AN185" i="20" s="1"/>
  <c r="AO185" i="20" s="1"/>
  <c r="AP185" i="20" s="1"/>
  <c r="AQ185" i="20" s="1"/>
  <c r="O33" i="10"/>
  <c r="G132" i="20" s="1"/>
  <c r="R55" i="29"/>
  <c r="G55" i="29"/>
  <c r="J55" i="29"/>
  <c r="L55" i="29"/>
  <c r="N55" i="29"/>
  <c r="P55" i="29"/>
  <c r="H55" i="29"/>
  <c r="I55" i="29"/>
  <c r="K55" i="29"/>
  <c r="M55" i="29"/>
  <c r="O55" i="29"/>
  <c r="Q55" i="29"/>
  <c r="AE55" i="29"/>
  <c r="T55" i="29"/>
  <c r="V55" i="29"/>
  <c r="X55" i="29"/>
  <c r="Z55" i="29"/>
  <c r="AB55" i="29"/>
  <c r="AD55" i="29"/>
  <c r="U55" i="29"/>
  <c r="W55" i="29"/>
  <c r="Y55" i="29"/>
  <c r="AA55" i="29"/>
  <c r="AC55" i="29"/>
  <c r="V32" i="3"/>
  <c r="W32" i="3" s="1"/>
  <c r="X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M32" i="3" s="1"/>
  <c r="V51" i="3"/>
  <c r="W51" i="3" s="1"/>
  <c r="X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M51" i="3" s="1"/>
  <c r="AR40" i="12"/>
  <c r="AS37" i="12"/>
  <c r="AI377" i="20"/>
  <c r="AH173" i="20"/>
  <c r="J19" i="27" s="1"/>
  <c r="J100" i="27"/>
  <c r="U45" i="12"/>
  <c r="T46" i="12"/>
  <c r="K397" i="20"/>
  <c r="AN444" i="10"/>
  <c r="G108" i="20"/>
  <c r="AA444" i="10"/>
  <c r="K52" i="6"/>
  <c r="L52" i="6" s="1"/>
  <c r="L16" i="6"/>
  <c r="K31" i="6"/>
  <c r="K33" i="6" s="1"/>
  <c r="L22" i="6"/>
  <c r="X66" i="12"/>
  <c r="Y31" i="19"/>
  <c r="L32" i="13"/>
  <c r="J292" i="20"/>
  <c r="S292" i="20" s="1"/>
  <c r="S234" i="20"/>
  <c r="AF373" i="20"/>
  <c r="T45" i="29"/>
  <c r="AF11" i="29"/>
  <c r="O571" i="10"/>
  <c r="Z291" i="20"/>
  <c r="AE66" i="12"/>
  <c r="R54" i="12"/>
  <c r="I390" i="20"/>
  <c r="S53" i="12"/>
  <c r="AB58" i="12"/>
  <c r="H413" i="20"/>
  <c r="H232" i="20" s="1"/>
  <c r="H235" i="20" s="1"/>
  <c r="AR183" i="9"/>
  <c r="AR558" i="9" s="1"/>
  <c r="G4" i="32"/>
  <c r="E68" i="20"/>
  <c r="A103" i="20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E116" i="20"/>
  <c r="N31" i="18"/>
  <c r="N13" i="18"/>
  <c r="N30" i="18"/>
  <c r="N14" i="18"/>
  <c r="J259" i="20"/>
  <c r="K178" i="20"/>
  <c r="J120" i="27"/>
  <c r="J135" i="27" s="1"/>
  <c r="J150" i="27" s="1"/>
  <c r="J174" i="27" s="1"/>
  <c r="G120" i="27"/>
  <c r="G135" i="27" s="1"/>
  <c r="G150" i="27" s="1"/>
  <c r="G174" i="27" s="1"/>
  <c r="H120" i="27"/>
  <c r="H135" i="27" s="1"/>
  <c r="H150" i="27" s="1"/>
  <c r="H174" i="27" s="1"/>
  <c r="J208" i="20"/>
  <c r="N208" i="20"/>
  <c r="X92" i="3"/>
  <c r="X223" i="3" s="1"/>
  <c r="I271" i="20"/>
  <c r="U66" i="12"/>
  <c r="I208" i="20"/>
  <c r="S92" i="3"/>
  <c r="S223" i="3" s="1"/>
  <c r="W92" i="3"/>
  <c r="W223" i="3" s="1"/>
  <c r="W208" i="20"/>
  <c r="AG92" i="3"/>
  <c r="AG223" i="3" s="1"/>
  <c r="AE208" i="20"/>
  <c r="V208" i="20"/>
  <c r="AF92" i="3"/>
  <c r="AF223" i="3" s="1"/>
  <c r="AD208" i="20"/>
  <c r="Q208" i="20"/>
  <c r="S86" i="20"/>
  <c r="AG140" i="20"/>
  <c r="AF140" i="20"/>
  <c r="H110" i="27" s="1"/>
  <c r="R66" i="12"/>
  <c r="L271" i="20"/>
  <c r="S271" i="20" s="1"/>
  <c r="K412" i="20"/>
  <c r="K231" i="20" s="1"/>
  <c r="K290" i="20" s="1"/>
  <c r="K293" i="20" s="1"/>
  <c r="AG141" i="20"/>
  <c r="AH141" i="20" s="1"/>
  <c r="AI141" i="20" s="1"/>
  <c r="AJ141" i="20" s="1"/>
  <c r="AK141" i="20" s="1"/>
  <c r="AL141" i="20" s="1"/>
  <c r="AM141" i="20" s="1"/>
  <c r="AN141" i="20" s="1"/>
  <c r="AO141" i="20" s="1"/>
  <c r="AP141" i="20" s="1"/>
  <c r="AQ141" i="20" s="1"/>
  <c r="AF141" i="20"/>
  <c r="AG147" i="20"/>
  <c r="AF147" i="20"/>
  <c r="H112" i="27" s="1"/>
  <c r="T48" i="29"/>
  <c r="AN20" i="10"/>
  <c r="O21" i="10"/>
  <c r="O24" i="10" s="1"/>
  <c r="J132" i="20"/>
  <c r="L132" i="20"/>
  <c r="N132" i="20"/>
  <c r="I132" i="20"/>
  <c r="K132" i="20"/>
  <c r="M132" i="20"/>
  <c r="O132" i="20"/>
  <c r="H132" i="20"/>
  <c r="AA38" i="10"/>
  <c r="AA53" i="10" s="1"/>
  <c r="P434" i="10"/>
  <c r="T434" i="21" s="1"/>
  <c r="AB271" i="20"/>
  <c r="AK66" i="12"/>
  <c r="AB394" i="20"/>
  <c r="AB416" i="20" s="1"/>
  <c r="AR518" i="21"/>
  <c r="Y33" i="19"/>
  <c r="K108" i="20"/>
  <c r="S571" i="10"/>
  <c r="Y106" i="8"/>
  <c r="AL106" i="8" s="1"/>
  <c r="AN111" i="8" s="1"/>
  <c r="Y111" i="8"/>
  <c r="Y71" i="8" s="1"/>
  <c r="AF223" i="20"/>
  <c r="Y271" i="20"/>
  <c r="Y394" i="20"/>
  <c r="Y416" i="20" s="1"/>
  <c r="AH66" i="12"/>
  <c r="AE394" i="20"/>
  <c r="AE416" i="20" s="1"/>
  <c r="AE271" i="20"/>
  <c r="AO58" i="12"/>
  <c r="AN66" i="12"/>
  <c r="S394" i="20"/>
  <c r="AN19" i="5"/>
  <c r="AL112" i="8"/>
  <c r="N108" i="20"/>
  <c r="V571" i="10"/>
  <c r="AR26" i="10"/>
  <c r="AJ222" i="20" s="1"/>
  <c r="AS8" i="10"/>
  <c r="AE518" i="21"/>
  <c r="AF86" i="20"/>
  <c r="L108" i="20"/>
  <c r="T571" i="10"/>
  <c r="O115" i="8"/>
  <c r="N117" i="8"/>
  <c r="AJ59" i="8"/>
  <c r="H256" i="20"/>
  <c r="I156" i="20"/>
  <c r="AE558" i="21"/>
  <c r="I108" i="20"/>
  <c r="Q571" i="10"/>
  <c r="P108" i="20"/>
  <c r="X571" i="10"/>
  <c r="N13" i="19"/>
  <c r="Z48" i="8"/>
  <c r="H269" i="20"/>
  <c r="P574" i="10"/>
  <c r="R571" i="10"/>
  <c r="O108" i="20"/>
  <c r="W571" i="10"/>
  <c r="Q108" i="20"/>
  <c r="Y571" i="10"/>
  <c r="Z13" i="19"/>
  <c r="AM48" i="8"/>
  <c r="AO515" i="8"/>
  <c r="AT515" i="21" s="1"/>
  <c r="M108" i="20"/>
  <c r="U571" i="10"/>
  <c r="R108" i="20"/>
  <c r="Z571" i="10"/>
  <c r="AR558" i="21"/>
  <c r="V27" i="29"/>
  <c r="AK4" i="29"/>
  <c r="U46" i="29"/>
  <c r="U45" i="29" s="1"/>
  <c r="V35" i="29"/>
  <c r="P163" i="12"/>
  <c r="G379" i="20"/>
  <c r="R163" i="12"/>
  <c r="R460" i="12" s="1"/>
  <c r="R42" i="12"/>
  <c r="I380" i="20" s="1"/>
  <c r="I379" i="20"/>
  <c r="T163" i="12"/>
  <c r="T460" i="12" s="1"/>
  <c r="T42" i="12"/>
  <c r="K380" i="20" s="1"/>
  <c r="K379" i="20"/>
  <c r="V163" i="12"/>
  <c r="V460" i="12" s="1"/>
  <c r="V42" i="12"/>
  <c r="M380" i="20" s="1"/>
  <c r="M379" i="20"/>
  <c r="X163" i="12"/>
  <c r="X460" i="12" s="1"/>
  <c r="X42" i="12"/>
  <c r="O380" i="20" s="1"/>
  <c r="O379" i="20"/>
  <c r="Z163" i="12"/>
  <c r="Z460" i="12" s="1"/>
  <c r="Z42" i="12"/>
  <c r="Q380" i="20" s="1"/>
  <c r="Q379" i="20"/>
  <c r="AD163" i="12"/>
  <c r="AD460" i="12" s="1"/>
  <c r="AD42" i="12"/>
  <c r="U380" i="20" s="1"/>
  <c r="U379" i="20"/>
  <c r="AG163" i="12"/>
  <c r="AG460" i="12" s="1"/>
  <c r="AG42" i="12"/>
  <c r="X380" i="20" s="1"/>
  <c r="X379" i="20"/>
  <c r="AI163" i="12"/>
  <c r="AI460" i="12" s="1"/>
  <c r="AI42" i="12"/>
  <c r="Z380" i="20" s="1"/>
  <c r="Z379" i="20"/>
  <c r="AK163" i="12"/>
  <c r="AK460" i="12" s="1"/>
  <c r="AK42" i="12"/>
  <c r="AB380" i="20" s="1"/>
  <c r="AB379" i="20"/>
  <c r="AM163" i="12"/>
  <c r="AM460" i="12" s="1"/>
  <c r="AM42" i="12"/>
  <c r="AD380" i="20" s="1"/>
  <c r="AD379" i="20"/>
  <c r="U290" i="20"/>
  <c r="U293" i="20" s="1"/>
  <c r="AR25" i="10"/>
  <c r="AJ221" i="20" s="1"/>
  <c r="AS6" i="10"/>
  <c r="N12" i="19"/>
  <c r="O33" i="8"/>
  <c r="H206" i="20" s="1"/>
  <c r="Z28" i="8"/>
  <c r="N91" i="3"/>
  <c r="O468" i="8"/>
  <c r="T468" i="21" s="1"/>
  <c r="FM2" i="26"/>
  <c r="AC91" i="3"/>
  <c r="AD468" i="8"/>
  <c r="AI468" i="21" s="1"/>
  <c r="GO2" i="26"/>
  <c r="AE91" i="3"/>
  <c r="AF468" i="8"/>
  <c r="AK468" i="21" s="1"/>
  <c r="GS2" i="26"/>
  <c r="AI91" i="3"/>
  <c r="AJ468" i="8"/>
  <c r="AO468" i="21" s="1"/>
  <c r="HA2" i="26"/>
  <c r="AK91" i="3"/>
  <c r="AL468" i="8"/>
  <c r="AQ468" i="21" s="1"/>
  <c r="HE2" i="26"/>
  <c r="I155" i="27"/>
  <c r="J155" i="27"/>
  <c r="R135" i="12"/>
  <c r="AB33" i="8"/>
  <c r="U206" i="20" s="1"/>
  <c r="AD33" i="8"/>
  <c r="W206" i="20" s="1"/>
  <c r="I269" i="20"/>
  <c r="Q574" i="10"/>
  <c r="K269" i="20"/>
  <c r="S574" i="10"/>
  <c r="M269" i="20"/>
  <c r="U574" i="10"/>
  <c r="O269" i="20"/>
  <c r="W574" i="10"/>
  <c r="Y574" i="10"/>
  <c r="Y575" i="10" s="1"/>
  <c r="Q269" i="20"/>
  <c r="M91" i="3"/>
  <c r="N468" i="8"/>
  <c r="S468" i="21" s="1"/>
  <c r="Z151" i="8"/>
  <c r="FK2" i="26"/>
  <c r="P91" i="3"/>
  <c r="Q468" i="8"/>
  <c r="V468" i="21" s="1"/>
  <c r="FQ2" i="26"/>
  <c r="R91" i="3"/>
  <c r="S468" i="8"/>
  <c r="X468" i="21" s="1"/>
  <c r="FU2" i="26"/>
  <c r="T91" i="3"/>
  <c r="U468" i="8"/>
  <c r="Z468" i="21" s="1"/>
  <c r="FY2" i="26"/>
  <c r="V91" i="3"/>
  <c r="W468" i="8"/>
  <c r="AB468" i="21" s="1"/>
  <c r="GC2" i="26"/>
  <c r="X91" i="3"/>
  <c r="Y468" i="8"/>
  <c r="AD468" i="21" s="1"/>
  <c r="GG2" i="26"/>
  <c r="AB91" i="3"/>
  <c r="AC468" i="8"/>
  <c r="AH468" i="21" s="1"/>
  <c r="GM2" i="26"/>
  <c r="AF91" i="3"/>
  <c r="AG468" i="8"/>
  <c r="AL468" i="21" s="1"/>
  <c r="GU2" i="26"/>
  <c r="AH91" i="3"/>
  <c r="AI468" i="8"/>
  <c r="AN468" i="21" s="1"/>
  <c r="GY2" i="26"/>
  <c r="Z91" i="3"/>
  <c r="AA468" i="8"/>
  <c r="AF468" i="21" s="1"/>
  <c r="GI2" i="26"/>
  <c r="AM151" i="8"/>
  <c r="Z484" i="19"/>
  <c r="AF484" i="21" s="1"/>
  <c r="AL45" i="19"/>
  <c r="G154" i="20"/>
  <c r="N70" i="8"/>
  <c r="N139" i="8"/>
  <c r="K125" i="20"/>
  <c r="Q100" i="3" s="1"/>
  <c r="Q230" i="3" s="1"/>
  <c r="M125" i="20"/>
  <c r="S100" i="3" s="1"/>
  <c r="S230" i="3" s="1"/>
  <c r="O125" i="20"/>
  <c r="U100" i="3" s="1"/>
  <c r="U230" i="3" s="1"/>
  <c r="Q125" i="20"/>
  <c r="W100" i="3" s="1"/>
  <c r="W230" i="3" s="1"/>
  <c r="AK59" i="8"/>
  <c r="G206" i="20"/>
  <c r="Z33" i="8"/>
  <c r="AL59" i="8"/>
  <c r="S221" i="20"/>
  <c r="X3" i="3"/>
  <c r="Y3" i="17"/>
  <c r="FJ2" i="26"/>
  <c r="ID2" i="26"/>
  <c r="CA2" i="26"/>
  <c r="FB2" i="26"/>
  <c r="HV2" i="26"/>
  <c r="BS2" i="26"/>
  <c r="EX2" i="26"/>
  <c r="HR2" i="26"/>
  <c r="BO2" i="26"/>
  <c r="ET2" i="26"/>
  <c r="HN2" i="26"/>
  <c r="BK2" i="26"/>
  <c r="EP2" i="26"/>
  <c r="HJ2" i="26"/>
  <c r="BG2" i="26"/>
  <c r="FF2" i="26"/>
  <c r="HZ2" i="26"/>
  <c r="BW2" i="26"/>
  <c r="BA2" i="26"/>
  <c r="EL2" i="26"/>
  <c r="HF2" i="26"/>
  <c r="AW2" i="26"/>
  <c r="EH2" i="26"/>
  <c r="HB2" i="26"/>
  <c r="AS2" i="26"/>
  <c r="ED2" i="26"/>
  <c r="GX2" i="26"/>
  <c r="AO2" i="26"/>
  <c r="DZ2" i="26"/>
  <c r="GT2" i="26"/>
  <c r="AK2" i="26"/>
  <c r="DV2" i="26"/>
  <c r="GP2" i="26"/>
  <c r="AG2" i="26"/>
  <c r="DR2" i="26"/>
  <c r="GL2" i="26"/>
  <c r="GH2" i="26"/>
  <c r="AA2" i="26"/>
  <c r="DL2" i="26"/>
  <c r="GD2" i="26"/>
  <c r="W2" i="26"/>
  <c r="DH2" i="26"/>
  <c r="FZ2" i="26"/>
  <c r="S2" i="26"/>
  <c r="DD2" i="26"/>
  <c r="FV2" i="26"/>
  <c r="O2" i="26"/>
  <c r="CZ2" i="26"/>
  <c r="FR2" i="26"/>
  <c r="K2" i="26"/>
  <c r="CV2" i="26"/>
  <c r="FN2" i="26"/>
  <c r="G2" i="26"/>
  <c r="CR2" i="26"/>
  <c r="O190" i="3"/>
  <c r="H42" i="20"/>
  <c r="P50" i="3"/>
  <c r="AL111" i="8"/>
  <c r="AR448" i="21"/>
  <c r="AJ3" i="17"/>
  <c r="AI3" i="3"/>
  <c r="T53" i="12"/>
  <c r="J390" i="20"/>
  <c r="S54" i="12"/>
  <c r="Q163" i="12"/>
  <c r="Q460" i="12" s="1"/>
  <c r="H379" i="20"/>
  <c r="S163" i="12"/>
  <c r="S460" i="12" s="1"/>
  <c r="S42" i="12"/>
  <c r="J380" i="20" s="1"/>
  <c r="J379" i="20"/>
  <c r="U163" i="12"/>
  <c r="U460" i="12" s="1"/>
  <c r="U42" i="12"/>
  <c r="L380" i="20" s="1"/>
  <c r="L379" i="20"/>
  <c r="W163" i="12"/>
  <c r="W460" i="12" s="1"/>
  <c r="W42" i="12"/>
  <c r="N380" i="20" s="1"/>
  <c r="N379" i="20"/>
  <c r="Y163" i="12"/>
  <c r="Y460" i="12" s="1"/>
  <c r="Y42" i="12"/>
  <c r="P380" i="20" s="1"/>
  <c r="P379" i="20"/>
  <c r="AA163" i="12"/>
  <c r="AA460" i="12" s="1"/>
  <c r="AA42" i="12"/>
  <c r="R380" i="20" s="1"/>
  <c r="R379" i="20"/>
  <c r="AC163" i="12"/>
  <c r="AC42" i="12"/>
  <c r="T379" i="20"/>
  <c r="AO40" i="12"/>
  <c r="AE163" i="12"/>
  <c r="AE460" i="12" s="1"/>
  <c r="AE42" i="12"/>
  <c r="V380" i="20" s="1"/>
  <c r="V379" i="20"/>
  <c r="N290" i="20"/>
  <c r="N293" i="20" s="1"/>
  <c r="AF163" i="12"/>
  <c r="AF460" i="12" s="1"/>
  <c r="AF42" i="12"/>
  <c r="W380" i="20" s="1"/>
  <c r="W379" i="20"/>
  <c r="AH163" i="12"/>
  <c r="AH460" i="12" s="1"/>
  <c r="AH42" i="12"/>
  <c r="Y380" i="20" s="1"/>
  <c r="Y379" i="20"/>
  <c r="AJ163" i="12"/>
  <c r="AJ460" i="12" s="1"/>
  <c r="AJ42" i="12"/>
  <c r="AA380" i="20" s="1"/>
  <c r="AA379" i="20"/>
  <c r="AL163" i="12"/>
  <c r="AL460" i="12" s="1"/>
  <c r="AL42" i="12"/>
  <c r="AC380" i="20" s="1"/>
  <c r="AC379" i="20"/>
  <c r="AN163" i="12"/>
  <c r="AN460" i="12" s="1"/>
  <c r="AN42" i="12"/>
  <c r="AE380" i="20" s="1"/>
  <c r="AE379" i="20"/>
  <c r="AA290" i="20"/>
  <c r="AA293" i="20" s="1"/>
  <c r="R30" i="12"/>
  <c r="AA91" i="3"/>
  <c r="AB468" i="8"/>
  <c r="AG468" i="21" s="1"/>
  <c r="GK2" i="26"/>
  <c r="AG91" i="3"/>
  <c r="AH468" i="8"/>
  <c r="AM468" i="21" s="1"/>
  <c r="GW2" i="26"/>
  <c r="Z12" i="19"/>
  <c r="AM28" i="8"/>
  <c r="AD12" i="19"/>
  <c r="AE33" i="8"/>
  <c r="X206" i="20" s="1"/>
  <c r="AE12" i="19"/>
  <c r="AF33" i="8"/>
  <c r="Y206" i="20" s="1"/>
  <c r="AF12" i="19"/>
  <c r="AG33" i="8"/>
  <c r="Z206" i="20" s="1"/>
  <c r="AG12" i="19"/>
  <c r="AH33" i="8"/>
  <c r="AA206" i="20" s="1"/>
  <c r="AH12" i="19"/>
  <c r="AI33" i="8"/>
  <c r="AI12" i="19"/>
  <c r="AJ33" i="8"/>
  <c r="AC206" i="20" s="1"/>
  <c r="AJ12" i="19"/>
  <c r="AK33" i="8"/>
  <c r="AD206" i="20" s="1"/>
  <c r="AK12" i="19"/>
  <c r="AL33" i="8"/>
  <c r="AE206" i="20" s="1"/>
  <c r="Z481" i="19"/>
  <c r="AF481" i="21" s="1"/>
  <c r="AH43" i="19"/>
  <c r="AH481" i="19" s="1"/>
  <c r="AN481" i="21" s="1"/>
  <c r="AM53" i="8"/>
  <c r="AN468" i="8"/>
  <c r="AS468" i="21" s="1"/>
  <c r="HG2" i="26"/>
  <c r="AO468" i="8"/>
  <c r="AT468" i="21" s="1"/>
  <c r="HI2" i="26"/>
  <c r="AA33" i="8"/>
  <c r="AC33" i="8"/>
  <c r="V206" i="20" s="1"/>
  <c r="AI59" i="8"/>
  <c r="AM59" i="8" s="1"/>
  <c r="G269" i="20"/>
  <c r="O574" i="10"/>
  <c r="O575" i="10" s="1"/>
  <c r="J269" i="20"/>
  <c r="R574" i="10"/>
  <c r="L269" i="20"/>
  <c r="T574" i="10"/>
  <c r="N269" i="20"/>
  <c r="V574" i="10"/>
  <c r="V575" i="10" s="1"/>
  <c r="P269" i="20"/>
  <c r="X574" i="10"/>
  <c r="R269" i="20"/>
  <c r="Z574" i="10"/>
  <c r="K374" i="20"/>
  <c r="K415" i="20" s="1"/>
  <c r="M17" i="19"/>
  <c r="O91" i="3"/>
  <c r="P468" i="8"/>
  <c r="U468" i="21" s="1"/>
  <c r="FO2" i="26"/>
  <c r="Q91" i="3"/>
  <c r="R468" i="8"/>
  <c r="W468" i="21" s="1"/>
  <c r="FS2" i="26"/>
  <c r="S91" i="3"/>
  <c r="T468" i="8"/>
  <c r="Y468" i="21" s="1"/>
  <c r="FW2" i="26"/>
  <c r="V468" i="8"/>
  <c r="AA468" i="21" s="1"/>
  <c r="U91" i="3"/>
  <c r="GA2" i="26"/>
  <c r="W91" i="3"/>
  <c r="X468" i="8"/>
  <c r="AC468" i="21" s="1"/>
  <c r="GE2" i="26"/>
  <c r="AD91" i="3"/>
  <c r="AE468" i="8"/>
  <c r="AJ468" i="21" s="1"/>
  <c r="GQ2" i="26"/>
  <c r="AJ91" i="3"/>
  <c r="AK468" i="8"/>
  <c r="AP468" i="21" s="1"/>
  <c r="HC2" i="26"/>
  <c r="F451" i="13"/>
  <c r="G138" i="20"/>
  <c r="G17" i="13"/>
  <c r="AR28" i="10"/>
  <c r="AJ223" i="20" s="1"/>
  <c r="AS16" i="10"/>
  <c r="M477" i="19"/>
  <c r="S477" i="21" s="1"/>
  <c r="Y41" i="19"/>
  <c r="H125" i="20"/>
  <c r="N100" i="3" s="1"/>
  <c r="N230" i="3" s="1"/>
  <c r="J125" i="20"/>
  <c r="P100" i="3" s="1"/>
  <c r="P230" i="3" s="1"/>
  <c r="L125" i="20"/>
  <c r="R100" i="3" s="1"/>
  <c r="R230" i="3" s="1"/>
  <c r="N125" i="20"/>
  <c r="T100" i="3" s="1"/>
  <c r="T230" i="3" s="1"/>
  <c r="P125" i="20"/>
  <c r="V100" i="3" s="1"/>
  <c r="V230" i="3" s="1"/>
  <c r="R125" i="20"/>
  <c r="X100" i="3" s="1"/>
  <c r="X230" i="3" s="1"/>
  <c r="S22" i="12"/>
  <c r="I371" i="20"/>
  <c r="S359" i="20"/>
  <c r="H359" i="20"/>
  <c r="R8" i="12"/>
  <c r="R10" i="12" s="1"/>
  <c r="R12" i="12" s="1"/>
  <c r="Z223" i="3"/>
  <c r="AI2" i="29"/>
  <c r="K4" i="27"/>
  <c r="AR4" i="12"/>
  <c r="AP2" i="8"/>
  <c r="AO2" i="6"/>
  <c r="AP4" i="18"/>
  <c r="AU7" i="21"/>
  <c r="AI2" i="28"/>
  <c r="AQ5" i="9"/>
  <c r="AQ4" i="10"/>
  <c r="AH2" i="13"/>
  <c r="AO2" i="17"/>
  <c r="AO6" i="19"/>
  <c r="AO2" i="5"/>
  <c r="AO2" i="3"/>
  <c r="P115" i="8"/>
  <c r="FD2" i="26"/>
  <c r="HX2" i="26"/>
  <c r="BU2" i="26"/>
  <c r="EZ2" i="26"/>
  <c r="HT2" i="26"/>
  <c r="BQ2" i="26"/>
  <c r="EV2" i="26"/>
  <c r="HP2" i="26"/>
  <c r="BM2" i="26"/>
  <c r="ER2" i="26"/>
  <c r="HL2" i="26"/>
  <c r="BI2" i="26"/>
  <c r="FH2" i="26"/>
  <c r="IB2" i="26"/>
  <c r="BY2" i="26"/>
  <c r="EN2" i="26"/>
  <c r="HH2" i="26"/>
  <c r="BE2" i="26"/>
  <c r="AY2" i="26"/>
  <c r="EJ2" i="26"/>
  <c r="HD2" i="26"/>
  <c r="AU2" i="26"/>
  <c r="EF2" i="26"/>
  <c r="GZ2" i="26"/>
  <c r="AQ2" i="26"/>
  <c r="EB2" i="26"/>
  <c r="GV2" i="26"/>
  <c r="AM2" i="26"/>
  <c r="DX2" i="26"/>
  <c r="GR2" i="26"/>
  <c r="AI2" i="26"/>
  <c r="DT2" i="26"/>
  <c r="GN2" i="26"/>
  <c r="AE2" i="26"/>
  <c r="BC2" i="26"/>
  <c r="DP2" i="26"/>
  <c r="GJ2" i="26"/>
  <c r="GF2" i="26"/>
  <c r="Y2" i="26"/>
  <c r="DJ2" i="26"/>
  <c r="GB2" i="26"/>
  <c r="U2" i="26"/>
  <c r="DF2" i="26"/>
  <c r="FX2" i="26"/>
  <c r="Q2" i="26"/>
  <c r="DB2" i="26"/>
  <c r="FT2" i="26"/>
  <c r="M2" i="26"/>
  <c r="CX2" i="26"/>
  <c r="FP2" i="26"/>
  <c r="I2" i="26"/>
  <c r="CT2" i="26"/>
  <c r="FL2" i="26"/>
  <c r="E2" i="26"/>
  <c r="CP2" i="26"/>
  <c r="P24" i="3"/>
  <c r="Q23" i="3"/>
  <c r="O170" i="3"/>
  <c r="H24" i="20"/>
  <c r="AE448" i="21"/>
  <c r="AG162" i="20"/>
  <c r="AH162" i="20" s="1"/>
  <c r="AI162" i="20" s="1"/>
  <c r="AJ162" i="20" s="1"/>
  <c r="AK162" i="20" s="1"/>
  <c r="AL162" i="20" s="1"/>
  <c r="AM162" i="20" s="1"/>
  <c r="AN162" i="20" s="1"/>
  <c r="AO162" i="20" s="1"/>
  <c r="AP162" i="20" s="1"/>
  <c r="AQ162" i="20" s="1"/>
  <c r="AF162" i="20"/>
  <c r="O189" i="3"/>
  <c r="H41" i="20"/>
  <c r="O171" i="3"/>
  <c r="H25" i="20"/>
  <c r="AL113" i="8"/>
  <c r="BD2" i="26"/>
  <c r="AD2" i="26"/>
  <c r="T51" i="3" l="1"/>
  <c r="AS40" i="12"/>
  <c r="AJ377" i="20"/>
  <c r="AI173" i="20"/>
  <c r="K19" i="27" s="1"/>
  <c r="K100" i="27"/>
  <c r="AT37" i="12"/>
  <c r="AR163" i="12"/>
  <c r="AR460" i="12" s="1"/>
  <c r="AI112" i="20" s="1"/>
  <c r="AR42" i="12"/>
  <c r="AI380" i="20" s="1"/>
  <c r="AI379" i="20"/>
  <c r="Q575" i="10"/>
  <c r="P571" i="10"/>
  <c r="AA434" i="10"/>
  <c r="V45" i="12"/>
  <c r="L397" i="20"/>
  <c r="AL481" i="19"/>
  <c r="AM468" i="8"/>
  <c r="Z468" i="8"/>
  <c r="AL484" i="19"/>
  <c r="I362" i="20"/>
  <c r="I361" i="20" s="1"/>
  <c r="K32" i="13"/>
  <c r="K43" i="13" s="1"/>
  <c r="K449" i="13" s="1"/>
  <c r="K44" i="13"/>
  <c r="K457" i="13" s="1"/>
  <c r="I32" i="13"/>
  <c r="I43" i="13" s="1"/>
  <c r="I449" i="13" s="1"/>
  <c r="L407" i="20"/>
  <c r="L406" i="20" s="1"/>
  <c r="I44" i="13"/>
  <c r="I457" i="13" s="1"/>
  <c r="G32" i="13"/>
  <c r="G43" i="13" s="1"/>
  <c r="G449" i="13" s="1"/>
  <c r="G44" i="13"/>
  <c r="G457" i="13" s="1"/>
  <c r="J32" i="13"/>
  <c r="J43" i="13" s="1"/>
  <c r="J449" i="13" s="1"/>
  <c r="J44" i="13"/>
  <c r="J457" i="13" s="1"/>
  <c r="H32" i="13"/>
  <c r="H43" i="13" s="1"/>
  <c r="H449" i="13" s="1"/>
  <c r="H44" i="13"/>
  <c r="H457" i="13" s="1"/>
  <c r="F27" i="13"/>
  <c r="G27" i="13" s="1"/>
  <c r="F32" i="13"/>
  <c r="F43" i="13" s="1"/>
  <c r="F449" i="13" s="1"/>
  <c r="I407" i="20"/>
  <c r="I406" i="20" s="1"/>
  <c r="F44" i="13"/>
  <c r="F457" i="13" s="1"/>
  <c r="Y33" i="10"/>
  <c r="Q132" i="20" s="1"/>
  <c r="X33" i="10"/>
  <c r="P132" i="20" s="1"/>
  <c r="Z33" i="10"/>
  <c r="R132" i="20" s="1"/>
  <c r="S132" i="20" s="1"/>
  <c r="Z575" i="10"/>
  <c r="X575" i="10"/>
  <c r="U575" i="10"/>
  <c r="AF271" i="20"/>
  <c r="AB66" i="12"/>
  <c r="AS183" i="9"/>
  <c r="AS558" i="9" s="1"/>
  <c r="AC92" i="3"/>
  <c r="AC223" i="3" s="1"/>
  <c r="AR467" i="21"/>
  <c r="O92" i="3"/>
  <c r="O223" i="3" s="1"/>
  <c r="AK92" i="3"/>
  <c r="AK223" i="3" s="1"/>
  <c r="H4" i="32"/>
  <c r="AH140" i="20"/>
  <c r="I110" i="27"/>
  <c r="E336" i="20"/>
  <c r="E118" i="20"/>
  <c r="E127" i="20" s="1"/>
  <c r="AH147" i="20"/>
  <c r="I112" i="27"/>
  <c r="O30" i="18"/>
  <c r="O14" i="18"/>
  <c r="O13" i="18"/>
  <c r="O31" i="18"/>
  <c r="L178" i="20"/>
  <c r="K259" i="20"/>
  <c r="M208" i="20"/>
  <c r="AJ92" i="3"/>
  <c r="AJ223" i="3" s="1"/>
  <c r="Z208" i="20"/>
  <c r="AB92" i="3"/>
  <c r="AB223" i="3" s="1"/>
  <c r="AA208" i="20"/>
  <c r="Z71" i="8"/>
  <c r="Y140" i="8"/>
  <c r="R208" i="20"/>
  <c r="T92" i="3"/>
  <c r="T223" i="3" s="1"/>
  <c r="P92" i="3"/>
  <c r="P223" i="3" s="1"/>
  <c r="AE112" i="20"/>
  <c r="AA112" i="20"/>
  <c r="W112" i="20"/>
  <c r="R112" i="20"/>
  <c r="N112" i="20"/>
  <c r="J112" i="20"/>
  <c r="H112" i="20"/>
  <c r="AD112" i="20"/>
  <c r="Z112" i="20"/>
  <c r="U112" i="20"/>
  <c r="O112" i="20"/>
  <c r="K112" i="20"/>
  <c r="AC112" i="20"/>
  <c r="Y112" i="20"/>
  <c r="V112" i="20"/>
  <c r="P112" i="20"/>
  <c r="L112" i="20"/>
  <c r="AB112" i="20"/>
  <c r="X112" i="20"/>
  <c r="Q112" i="20"/>
  <c r="M112" i="20"/>
  <c r="I112" i="20"/>
  <c r="AL223" i="3"/>
  <c r="AL92" i="3"/>
  <c r="AD415" i="20"/>
  <c r="AD413" i="20" s="1"/>
  <c r="AD232" i="20" s="1"/>
  <c r="AD235" i="20" s="1"/>
  <c r="U415" i="20"/>
  <c r="U413" i="20" s="1"/>
  <c r="U232" i="20" s="1"/>
  <c r="U235" i="20" s="1"/>
  <c r="AA415" i="20"/>
  <c r="AA413" i="20" s="1"/>
  <c r="AA232" i="20" s="1"/>
  <c r="AA235" i="20" s="1"/>
  <c r="N415" i="20"/>
  <c r="N413" i="20" s="1"/>
  <c r="N232" i="20" s="1"/>
  <c r="N235" i="20" s="1"/>
  <c r="X415" i="20"/>
  <c r="X413" i="20" s="1"/>
  <c r="X232" i="20" s="1"/>
  <c r="X235" i="20" s="1"/>
  <c r="Q415" i="20"/>
  <c r="Q413" i="20" s="1"/>
  <c r="Q232" i="20" s="1"/>
  <c r="Q235" i="20" s="1"/>
  <c r="U47" i="29"/>
  <c r="U48" i="29" s="1"/>
  <c r="AB434" i="10"/>
  <c r="AF434" i="21" s="1"/>
  <c r="AB53" i="10"/>
  <c r="G220" i="20"/>
  <c r="G224" i="20" s="1"/>
  <c r="G285" i="20" s="1"/>
  <c r="O31" i="10"/>
  <c r="AE434" i="21"/>
  <c r="G88" i="27"/>
  <c r="AA574" i="10"/>
  <c r="AB32" i="10"/>
  <c r="AB21" i="10" s="1"/>
  <c r="AB24" i="10" s="1"/>
  <c r="AC161" i="12"/>
  <c r="AC458" i="12" s="1"/>
  <c r="AF458" i="21" s="1"/>
  <c r="AC32" i="10"/>
  <c r="AC21" i="10" s="1"/>
  <c r="AC24" i="10" s="1"/>
  <c r="AD161" i="12"/>
  <c r="AD458" i="12" s="1"/>
  <c r="AG458" i="21" s="1"/>
  <c r="T575" i="10"/>
  <c r="R575" i="10"/>
  <c r="W575" i="10"/>
  <c r="S575" i="10"/>
  <c r="P575" i="10"/>
  <c r="V360" i="20"/>
  <c r="AF394" i="20"/>
  <c r="Z140" i="8"/>
  <c r="O116" i="8"/>
  <c r="O70" i="8" s="1"/>
  <c r="AS26" i="10"/>
  <c r="AK222" i="20" s="1"/>
  <c r="AT8" i="10"/>
  <c r="I256" i="20"/>
  <c r="I278" i="20" s="1"/>
  <c r="J156" i="20"/>
  <c r="H278" i="20"/>
  <c r="Z16" i="19"/>
  <c r="AL13" i="19"/>
  <c r="AE467" i="21"/>
  <c r="M92" i="3"/>
  <c r="G208" i="20"/>
  <c r="AO92" i="3"/>
  <c r="AO223" i="3" s="1"/>
  <c r="AI208" i="20"/>
  <c r="AA571" i="10"/>
  <c r="AA575" i="10" s="1"/>
  <c r="AE444" i="21"/>
  <c r="J108" i="20"/>
  <c r="N16" i="19"/>
  <c r="N21" i="19" s="1"/>
  <c r="O9" i="19" s="1"/>
  <c r="O21" i="19" s="1"/>
  <c r="P9" i="19" s="1"/>
  <c r="P21" i="19" s="1"/>
  <c r="Q9" i="19" s="1"/>
  <c r="Q21" i="19" s="1"/>
  <c r="R9" i="19" s="1"/>
  <c r="R21" i="19" s="1"/>
  <c r="S9" i="19" s="1"/>
  <c r="S21" i="19" s="1"/>
  <c r="T9" i="19" s="1"/>
  <c r="T21" i="19" s="1"/>
  <c r="U9" i="19" s="1"/>
  <c r="U21" i="19" s="1"/>
  <c r="V9" i="19" s="1"/>
  <c r="V21" i="19" s="1"/>
  <c r="W9" i="19" s="1"/>
  <c r="W21" i="19" s="1"/>
  <c r="X9" i="19" s="1"/>
  <c r="X21" i="19" s="1"/>
  <c r="Z9" i="19" s="1"/>
  <c r="Y13" i="19"/>
  <c r="P171" i="3"/>
  <c r="I25" i="20"/>
  <c r="P170" i="3"/>
  <c r="I24" i="20"/>
  <c r="G81" i="20"/>
  <c r="G75" i="29" s="1"/>
  <c r="CO2" i="26"/>
  <c r="M222" i="3"/>
  <c r="I81" i="20"/>
  <c r="I75" i="29" s="1"/>
  <c r="CS2" i="26"/>
  <c r="O222" i="3"/>
  <c r="K81" i="20"/>
  <c r="K75" i="29" s="1"/>
  <c r="CW2" i="26"/>
  <c r="Q222" i="3"/>
  <c r="M81" i="20"/>
  <c r="M75" i="29" s="1"/>
  <c r="DA2" i="26"/>
  <c r="S222" i="3"/>
  <c r="O81" i="20"/>
  <c r="O75" i="29" s="1"/>
  <c r="DE2" i="26"/>
  <c r="U222" i="3"/>
  <c r="Q81" i="20"/>
  <c r="Q75" i="29" s="1"/>
  <c r="DI2" i="26"/>
  <c r="W222" i="3"/>
  <c r="T81" i="20"/>
  <c r="Z222" i="3"/>
  <c r="DO2" i="26"/>
  <c r="V81" i="20"/>
  <c r="AB222" i="3"/>
  <c r="DS2" i="26"/>
  <c r="X81" i="20"/>
  <c r="AD222" i="3"/>
  <c r="DW2" i="26"/>
  <c r="Z81" i="20"/>
  <c r="AF222" i="3"/>
  <c r="EA2" i="26"/>
  <c r="AB81" i="20"/>
  <c r="AH222" i="3"/>
  <c r="EE2" i="26"/>
  <c r="AD81" i="20"/>
  <c r="AJ222" i="3"/>
  <c r="EI2" i="26"/>
  <c r="AG81" i="20"/>
  <c r="AM91" i="3"/>
  <c r="AM222" i="3"/>
  <c r="EM2" i="26"/>
  <c r="AW91" i="3"/>
  <c r="AQ81" i="20"/>
  <c r="S162" i="27" s="1"/>
  <c r="S168" i="27" s="1"/>
  <c r="AW222" i="3"/>
  <c r="FG2" i="26"/>
  <c r="AO91" i="3"/>
  <c r="AI81" i="20"/>
  <c r="K162" i="27" s="1"/>
  <c r="K168" i="27" s="1"/>
  <c r="AO222" i="3"/>
  <c r="EQ2" i="26"/>
  <c r="AR468" i="8"/>
  <c r="AW468" i="21" s="1"/>
  <c r="HO2" i="26"/>
  <c r="AS91" i="3"/>
  <c r="AM81" i="20"/>
  <c r="O162" i="27" s="1"/>
  <c r="O168" i="27" s="1"/>
  <c r="AS222" i="3"/>
  <c r="EY2" i="26"/>
  <c r="AV468" i="8"/>
  <c r="BA468" i="21" s="1"/>
  <c r="HW2" i="26"/>
  <c r="K31" i="27"/>
  <c r="K48" i="27"/>
  <c r="K67" i="27"/>
  <c r="K85" i="27"/>
  <c r="K97" i="27" s="1"/>
  <c r="K108" i="27" s="1"/>
  <c r="AS28" i="10"/>
  <c r="AK223" i="20" s="1"/>
  <c r="AT16" i="10"/>
  <c r="H138" i="20"/>
  <c r="M39" i="19"/>
  <c r="M44" i="19"/>
  <c r="M48" i="19"/>
  <c r="M42" i="19"/>
  <c r="M46" i="19"/>
  <c r="M22" i="19"/>
  <c r="S374" i="20"/>
  <c r="K373" i="20"/>
  <c r="S373" i="20" s="1"/>
  <c r="K413" i="20"/>
  <c r="K232" i="20" s="1"/>
  <c r="K235" i="20" s="1"/>
  <c r="S269" i="20"/>
  <c r="T206" i="20"/>
  <c r="AM33" i="8"/>
  <c r="AL43" i="19"/>
  <c r="AB206" i="20"/>
  <c r="AL12" i="19"/>
  <c r="T380" i="20"/>
  <c r="AO42" i="12"/>
  <c r="Q50" i="3"/>
  <c r="AP81" i="20"/>
  <c r="R162" i="27" s="1"/>
  <c r="R168" i="27" s="1"/>
  <c r="AV91" i="3"/>
  <c r="AV222" i="3"/>
  <c r="FE2" i="26"/>
  <c r="AN91" i="3"/>
  <c r="AH81" i="20"/>
  <c r="AN222" i="3"/>
  <c r="EO2" i="26"/>
  <c r="AQ468" i="8"/>
  <c r="AV468" i="21" s="1"/>
  <c r="HM2" i="26"/>
  <c r="AR91" i="3"/>
  <c r="AL81" i="20"/>
  <c r="N162" i="27" s="1"/>
  <c r="N168" i="27" s="1"/>
  <c r="AR222" i="3"/>
  <c r="EW2" i="26"/>
  <c r="AU468" i="8"/>
  <c r="AZ468" i="21" s="1"/>
  <c r="HU2" i="26"/>
  <c r="FI2" i="26"/>
  <c r="X3" i="17"/>
  <c r="W3" i="3"/>
  <c r="S206" i="20"/>
  <c r="N142" i="8"/>
  <c r="N501" i="8"/>
  <c r="S501" i="21" s="1"/>
  <c r="G254" i="20"/>
  <c r="AR484" i="21"/>
  <c r="Y91" i="3"/>
  <c r="S135" i="12"/>
  <c r="Y12" i="19"/>
  <c r="AS25" i="10"/>
  <c r="AK221" i="20" s="1"/>
  <c r="AT6" i="10"/>
  <c r="S380" i="20"/>
  <c r="S379" i="20"/>
  <c r="W35" i="29"/>
  <c r="V46" i="29"/>
  <c r="V45" i="29" s="1"/>
  <c r="P189" i="3"/>
  <c r="I41" i="20"/>
  <c r="R23" i="3"/>
  <c r="Q24" i="3"/>
  <c r="AC2" i="26"/>
  <c r="DM2" i="26"/>
  <c r="DN2" i="26"/>
  <c r="AX468" i="8"/>
  <c r="BC468" i="21" s="1"/>
  <c r="IA2" i="26"/>
  <c r="AP468" i="8"/>
  <c r="AU468" i="21" s="1"/>
  <c r="HK2" i="26"/>
  <c r="AQ91" i="3"/>
  <c r="AK81" i="20"/>
  <c r="M162" i="27" s="1"/>
  <c r="M168" i="27" s="1"/>
  <c r="AQ222" i="3"/>
  <c r="EU2" i="26"/>
  <c r="AT468" i="8"/>
  <c r="AY468" i="21" s="1"/>
  <c r="HS2" i="26"/>
  <c r="AU91" i="3"/>
  <c r="AO81" i="20"/>
  <c r="Q162" i="27" s="1"/>
  <c r="Q168" i="27" s="1"/>
  <c r="AU222" i="3"/>
  <c r="FC2" i="26"/>
  <c r="Q115" i="8"/>
  <c r="AJ2" i="29"/>
  <c r="AJ2" i="28"/>
  <c r="AR5" i="9"/>
  <c r="AR4" i="10"/>
  <c r="AI2" i="13"/>
  <c r="AP2" i="17"/>
  <c r="AP6" i="19"/>
  <c r="AP2" i="5"/>
  <c r="AP2" i="3"/>
  <c r="L4" i="27"/>
  <c r="AS4" i="12"/>
  <c r="AQ2" i="8"/>
  <c r="AP2" i="6"/>
  <c r="AQ4" i="18"/>
  <c r="AV7" i="21"/>
  <c r="S8" i="12"/>
  <c r="S10" i="12" s="1"/>
  <c r="I359" i="20"/>
  <c r="T22" i="12"/>
  <c r="J371" i="20"/>
  <c r="AE477" i="21"/>
  <c r="Y477" i="19"/>
  <c r="G252" i="20"/>
  <c r="F571" i="13"/>
  <c r="AR481" i="21"/>
  <c r="S30" i="12"/>
  <c r="AF379" i="20"/>
  <c r="AC460" i="12"/>
  <c r="AO163" i="12"/>
  <c r="U53" i="12"/>
  <c r="K390" i="20"/>
  <c r="T54" i="12"/>
  <c r="AI3" i="17"/>
  <c r="AH3" i="3"/>
  <c r="AL71" i="8"/>
  <c r="P190" i="3"/>
  <c r="I42" i="20"/>
  <c r="H81" i="20"/>
  <c r="H75" i="29" s="1"/>
  <c r="N222" i="3"/>
  <c r="CQ2" i="26"/>
  <c r="J81" i="20"/>
  <c r="J75" i="29" s="1"/>
  <c r="P222" i="3"/>
  <c r="CU2" i="26"/>
  <c r="L81" i="20"/>
  <c r="L75" i="29" s="1"/>
  <c r="R222" i="3"/>
  <c r="CY2" i="26"/>
  <c r="N81" i="20"/>
  <c r="N75" i="29" s="1"/>
  <c r="T222" i="3"/>
  <c r="DC2" i="26"/>
  <c r="P81" i="20"/>
  <c r="P75" i="29" s="1"/>
  <c r="V222" i="3"/>
  <c r="DG2" i="26"/>
  <c r="R81" i="20"/>
  <c r="R75" i="29" s="1"/>
  <c r="X222" i="3"/>
  <c r="DK2" i="26"/>
  <c r="U81" i="20"/>
  <c r="AA222" i="3"/>
  <c r="DQ2" i="26"/>
  <c r="W81" i="20"/>
  <c r="AC222" i="3"/>
  <c r="DU2" i="26"/>
  <c r="Y81" i="20"/>
  <c r="AE222" i="3"/>
  <c r="DY2" i="26"/>
  <c r="AA81" i="20"/>
  <c r="AG222" i="3"/>
  <c r="EC2" i="26"/>
  <c r="AC81" i="20"/>
  <c r="AI222" i="3"/>
  <c r="EG2" i="26"/>
  <c r="AE81" i="20"/>
  <c r="AK222" i="3"/>
  <c r="EK2" i="26"/>
  <c r="AW468" i="8"/>
  <c r="BB468" i="21" s="1"/>
  <c r="HY2" i="26"/>
  <c r="AP91" i="3"/>
  <c r="AJ81" i="20"/>
  <c r="L162" i="27" s="1"/>
  <c r="L168" i="27" s="1"/>
  <c r="AP222" i="3"/>
  <c r="ES2" i="26"/>
  <c r="AS468" i="8"/>
  <c r="AX468" i="21" s="1"/>
  <c r="HQ2" i="26"/>
  <c r="AT91" i="3"/>
  <c r="AN81" i="20"/>
  <c r="P162" i="27" s="1"/>
  <c r="P168" i="27" s="1"/>
  <c r="AT222" i="3"/>
  <c r="FA2" i="26"/>
  <c r="IC2" i="26"/>
  <c r="AR444" i="21"/>
  <c r="AL91" i="3"/>
  <c r="P460" i="12"/>
  <c r="AB163" i="12"/>
  <c r="AL4" i="29"/>
  <c r="W27" i="29"/>
  <c r="G134" i="20" l="1"/>
  <c r="G131" i="20"/>
  <c r="AB460" i="12"/>
  <c r="AO460" i="12"/>
  <c r="AT40" i="12"/>
  <c r="AK377" i="20"/>
  <c r="L100" i="27"/>
  <c r="AU37" i="12"/>
  <c r="AJ173" i="20"/>
  <c r="L19" i="27" s="1"/>
  <c r="AS163" i="12"/>
  <c r="AS460" i="12" s="1"/>
  <c r="AJ112" i="20" s="1"/>
  <c r="AJ379" i="20"/>
  <c r="AS42" i="12"/>
  <c r="AJ380" i="20" s="1"/>
  <c r="U46" i="12"/>
  <c r="W45" i="12"/>
  <c r="V46" i="12"/>
  <c r="M397" i="20"/>
  <c r="O117" i="8"/>
  <c r="P116" i="8" s="1"/>
  <c r="K571" i="13"/>
  <c r="J571" i="13"/>
  <c r="G571" i="13"/>
  <c r="Z21" i="19"/>
  <c r="AA9" i="19" s="1"/>
  <c r="AA21" i="19" s="1"/>
  <c r="AB9" i="19" s="1"/>
  <c r="AB21" i="19" s="1"/>
  <c r="AC9" i="19" s="1"/>
  <c r="AC21" i="19" s="1"/>
  <c r="AD9" i="19" s="1"/>
  <c r="AD21" i="19" s="1"/>
  <c r="AE9" i="19" s="1"/>
  <c r="AE21" i="19" s="1"/>
  <c r="AF9" i="19" s="1"/>
  <c r="AF21" i="19" s="1"/>
  <c r="AG9" i="19" s="1"/>
  <c r="AG21" i="19" s="1"/>
  <c r="AH9" i="19" s="1"/>
  <c r="AH21" i="19" s="1"/>
  <c r="AI9" i="19" s="1"/>
  <c r="AI21" i="19" s="1"/>
  <c r="AJ9" i="19" s="1"/>
  <c r="AJ21" i="19" s="1"/>
  <c r="AK9" i="19" s="1"/>
  <c r="AK21" i="19" s="1"/>
  <c r="AM9" i="19" s="1"/>
  <c r="H27" i="13"/>
  <c r="I27" i="13" s="1"/>
  <c r="J27" i="13" s="1"/>
  <c r="K27" i="13" s="1"/>
  <c r="I571" i="13"/>
  <c r="AD33" i="10"/>
  <c r="V132" i="20" s="1"/>
  <c r="AB33" i="10"/>
  <c r="T132" i="20" s="1"/>
  <c r="AC33" i="10"/>
  <c r="U132" i="20" s="1"/>
  <c r="AT183" i="9"/>
  <c r="AT558" i="9" s="1"/>
  <c r="S208" i="20"/>
  <c r="E320" i="20"/>
  <c r="E323" i="20" s="1"/>
  <c r="E325" i="20" s="1"/>
  <c r="E331" i="20" s="1"/>
  <c r="I4" i="32"/>
  <c r="AI147" i="20"/>
  <c r="J112" i="27"/>
  <c r="E338" i="20"/>
  <c r="E341" i="20" s="1"/>
  <c r="E342" i="20" s="1"/>
  <c r="AI140" i="20"/>
  <c r="J110" i="27"/>
  <c r="P31" i="18"/>
  <c r="P30" i="18"/>
  <c r="P13" i="18"/>
  <c r="AF208" i="20"/>
  <c r="P14" i="18"/>
  <c r="J162" i="27"/>
  <c r="J168" i="27" s="1"/>
  <c r="I162" i="27"/>
  <c r="I168" i="27" s="1"/>
  <c r="K120" i="27"/>
  <c r="K135" i="27" s="1"/>
  <c r="K150" i="27" s="1"/>
  <c r="K174" i="27" s="1"/>
  <c r="L259" i="20"/>
  <c r="M178" i="20"/>
  <c r="O139" i="8"/>
  <c r="U111" i="20"/>
  <c r="T111" i="20"/>
  <c r="V47" i="29"/>
  <c r="V48" i="29" s="1"/>
  <c r="S55" i="29"/>
  <c r="AC434" i="10"/>
  <c r="AG434" i="21" s="1"/>
  <c r="AC53" i="10"/>
  <c r="AB574" i="10"/>
  <c r="T269" i="20"/>
  <c r="AB571" i="10"/>
  <c r="S32" i="10"/>
  <c r="S21" i="10" s="1"/>
  <c r="S24" i="10" s="1"/>
  <c r="T161" i="12"/>
  <c r="T458" i="12" s="1"/>
  <c r="W458" i="21" s="1"/>
  <c r="Q32" i="10"/>
  <c r="Q21" i="10" s="1"/>
  <c r="Q24" i="10" s="1"/>
  <c r="R161" i="12"/>
  <c r="R458" i="12" s="1"/>
  <c r="U458" i="21" s="1"/>
  <c r="U32" i="10"/>
  <c r="U21" i="10" s="1"/>
  <c r="U24" i="10" s="1"/>
  <c r="V161" i="12"/>
  <c r="V458" i="12" s="1"/>
  <c r="Y458" i="21" s="1"/>
  <c r="H108" i="20"/>
  <c r="S108" i="20" s="1"/>
  <c r="Z161" i="12"/>
  <c r="Z458" i="12" s="1"/>
  <c r="AC458" i="21" s="1"/>
  <c r="Y32" i="10"/>
  <c r="Y21" i="10" s="1"/>
  <c r="Y24" i="10" s="1"/>
  <c r="AF161" i="12"/>
  <c r="AF458" i="12" s="1"/>
  <c r="AI458" i="21" s="1"/>
  <c r="AE32" i="10"/>
  <c r="AE21" i="10" s="1"/>
  <c r="AE24" i="10" s="1"/>
  <c r="S161" i="12"/>
  <c r="S458" i="12" s="1"/>
  <c r="V458" i="21" s="1"/>
  <c r="R32" i="10"/>
  <c r="R21" i="10" s="1"/>
  <c r="R24" i="10" s="1"/>
  <c r="V32" i="10"/>
  <c r="V21" i="10" s="1"/>
  <c r="V24" i="10" s="1"/>
  <c r="W161" i="12"/>
  <c r="W458" i="12" s="1"/>
  <c r="Z458" i="21" s="1"/>
  <c r="AA161" i="12"/>
  <c r="AA458" i="12" s="1"/>
  <c r="AD458" i="21" s="1"/>
  <c r="Z32" i="10"/>
  <c r="Z21" i="10" s="1"/>
  <c r="Z24" i="10" s="1"/>
  <c r="U220" i="20"/>
  <c r="U224" i="20" s="1"/>
  <c r="U285" i="20" s="1"/>
  <c r="AC31" i="10"/>
  <c r="AD32" i="10"/>
  <c r="AD21" i="10" s="1"/>
  <c r="AD24" i="10" s="1"/>
  <c r="AE161" i="12"/>
  <c r="AE458" i="12" s="1"/>
  <c r="AH458" i="21" s="1"/>
  <c r="T220" i="20"/>
  <c r="T224" i="20" s="1"/>
  <c r="T285" i="20" s="1"/>
  <c r="AB31" i="10"/>
  <c r="AB107" i="12"/>
  <c r="P32" i="10"/>
  <c r="Q161" i="12"/>
  <c r="U161" i="12"/>
  <c r="U458" i="12" s="1"/>
  <c r="X458" i="21" s="1"/>
  <c r="T32" i="10"/>
  <c r="T21" i="10" s="1"/>
  <c r="T24" i="10" s="1"/>
  <c r="X32" i="10"/>
  <c r="X21" i="10" s="1"/>
  <c r="X24" i="10" s="1"/>
  <c r="Y161" i="12"/>
  <c r="Y458" i="12" s="1"/>
  <c r="AB458" i="21" s="1"/>
  <c r="X161" i="12"/>
  <c r="X458" i="12" s="1"/>
  <c r="AA458" i="21" s="1"/>
  <c r="W32" i="10"/>
  <c r="W21" i="10" s="1"/>
  <c r="W24" i="10" s="1"/>
  <c r="H154" i="20"/>
  <c r="H254" i="20" s="1"/>
  <c r="AP21" i="10"/>
  <c r="AP24" i="10" s="1"/>
  <c r="AT26" i="10"/>
  <c r="AL222" i="20" s="1"/>
  <c r="AU8" i="10"/>
  <c r="P117" i="8"/>
  <c r="Q116" i="8" s="1"/>
  <c r="J256" i="20"/>
  <c r="K156" i="20"/>
  <c r="M223" i="3"/>
  <c r="Y223" i="3" s="1"/>
  <c r="Y92" i="3"/>
  <c r="AJ208" i="20"/>
  <c r="AP92" i="3"/>
  <c r="AP223" i="3" s="1"/>
  <c r="AM4" i="29"/>
  <c r="Y75" i="29"/>
  <c r="Y196" i="20"/>
  <c r="L196" i="20"/>
  <c r="AL140" i="8"/>
  <c r="AM71" i="8"/>
  <c r="V53" i="12"/>
  <c r="L390" i="20"/>
  <c r="U54" i="12"/>
  <c r="AE468" i="21"/>
  <c r="AN75" i="29"/>
  <c r="AN196" i="20"/>
  <c r="AJ75" i="29"/>
  <c r="AJ196" i="20"/>
  <c r="AE75" i="29"/>
  <c r="AE196" i="20"/>
  <c r="AA75" i="29"/>
  <c r="AA196" i="20"/>
  <c r="W75" i="29"/>
  <c r="W196" i="20"/>
  <c r="R196" i="20"/>
  <c r="N196" i="20"/>
  <c r="J196" i="20"/>
  <c r="Q190" i="3"/>
  <c r="J42" i="20"/>
  <c r="T30" i="12"/>
  <c r="K371" i="20"/>
  <c r="U22" i="12"/>
  <c r="J359" i="20"/>
  <c r="T8" i="12"/>
  <c r="T10" i="12" s="1"/>
  <c r="AK2" i="29"/>
  <c r="M4" i="27"/>
  <c r="AT4" i="12"/>
  <c r="AR2" i="8"/>
  <c r="AQ2" i="6"/>
  <c r="AR4" i="18"/>
  <c r="AW7" i="21"/>
  <c r="AK2" i="28"/>
  <c r="AS5" i="9"/>
  <c r="AS4" i="10"/>
  <c r="AJ2" i="13"/>
  <c r="AQ2" i="17"/>
  <c r="AQ6" i="19"/>
  <c r="AQ2" i="5"/>
  <c r="AQ2" i="3"/>
  <c r="R115" i="8"/>
  <c r="AO75" i="29"/>
  <c r="AO196" i="20"/>
  <c r="AK75" i="29"/>
  <c r="AK196" i="20"/>
  <c r="R24" i="3"/>
  <c r="S23" i="3"/>
  <c r="W46" i="29"/>
  <c r="W45" i="29" s="1"/>
  <c r="X35" i="29"/>
  <c r="AR468" i="21"/>
  <c r="W3" i="17"/>
  <c r="V3" i="3"/>
  <c r="AL75" i="29"/>
  <c r="AL196" i="20"/>
  <c r="AH75" i="29"/>
  <c r="AH196" i="20"/>
  <c r="AF380" i="20"/>
  <c r="M479" i="19"/>
  <c r="S479" i="21" s="1"/>
  <c r="M482" i="19"/>
  <c r="S482" i="21" s="1"/>
  <c r="H252" i="20"/>
  <c r="AT28" i="10"/>
  <c r="AL223" i="20" s="1"/>
  <c r="AU16" i="10"/>
  <c r="O142" i="8"/>
  <c r="O501" i="8"/>
  <c r="T501" i="21" s="1"/>
  <c r="AG75" i="29"/>
  <c r="AG196" i="20"/>
  <c r="AB75" i="29"/>
  <c r="AB196" i="20"/>
  <c r="X75" i="29"/>
  <c r="X196" i="20"/>
  <c r="T75" i="29"/>
  <c r="T196" i="20"/>
  <c r="AF81" i="20"/>
  <c r="O196" i="20"/>
  <c r="K196" i="20"/>
  <c r="Y222" i="3"/>
  <c r="G196" i="20"/>
  <c r="S81" i="20"/>
  <c r="X27" i="29"/>
  <c r="AC75" i="29"/>
  <c r="AC196" i="20"/>
  <c r="U75" i="29"/>
  <c r="U196" i="20"/>
  <c r="P196" i="20"/>
  <c r="H196" i="20"/>
  <c r="AH3" i="17"/>
  <c r="AG3" i="3"/>
  <c r="G125" i="20"/>
  <c r="G274" i="20"/>
  <c r="L31" i="27"/>
  <c r="L48" i="27"/>
  <c r="L67" i="27"/>
  <c r="L85" i="27"/>
  <c r="L97" i="27" s="1"/>
  <c r="L108" i="27" s="1"/>
  <c r="P70" i="8"/>
  <c r="P139" i="8"/>
  <c r="Q189" i="3"/>
  <c r="J41" i="20"/>
  <c r="AT25" i="10"/>
  <c r="AL221" i="20" s="1"/>
  <c r="AU6" i="10"/>
  <c r="T135" i="12"/>
  <c r="AP75" i="29"/>
  <c r="AP196" i="20"/>
  <c r="R50" i="3"/>
  <c r="S50" i="3" s="1"/>
  <c r="AF206" i="20"/>
  <c r="N10" i="19"/>
  <c r="G153" i="20"/>
  <c r="G276" i="20" s="1"/>
  <c r="M485" i="19"/>
  <c r="S485" i="21" s="1"/>
  <c r="M516" i="19"/>
  <c r="M50" i="19"/>
  <c r="M474" i="19"/>
  <c r="S474" i="21" s="1"/>
  <c r="AM75" i="29"/>
  <c r="AM196" i="20"/>
  <c r="AI75" i="29"/>
  <c r="AI196" i="20"/>
  <c r="AQ75" i="29"/>
  <c r="AQ196" i="20"/>
  <c r="AD75" i="29"/>
  <c r="AD196" i="20"/>
  <c r="Z75" i="29"/>
  <c r="Z196" i="20"/>
  <c r="V75" i="29"/>
  <c r="V196" i="20"/>
  <c r="AL222" i="3"/>
  <c r="Q196" i="20"/>
  <c r="M196" i="20"/>
  <c r="I196" i="20"/>
  <c r="Q170" i="3"/>
  <c r="J24" i="20"/>
  <c r="Q171" i="3"/>
  <c r="J25" i="20"/>
  <c r="G133" i="20" l="1"/>
  <c r="G135" i="20" s="1"/>
  <c r="AU40" i="12"/>
  <c r="AL377" i="20"/>
  <c r="M100" i="27"/>
  <c r="AV37" i="12"/>
  <c r="AK173" i="20"/>
  <c r="M19" i="27" s="1"/>
  <c r="AT163" i="12"/>
  <c r="AT460" i="12" s="1"/>
  <c r="AK112" i="20" s="1"/>
  <c r="AK379" i="20"/>
  <c r="AT42" i="12"/>
  <c r="AK380" i="20" s="1"/>
  <c r="X45" i="12"/>
  <c r="W46" i="12"/>
  <c r="N397" i="20"/>
  <c r="AE33" i="10"/>
  <c r="W132" i="20" s="1"/>
  <c r="I154" i="20"/>
  <c r="AU183" i="9"/>
  <c r="AU558" i="9" s="1"/>
  <c r="J4" i="32"/>
  <c r="AJ140" i="20"/>
  <c r="K110" i="27"/>
  <c r="AJ147" i="20"/>
  <c r="K112" i="27"/>
  <c r="E309" i="20"/>
  <c r="E311" i="20" s="1"/>
  <c r="E317" i="20" s="1"/>
  <c r="Q30" i="18"/>
  <c r="Q31" i="18"/>
  <c r="G39" i="27"/>
  <c r="C13" i="32"/>
  <c r="N178" i="20"/>
  <c r="M259" i="20"/>
  <c r="L120" i="27"/>
  <c r="L135" i="27" s="1"/>
  <c r="L150" i="27" s="1"/>
  <c r="L174" i="27" s="1"/>
  <c r="H162" i="27"/>
  <c r="H168" i="27" s="1"/>
  <c r="G162" i="27"/>
  <c r="G168" i="27" s="1"/>
  <c r="P111" i="20"/>
  <c r="R111" i="20"/>
  <c r="J111" i="20"/>
  <c r="W111" i="20"/>
  <c r="O111" i="20"/>
  <c r="L111" i="20"/>
  <c r="V111" i="20"/>
  <c r="N111" i="20"/>
  <c r="Q111" i="20"/>
  <c r="M111" i="20"/>
  <c r="I111" i="20"/>
  <c r="K111" i="20"/>
  <c r="U30" i="12"/>
  <c r="W47" i="29"/>
  <c r="W48" i="29" s="1"/>
  <c r="AD434" i="10"/>
  <c r="AH434" i="21" s="1"/>
  <c r="AD53" i="10"/>
  <c r="AB575" i="10"/>
  <c r="T108" i="20"/>
  <c r="U108" i="20"/>
  <c r="AC571" i="10"/>
  <c r="AC574" i="10"/>
  <c r="AC575" i="10" s="1"/>
  <c r="U269" i="20"/>
  <c r="K220" i="20"/>
  <c r="K224" i="20" s="1"/>
  <c r="K285" i="20" s="1"/>
  <c r="S31" i="10"/>
  <c r="M220" i="20"/>
  <c r="M224" i="20" s="1"/>
  <c r="M285" i="20" s="1"/>
  <c r="U31" i="10"/>
  <c r="I220" i="20"/>
  <c r="I224" i="20" s="1"/>
  <c r="I285" i="20" s="1"/>
  <c r="Q31" i="10"/>
  <c r="Q220" i="20"/>
  <c r="Q224" i="20" s="1"/>
  <c r="Q285" i="20" s="1"/>
  <c r="Y31" i="10"/>
  <c r="AF32" i="10"/>
  <c r="AF21" i="10" s="1"/>
  <c r="AF24" i="10" s="1"/>
  <c r="AG161" i="12"/>
  <c r="AG458" i="12" s="1"/>
  <c r="AJ458" i="21" s="1"/>
  <c r="O220" i="20"/>
  <c r="O224" i="20" s="1"/>
  <c r="O285" i="20" s="1"/>
  <c r="W31" i="10"/>
  <c r="L220" i="20"/>
  <c r="L224" i="20" s="1"/>
  <c r="L285" i="20" s="1"/>
  <c r="T31" i="10"/>
  <c r="Q458" i="12"/>
  <c r="T458" i="21" s="1"/>
  <c r="AB161" i="12"/>
  <c r="V220" i="20"/>
  <c r="V224" i="20" s="1"/>
  <c r="V285" i="20" s="1"/>
  <c r="AD31" i="10"/>
  <c r="N220" i="20"/>
  <c r="N224" i="20" s="1"/>
  <c r="N285" i="20" s="1"/>
  <c r="V31" i="10"/>
  <c r="P220" i="20"/>
  <c r="P224" i="20" s="1"/>
  <c r="P285" i="20" s="1"/>
  <c r="X31" i="10"/>
  <c r="P21" i="10"/>
  <c r="AA32" i="10"/>
  <c r="R220" i="20"/>
  <c r="R224" i="20" s="1"/>
  <c r="R285" i="20" s="1"/>
  <c r="Z31" i="10"/>
  <c r="J220" i="20"/>
  <c r="J224" i="20" s="1"/>
  <c r="J285" i="20" s="1"/>
  <c r="R31" i="10"/>
  <c r="W220" i="20"/>
  <c r="W224" i="20" s="1"/>
  <c r="W285" i="20" s="1"/>
  <c r="AE31" i="10"/>
  <c r="AH220" i="20"/>
  <c r="AH224" i="20" s="1"/>
  <c r="AP31" i="10"/>
  <c r="AR19" i="10"/>
  <c r="AQ21" i="10"/>
  <c r="AQ24" i="10" s="1"/>
  <c r="AU26" i="10"/>
  <c r="AM222" i="20" s="1"/>
  <c r="AV8" i="10"/>
  <c r="Q117" i="8"/>
  <c r="R116" i="8" s="1"/>
  <c r="J278" i="20"/>
  <c r="K256" i="20"/>
  <c r="K278" i="20" s="1"/>
  <c r="L156" i="20"/>
  <c r="AQ92" i="3"/>
  <c r="AQ223" i="3" s="1"/>
  <c r="AK208" i="20"/>
  <c r="R171" i="3"/>
  <c r="K25" i="20"/>
  <c r="Q14" i="18"/>
  <c r="Q13" i="18"/>
  <c r="M571" i="19"/>
  <c r="N14" i="19"/>
  <c r="N17" i="19" s="1"/>
  <c r="N22" i="19" s="1"/>
  <c r="R189" i="3"/>
  <c r="K41" i="20"/>
  <c r="M100" i="3"/>
  <c r="T112" i="20"/>
  <c r="AF112" i="20" s="1"/>
  <c r="AR460" i="21"/>
  <c r="S196" i="20"/>
  <c r="AF196" i="20"/>
  <c r="H274" i="20"/>
  <c r="V3" i="17"/>
  <c r="U3" i="3"/>
  <c r="I254" i="20"/>
  <c r="J154" i="20"/>
  <c r="Y35" i="29"/>
  <c r="X46" i="29"/>
  <c r="X45" i="29" s="1"/>
  <c r="T23" i="3"/>
  <c r="S24" i="3"/>
  <c r="Q70" i="8"/>
  <c r="Q139" i="8"/>
  <c r="M31" i="27"/>
  <c r="M48" i="27"/>
  <c r="M67" i="27"/>
  <c r="M85" i="27"/>
  <c r="M97" i="27" s="1"/>
  <c r="M108" i="27" s="1"/>
  <c r="R190" i="3"/>
  <c r="K42" i="20"/>
  <c r="AM140" i="8"/>
  <c r="G112" i="20"/>
  <c r="S112" i="20" s="1"/>
  <c r="AE460" i="21"/>
  <c r="AN4" i="29"/>
  <c r="R170" i="3"/>
  <c r="K24" i="20"/>
  <c r="M575" i="19"/>
  <c r="U135" i="12"/>
  <c r="AU25" i="10"/>
  <c r="AM221" i="20" s="1"/>
  <c r="AV6" i="10"/>
  <c r="P142" i="8"/>
  <c r="P501" i="8"/>
  <c r="U501" i="21" s="1"/>
  <c r="AG3" i="17"/>
  <c r="AF3" i="3"/>
  <c r="Y27" i="29"/>
  <c r="AF75" i="29"/>
  <c r="AU28" i="10"/>
  <c r="AM223" i="20" s="1"/>
  <c r="AV16" i="10"/>
  <c r="S115" i="8"/>
  <c r="AL2" i="29"/>
  <c r="AL2" i="28"/>
  <c r="AT5" i="9"/>
  <c r="AT4" i="10"/>
  <c r="AK2" i="13"/>
  <c r="AR2" i="17"/>
  <c r="AR6" i="19"/>
  <c r="AR2" i="5"/>
  <c r="AR2" i="3"/>
  <c r="N4" i="27"/>
  <c r="AU4" i="12"/>
  <c r="AS2" i="8"/>
  <c r="AR2" i="6"/>
  <c r="AS4" i="18"/>
  <c r="AX7" i="21"/>
  <c r="U8" i="12"/>
  <c r="K359" i="20"/>
  <c r="V22" i="12"/>
  <c r="L371" i="20"/>
  <c r="W53" i="12"/>
  <c r="M390" i="20"/>
  <c r="V54" i="12"/>
  <c r="T50" i="3" l="1"/>
  <c r="T72" i="3" s="1"/>
  <c r="U72" i="3"/>
  <c r="AW37" i="12"/>
  <c r="N100" i="27"/>
  <c r="AV40" i="12"/>
  <c r="AM377" i="20"/>
  <c r="AL173" i="20"/>
  <c r="N19" i="27" s="1"/>
  <c r="AU163" i="12"/>
  <c r="AU460" i="12" s="1"/>
  <c r="AL112" i="20" s="1"/>
  <c r="AL379" i="20"/>
  <c r="AU42" i="12"/>
  <c r="AL380" i="20" s="1"/>
  <c r="Y45" i="12"/>
  <c r="X46" i="12"/>
  <c r="O397" i="20"/>
  <c r="AB458" i="12"/>
  <c r="AF33" i="10"/>
  <c r="X132" i="20" s="1"/>
  <c r="U10" i="12"/>
  <c r="AV183" i="9"/>
  <c r="AV558" i="9" s="1"/>
  <c r="K4" i="32"/>
  <c r="AK147" i="20"/>
  <c r="L112" i="27"/>
  <c r="AK140" i="20"/>
  <c r="L110" i="27"/>
  <c r="R14" i="18"/>
  <c r="R13" i="18"/>
  <c r="R30" i="18"/>
  <c r="M120" i="27"/>
  <c r="M135" i="27" s="1"/>
  <c r="M150" i="27" s="1"/>
  <c r="M174" i="27" s="1"/>
  <c r="O178" i="20"/>
  <c r="N259" i="20"/>
  <c r="X111" i="20"/>
  <c r="V30" i="12"/>
  <c r="X47" i="29"/>
  <c r="X48" i="29" s="1"/>
  <c r="V269" i="20"/>
  <c r="AD574" i="10"/>
  <c r="AE434" i="10"/>
  <c r="AI434" i="21" s="1"/>
  <c r="AE53" i="10"/>
  <c r="V108" i="20"/>
  <c r="AD571" i="10"/>
  <c r="P24" i="10"/>
  <c r="AA21" i="10"/>
  <c r="AG32" i="10"/>
  <c r="AG21" i="10" s="1"/>
  <c r="AG24" i="10" s="1"/>
  <c r="AH161" i="12"/>
  <c r="AH458" i="12" s="1"/>
  <c r="AK458" i="21" s="1"/>
  <c r="X220" i="20"/>
  <c r="X224" i="20" s="1"/>
  <c r="X285" i="20" s="1"/>
  <c r="AF31" i="10"/>
  <c r="AQ31" i="10"/>
  <c r="AI220" i="20"/>
  <c r="AI224" i="20" s="1"/>
  <c r="AR21" i="10"/>
  <c r="AR24" i="10" s="1"/>
  <c r="AH285" i="20"/>
  <c r="J53" i="27"/>
  <c r="AV26" i="10"/>
  <c r="AN222" i="20" s="1"/>
  <c r="AW8" i="10"/>
  <c r="R117" i="8"/>
  <c r="S116" i="8" s="1"/>
  <c r="L256" i="20"/>
  <c r="L278" i="20" s="1"/>
  <c r="M156" i="20"/>
  <c r="AR92" i="3"/>
  <c r="AR223" i="3" s="1"/>
  <c r="AL208" i="20"/>
  <c r="AM2" i="29"/>
  <c r="O4" i="27"/>
  <c r="AV4" i="12"/>
  <c r="AT2" i="8"/>
  <c r="AS2" i="6"/>
  <c r="AT4" i="18"/>
  <c r="AY7" i="21"/>
  <c r="AM2" i="28"/>
  <c r="AU5" i="9"/>
  <c r="AU4" i="10"/>
  <c r="AL2" i="13"/>
  <c r="AS2" i="17"/>
  <c r="AS6" i="19"/>
  <c r="AS2" i="5"/>
  <c r="AS2" i="3"/>
  <c r="T115" i="8"/>
  <c r="AV28" i="10"/>
  <c r="AN223" i="20" s="1"/>
  <c r="AW16" i="10"/>
  <c r="AF3" i="17"/>
  <c r="AE3" i="3"/>
  <c r="AV25" i="10"/>
  <c r="AN221" i="20" s="1"/>
  <c r="AW6" i="10"/>
  <c r="V135" i="12"/>
  <c r="S190" i="3"/>
  <c r="T190" i="3" s="1"/>
  <c r="L42" i="20"/>
  <c r="T24" i="3"/>
  <c r="U23" i="3"/>
  <c r="Y46" i="29"/>
  <c r="Y45" i="29" s="1"/>
  <c r="Z35" i="29"/>
  <c r="K154" i="20"/>
  <c r="J254" i="20"/>
  <c r="O10" i="19"/>
  <c r="H153" i="20"/>
  <c r="H276" i="20" s="1"/>
  <c r="M576" i="19"/>
  <c r="X53" i="12"/>
  <c r="N390" i="20"/>
  <c r="W54" i="12"/>
  <c r="M371" i="20"/>
  <c r="W22" i="12"/>
  <c r="L359" i="20"/>
  <c r="V8" i="12"/>
  <c r="V10" i="12" s="1"/>
  <c r="N31" i="27"/>
  <c r="N48" i="27"/>
  <c r="N67" i="27"/>
  <c r="N85" i="27"/>
  <c r="N97" i="27" s="1"/>
  <c r="N108" i="27" s="1"/>
  <c r="R70" i="8"/>
  <c r="R139" i="8"/>
  <c r="Z27" i="29"/>
  <c r="S170" i="3"/>
  <c r="T170" i="3" s="1"/>
  <c r="L24" i="20"/>
  <c r="AO4" i="29"/>
  <c r="R31" i="18"/>
  <c r="Q142" i="8"/>
  <c r="Q501" i="8"/>
  <c r="V501" i="21" s="1"/>
  <c r="U3" i="17"/>
  <c r="T3" i="3"/>
  <c r="M230" i="3"/>
  <c r="S189" i="3"/>
  <c r="L41" i="20"/>
  <c r="N42" i="19"/>
  <c r="N46" i="19"/>
  <c r="N39" i="19"/>
  <c r="N44" i="19"/>
  <c r="N48" i="19"/>
  <c r="S171" i="3"/>
  <c r="T171" i="3" s="1"/>
  <c r="L25" i="20"/>
  <c r="T189" i="3" l="1"/>
  <c r="U208" i="3"/>
  <c r="AV163" i="12"/>
  <c r="AV460" i="12" s="1"/>
  <c r="AM112" i="20" s="1"/>
  <c r="AM379" i="20"/>
  <c r="AV42" i="12"/>
  <c r="AM380" i="20" s="1"/>
  <c r="AW40" i="12"/>
  <c r="AN377" i="20"/>
  <c r="O100" i="27"/>
  <c r="AX37" i="12"/>
  <c r="AM173" i="20"/>
  <c r="O19" i="27" s="1"/>
  <c r="Z45" i="12"/>
  <c r="P397" i="20"/>
  <c r="AD575" i="10"/>
  <c r="U12" i="12"/>
  <c r="AG33" i="10"/>
  <c r="Y132" i="20" s="1"/>
  <c r="AR107" i="12"/>
  <c r="W30" i="12"/>
  <c r="AW183" i="9"/>
  <c r="AW558" i="9" s="1"/>
  <c r="L4" i="32"/>
  <c r="AL140" i="20"/>
  <c r="M110" i="27"/>
  <c r="AL147" i="20"/>
  <c r="M112" i="27"/>
  <c r="S13" i="18"/>
  <c r="S31" i="18"/>
  <c r="O259" i="20"/>
  <c r="P178" i="20"/>
  <c r="N120" i="27"/>
  <c r="N135" i="27" s="1"/>
  <c r="N150" i="27" s="1"/>
  <c r="N174" i="27" s="1"/>
  <c r="Y111" i="20"/>
  <c r="Y47" i="29"/>
  <c r="Y48" i="29" s="1"/>
  <c r="W108" i="20"/>
  <c r="AE571" i="10"/>
  <c r="AF434" i="10"/>
  <c r="AJ434" i="21" s="1"/>
  <c r="AF53" i="10"/>
  <c r="AE574" i="10"/>
  <c r="W269" i="20"/>
  <c r="AE458" i="21"/>
  <c r="H111" i="20"/>
  <c r="S111" i="20" s="1"/>
  <c r="AA24" i="10"/>
  <c r="H220" i="20"/>
  <c r="P31" i="10"/>
  <c r="AH32" i="10"/>
  <c r="AH21" i="10" s="1"/>
  <c r="AH24" i="10" s="1"/>
  <c r="AI161" i="12"/>
  <c r="AI458" i="12" s="1"/>
  <c r="AL458" i="21" s="1"/>
  <c r="Y220" i="20"/>
  <c r="Y224" i="20" s="1"/>
  <c r="Y285" i="20" s="1"/>
  <c r="AG31" i="10"/>
  <c r="AT19" i="10"/>
  <c r="AS21" i="10"/>
  <c r="AS24" i="10" s="1"/>
  <c r="K53" i="27"/>
  <c r="AI285" i="20"/>
  <c r="AR31" i="10"/>
  <c r="AS107" i="12" s="1"/>
  <c r="AJ220" i="20"/>
  <c r="AJ224" i="20" s="1"/>
  <c r="AR161" i="12"/>
  <c r="AR458" i="12" s="1"/>
  <c r="AU458" i="21" s="1"/>
  <c r="AQ32" i="10"/>
  <c r="AW26" i="10"/>
  <c r="AO222" i="20" s="1"/>
  <c r="AX8" i="10"/>
  <c r="S117" i="8"/>
  <c r="T116" i="8" s="1"/>
  <c r="N156" i="20"/>
  <c r="M256" i="20"/>
  <c r="M278" i="20" s="1"/>
  <c r="AS92" i="3"/>
  <c r="AS223" i="3" s="1"/>
  <c r="AM208" i="20"/>
  <c r="N516" i="19"/>
  <c r="N479" i="19"/>
  <c r="T479" i="21" s="1"/>
  <c r="M25" i="20"/>
  <c r="N482" i="19"/>
  <c r="T482" i="21" s="1"/>
  <c r="N485" i="19"/>
  <c r="T485" i="21" s="1"/>
  <c r="S30" i="18"/>
  <c r="AP4" i="29"/>
  <c r="R142" i="8"/>
  <c r="R501" i="8"/>
  <c r="W501" i="21" s="1"/>
  <c r="W8" i="12"/>
  <c r="W10" i="12" s="1"/>
  <c r="M359" i="20"/>
  <c r="X22" i="12"/>
  <c r="N371" i="20"/>
  <c r="O14" i="19"/>
  <c r="O17" i="19" s="1"/>
  <c r="O22" i="19" s="1"/>
  <c r="K254" i="20"/>
  <c r="L154" i="20"/>
  <c r="AA35" i="29"/>
  <c r="AA46" i="29" s="1"/>
  <c r="Z46" i="29"/>
  <c r="Z45" i="29" s="1"/>
  <c r="V23" i="3"/>
  <c r="U24" i="3"/>
  <c r="M42" i="20"/>
  <c r="W135" i="12"/>
  <c r="AW25" i="10"/>
  <c r="AO221" i="20" s="1"/>
  <c r="AX6" i="10"/>
  <c r="U115" i="8"/>
  <c r="AN2" i="29"/>
  <c r="AN2" i="28"/>
  <c r="AV5" i="9"/>
  <c r="AV4" i="10"/>
  <c r="AM2" i="13"/>
  <c r="AT2" i="17"/>
  <c r="AT6" i="19"/>
  <c r="AT2" i="5"/>
  <c r="AT2" i="3"/>
  <c r="P4" i="27"/>
  <c r="AW4" i="12"/>
  <c r="AU2" i="8"/>
  <c r="AT2" i="6"/>
  <c r="AU4" i="18"/>
  <c r="AZ7" i="21"/>
  <c r="S14" i="18"/>
  <c r="N50" i="19"/>
  <c r="N474" i="19"/>
  <c r="T474" i="21" s="1"/>
  <c r="M41" i="20"/>
  <c r="T3" i="17"/>
  <c r="S3" i="3"/>
  <c r="M24" i="20"/>
  <c r="AA27" i="29"/>
  <c r="Y53" i="12"/>
  <c r="O390" i="20"/>
  <c r="X54" i="12"/>
  <c r="AE3" i="17"/>
  <c r="AD3" i="3"/>
  <c r="AW28" i="10"/>
  <c r="AO223" i="20" s="1"/>
  <c r="AX16" i="10"/>
  <c r="S70" i="8"/>
  <c r="S139" i="8"/>
  <c r="O31" i="27"/>
  <c r="O48" i="27"/>
  <c r="O67" i="27"/>
  <c r="O85" i="27"/>
  <c r="O97" i="27" s="1"/>
  <c r="O108" i="27" s="1"/>
  <c r="H131" i="20" l="1"/>
  <c r="I131" i="20" s="1"/>
  <c r="J131" i="20" s="1"/>
  <c r="K131" i="20" s="1"/>
  <c r="L131" i="20" s="1"/>
  <c r="M131" i="20" s="1"/>
  <c r="N131" i="20" s="1"/>
  <c r="O131" i="20" s="1"/>
  <c r="P131" i="20" s="1"/>
  <c r="Q131" i="20" s="1"/>
  <c r="R131" i="20" s="1"/>
  <c r="T131" i="20" s="1"/>
  <c r="U131" i="20" s="1"/>
  <c r="V131" i="20" s="1"/>
  <c r="W131" i="20" s="1"/>
  <c r="X131" i="20" s="1"/>
  <c r="Y131" i="20" s="1"/>
  <c r="H134" i="20"/>
  <c r="I134" i="20" s="1"/>
  <c r="J134" i="20" s="1"/>
  <c r="K134" i="20" s="1"/>
  <c r="L134" i="20" s="1"/>
  <c r="M134" i="20" s="1"/>
  <c r="N134" i="20" s="1"/>
  <c r="O134" i="20" s="1"/>
  <c r="P134" i="20" s="1"/>
  <c r="Q134" i="20" s="1"/>
  <c r="R134" i="20" s="1"/>
  <c r="AB57" i="29"/>
  <c r="AB53" i="29"/>
  <c r="AW163" i="12"/>
  <c r="AW460" i="12" s="1"/>
  <c r="AN112" i="20" s="1"/>
  <c r="AN379" i="20"/>
  <c r="AW42" i="12"/>
  <c r="AN380" i="20" s="1"/>
  <c r="AY37" i="12"/>
  <c r="AN173" i="20"/>
  <c r="P19" i="27" s="1"/>
  <c r="AX40" i="12"/>
  <c r="AO377" i="20"/>
  <c r="P100" i="27"/>
  <c r="Y46" i="12"/>
  <c r="AA45" i="12"/>
  <c r="Z46" i="12"/>
  <c r="Q397" i="20"/>
  <c r="L362" i="20"/>
  <c r="L361" i="20" s="1"/>
  <c r="T13" i="17"/>
  <c r="T104" i="3" s="1"/>
  <c r="T234" i="3" s="1"/>
  <c r="AH33" i="10"/>
  <c r="Z132" i="20" s="1"/>
  <c r="X30" i="12"/>
  <c r="U13" i="17" s="1"/>
  <c r="AX183" i="9"/>
  <c r="AX558" i="9" s="1"/>
  <c r="M4" i="32"/>
  <c r="AM147" i="20"/>
  <c r="N112" i="27"/>
  <c r="AM140" i="20"/>
  <c r="N110" i="27"/>
  <c r="T30" i="18"/>
  <c r="T13" i="18"/>
  <c r="T14" i="18"/>
  <c r="O120" i="27"/>
  <c r="O135" i="27" s="1"/>
  <c r="O150" i="27" s="1"/>
  <c r="O174" i="27" s="1"/>
  <c r="P259" i="20"/>
  <c r="Q178" i="20"/>
  <c r="AI111" i="20"/>
  <c r="Z111" i="20"/>
  <c r="AG434" i="10"/>
  <c r="AK434" i="21" s="1"/>
  <c r="Z47" i="29"/>
  <c r="Z48" i="29" s="1"/>
  <c r="AF571" i="10"/>
  <c r="AE575" i="10"/>
  <c r="X269" i="20"/>
  <c r="AF574" i="10"/>
  <c r="AI32" i="10"/>
  <c r="AI21" i="10" s="1"/>
  <c r="AI24" i="10" s="1"/>
  <c r="AJ161" i="12"/>
  <c r="AJ458" i="12" s="1"/>
  <c r="AM458" i="21" s="1"/>
  <c r="Z220" i="20"/>
  <c r="Z224" i="20" s="1"/>
  <c r="Z285" i="20" s="1"/>
  <c r="AH31" i="10"/>
  <c r="S220" i="20"/>
  <c r="H224" i="20"/>
  <c r="AA31" i="10"/>
  <c r="AA34" i="10" s="1"/>
  <c r="AJ285" i="20"/>
  <c r="L53" i="27"/>
  <c r="AK220" i="20"/>
  <c r="AK224" i="20" s="1"/>
  <c r="AS31" i="10"/>
  <c r="AT107" i="12" s="1"/>
  <c r="AS161" i="12"/>
  <c r="AS458" i="12" s="1"/>
  <c r="AV458" i="21" s="1"/>
  <c r="AR32" i="10"/>
  <c r="AT21" i="10"/>
  <c r="AT24" i="10" s="1"/>
  <c r="AU19" i="10"/>
  <c r="AX26" i="10"/>
  <c r="AP222" i="20" s="1"/>
  <c r="AY8" i="10"/>
  <c r="T117" i="8"/>
  <c r="U116" i="8" s="1"/>
  <c r="O156" i="20"/>
  <c r="N256" i="20"/>
  <c r="N278" i="20" s="1"/>
  <c r="AN208" i="20"/>
  <c r="AT92" i="3"/>
  <c r="AT223" i="3" s="1"/>
  <c r="S142" i="8"/>
  <c r="S501" i="8"/>
  <c r="X501" i="21" s="1"/>
  <c r="AX28" i="10"/>
  <c r="AP223" i="20" s="1"/>
  <c r="AY16" i="10"/>
  <c r="AD3" i="17"/>
  <c r="AC3" i="3"/>
  <c r="Z53" i="12"/>
  <c r="P390" i="20"/>
  <c r="Y54" i="12"/>
  <c r="N24" i="20"/>
  <c r="S3" i="17"/>
  <c r="S13" i="17" s="1"/>
  <c r="S104" i="3" s="1"/>
  <c r="S234" i="3" s="1"/>
  <c r="R3" i="3"/>
  <c r="N571" i="19"/>
  <c r="AO2" i="29"/>
  <c r="Q4" i="27"/>
  <c r="AX4" i="12"/>
  <c r="AV2" i="8"/>
  <c r="AU2" i="6"/>
  <c r="AV4" i="18"/>
  <c r="BA7" i="21"/>
  <c r="AO2" i="28"/>
  <c r="AW5" i="9"/>
  <c r="AW4" i="10"/>
  <c r="AN2" i="13"/>
  <c r="AU2" i="17"/>
  <c r="AU6" i="19"/>
  <c r="AU2" i="5"/>
  <c r="AU2" i="3"/>
  <c r="V115" i="8"/>
  <c r="X135" i="12"/>
  <c r="N42" i="20"/>
  <c r="V24" i="3"/>
  <c r="W23" i="3"/>
  <c r="AA47" i="29"/>
  <c r="L254" i="20"/>
  <c r="M154" i="20"/>
  <c r="O39" i="19"/>
  <c r="O44" i="19"/>
  <c r="O48" i="19"/>
  <c r="O42" i="19"/>
  <c r="O46" i="19"/>
  <c r="V50" i="3"/>
  <c r="V72" i="3" s="1"/>
  <c r="AB27" i="29"/>
  <c r="N41" i="20"/>
  <c r="N575" i="19"/>
  <c r="P31" i="27"/>
  <c r="P48" i="27"/>
  <c r="P67" i="27"/>
  <c r="P85" i="27"/>
  <c r="P97" i="27" s="1"/>
  <c r="P108" i="27" s="1"/>
  <c r="T70" i="8"/>
  <c r="T139" i="8"/>
  <c r="AX25" i="10"/>
  <c r="AP221" i="20" s="1"/>
  <c r="AY6" i="10"/>
  <c r="T31" i="18"/>
  <c r="AA45" i="29"/>
  <c r="AB35" i="29"/>
  <c r="AB46" i="29" s="1"/>
  <c r="P10" i="19"/>
  <c r="I153" i="20"/>
  <c r="I276" i="20" s="1"/>
  <c r="O371" i="20"/>
  <c r="Y22" i="12"/>
  <c r="N359" i="20"/>
  <c r="X8" i="12"/>
  <c r="AQ4" i="29"/>
  <c r="N25" i="20"/>
  <c r="S134" i="20" l="1"/>
  <c r="T134" i="20"/>
  <c r="U134" i="20" s="1"/>
  <c r="V134" i="20" s="1"/>
  <c r="W134" i="20" s="1"/>
  <c r="X134" i="20" s="1"/>
  <c r="Z131" i="20"/>
  <c r="AC57" i="29"/>
  <c r="AC53" i="29"/>
  <c r="AX42" i="12"/>
  <c r="AO380" i="20" s="1"/>
  <c r="AX163" i="12"/>
  <c r="AX460" i="12" s="1"/>
  <c r="AO112" i="20" s="1"/>
  <c r="AO379" i="20"/>
  <c r="AY40" i="12"/>
  <c r="AP377" i="20"/>
  <c r="Q100" i="27"/>
  <c r="AZ37" i="12"/>
  <c r="AO173" i="20"/>
  <c r="Q19" i="27" s="1"/>
  <c r="AC45" i="12"/>
  <c r="AA46" i="12"/>
  <c r="R397" i="20"/>
  <c r="AB45" i="29"/>
  <c r="AI33" i="10"/>
  <c r="AA132" i="20" s="1"/>
  <c r="X10" i="12"/>
  <c r="X12" i="12" s="1"/>
  <c r="Y30" i="12"/>
  <c r="V13" i="17" s="1"/>
  <c r="U104" i="3"/>
  <c r="U234" i="3" s="1"/>
  <c r="AY183" i="9"/>
  <c r="AY558" i="9" s="1"/>
  <c r="N4" i="32"/>
  <c r="AN140" i="20"/>
  <c r="O110" i="27"/>
  <c r="AN147" i="20"/>
  <c r="O112" i="27"/>
  <c r="U30" i="18"/>
  <c r="U31" i="18"/>
  <c r="Q259" i="20"/>
  <c r="R178" i="20"/>
  <c r="P120" i="27"/>
  <c r="P135" i="27" s="1"/>
  <c r="P150" i="27" s="1"/>
  <c r="P174" i="27" s="1"/>
  <c r="AG53" i="10"/>
  <c r="AJ111" i="20"/>
  <c r="AA111" i="20"/>
  <c r="AA48" i="29"/>
  <c r="AA63" i="29" s="1"/>
  <c r="AF575" i="10"/>
  <c r="Y108" i="20"/>
  <c r="AG571" i="10"/>
  <c r="X108" i="20"/>
  <c r="H133" i="20"/>
  <c r="H135" i="20" s="1"/>
  <c r="AA220" i="20"/>
  <c r="AA224" i="20" s="1"/>
  <c r="AA285" i="20" s="1"/>
  <c r="AI31" i="10"/>
  <c r="H285" i="20"/>
  <c r="S285" i="20" s="1"/>
  <c r="S224" i="20"/>
  <c r="G53" i="27" s="1"/>
  <c r="AV19" i="10"/>
  <c r="AU21" i="10"/>
  <c r="AU24" i="10" s="1"/>
  <c r="AS32" i="10"/>
  <c r="AT161" i="12"/>
  <c r="AT458" i="12" s="1"/>
  <c r="AW458" i="21" s="1"/>
  <c r="AT31" i="10"/>
  <c r="AU107" i="12" s="1"/>
  <c r="AL220" i="20"/>
  <c r="AL224" i="20" s="1"/>
  <c r="M53" i="27"/>
  <c r="AK285" i="20"/>
  <c r="AY26" i="10"/>
  <c r="AQ222" i="20" s="1"/>
  <c r="U117" i="8"/>
  <c r="V116" i="8" s="1"/>
  <c r="P156" i="20"/>
  <c r="O256" i="20"/>
  <c r="O278" i="20" s="1"/>
  <c r="AO208" i="20"/>
  <c r="AU92" i="3"/>
  <c r="AU223" i="3" s="1"/>
  <c r="U14" i="18"/>
  <c r="Y8" i="12"/>
  <c r="Y10" i="12" s="1"/>
  <c r="O359" i="20"/>
  <c r="Z22" i="12"/>
  <c r="P371" i="20"/>
  <c r="AC35" i="29"/>
  <c r="AC46" i="29" s="1"/>
  <c r="V189" i="3"/>
  <c r="O41" i="20"/>
  <c r="O479" i="19"/>
  <c r="U479" i="21" s="1"/>
  <c r="O482" i="19"/>
  <c r="U482" i="21" s="1"/>
  <c r="N154" i="20"/>
  <c r="M254" i="20"/>
  <c r="X23" i="3"/>
  <c r="W24" i="3"/>
  <c r="Y135" i="12"/>
  <c r="U70" i="8"/>
  <c r="U139" i="8"/>
  <c r="Q31" i="27"/>
  <c r="Q48" i="27"/>
  <c r="Q67" i="27"/>
  <c r="Q85" i="27"/>
  <c r="Q97" i="27" s="1"/>
  <c r="Q108" i="27" s="1"/>
  <c r="U13" i="18"/>
  <c r="AA53" i="12"/>
  <c r="Q390" i="20"/>
  <c r="Z54" i="12"/>
  <c r="T142" i="8"/>
  <c r="T501" i="8"/>
  <c r="Y501" i="21" s="1"/>
  <c r="V171" i="3"/>
  <c r="O25" i="20"/>
  <c r="P14" i="19"/>
  <c r="P17" i="19" s="1"/>
  <c r="P22" i="19" s="1"/>
  <c r="AY25" i="10"/>
  <c r="AQ221" i="20" s="1"/>
  <c r="AC27" i="29"/>
  <c r="W50" i="3"/>
  <c r="W72" i="3" s="1"/>
  <c r="O485" i="19"/>
  <c r="U485" i="21" s="1"/>
  <c r="O516" i="19"/>
  <c r="O50" i="19"/>
  <c r="O474" i="19"/>
  <c r="U474" i="21" s="1"/>
  <c r="V190" i="3"/>
  <c r="O42" i="20"/>
  <c r="W115" i="8"/>
  <c r="AP2" i="29"/>
  <c r="O4" i="32"/>
  <c r="AO2" i="13"/>
  <c r="AP2" i="13" s="1"/>
  <c r="AQ2" i="13" s="1"/>
  <c r="AR2" i="13" s="1"/>
  <c r="AS2" i="13" s="1"/>
  <c r="AT2" i="13" s="1"/>
  <c r="AU2" i="13" s="1"/>
  <c r="AV2" i="13" s="1"/>
  <c r="AW2" i="13" s="1"/>
  <c r="AX2" i="13" s="1"/>
  <c r="AY2" i="13" s="1"/>
  <c r="AZ2" i="13" s="1"/>
  <c r="BA2" i="13" s="1"/>
  <c r="BB2" i="13" s="1"/>
  <c r="BC2" i="13" s="1"/>
  <c r="BD2" i="13" s="1"/>
  <c r="BE2" i="13" s="1"/>
  <c r="BF2" i="13" s="1"/>
  <c r="BG2" i="13" s="1"/>
  <c r="BH2" i="13" s="1"/>
  <c r="BI2" i="13" s="1"/>
  <c r="BJ2" i="13" s="1"/>
  <c r="AP2" i="28"/>
  <c r="AX5" i="9"/>
  <c r="AX4" i="10"/>
  <c r="AV2" i="17"/>
  <c r="AV6" i="19"/>
  <c r="AV2" i="5"/>
  <c r="AV2" i="3"/>
  <c r="AY4" i="12"/>
  <c r="R4" i="27"/>
  <c r="AW2" i="8"/>
  <c r="AV2" i="6"/>
  <c r="AW4" i="18"/>
  <c r="BB7" i="21"/>
  <c r="N576" i="19"/>
  <c r="R3" i="17"/>
  <c r="Q3" i="3"/>
  <c r="V170" i="3"/>
  <c r="O24" i="20"/>
  <c r="AC3" i="17"/>
  <c r="AB3" i="3"/>
  <c r="AY28" i="10"/>
  <c r="AQ223" i="20" s="1"/>
  <c r="AA131" i="20" l="1"/>
  <c r="Y269" i="20"/>
  <c r="Y134" i="20"/>
  <c r="AD57" i="29"/>
  <c r="AD53" i="29"/>
  <c r="V208" i="3"/>
  <c r="AY42" i="12"/>
  <c r="AP380" i="20" s="1"/>
  <c r="AY163" i="12"/>
  <c r="AY460" i="12" s="1"/>
  <c r="AP112" i="20" s="1"/>
  <c r="AP379" i="20"/>
  <c r="AZ40" i="12"/>
  <c r="AQ377" i="20"/>
  <c r="R100" i="27"/>
  <c r="BA37" i="12"/>
  <c r="AP173" i="20"/>
  <c r="R19" i="27" s="1"/>
  <c r="AD45" i="12"/>
  <c r="T397" i="20"/>
  <c r="AF397" i="20" s="1"/>
  <c r="AB48" i="12"/>
  <c r="O362" i="20"/>
  <c r="O361" i="20" s="1"/>
  <c r="AG574" i="10"/>
  <c r="AZ4" i="12"/>
  <c r="AB47" i="29"/>
  <c r="AB48" i="29" s="1"/>
  <c r="R13" i="17"/>
  <c r="R104" i="3" s="1"/>
  <c r="R234" i="3" s="1"/>
  <c r="AJ33" i="10"/>
  <c r="AB132" i="20" s="1"/>
  <c r="Z30" i="12"/>
  <c r="W13" i="17" s="1"/>
  <c r="V104" i="3"/>
  <c r="V234" i="3" s="1"/>
  <c r="AO147" i="20"/>
  <c r="P112" i="27"/>
  <c r="AO140" i="20"/>
  <c r="P110" i="27"/>
  <c r="V14" i="18"/>
  <c r="V13" i="18"/>
  <c r="V30" i="18"/>
  <c r="Q120" i="27"/>
  <c r="Q135" i="27" s="1"/>
  <c r="Q150" i="27" s="1"/>
  <c r="Q174" i="27" s="1"/>
  <c r="R259" i="20"/>
  <c r="S259" i="20" s="1"/>
  <c r="S178" i="20"/>
  <c r="T178" i="20"/>
  <c r="AK111" i="20"/>
  <c r="AQ2" i="28"/>
  <c r="AH434" i="10"/>
  <c r="AL434" i="21" s="1"/>
  <c r="AH53" i="10"/>
  <c r="AG575" i="10"/>
  <c r="AK32" i="10"/>
  <c r="AK21" i="10" s="1"/>
  <c r="AK24" i="10" s="1"/>
  <c r="AL161" i="12"/>
  <c r="AL458" i="12" s="1"/>
  <c r="AO458" i="21" s="1"/>
  <c r="I133" i="20"/>
  <c r="I135" i="20" s="1"/>
  <c r="AJ32" i="10"/>
  <c r="AJ21" i="10" s="1"/>
  <c r="AJ24" i="10" s="1"/>
  <c r="AK161" i="12"/>
  <c r="AK458" i="12" s="1"/>
  <c r="AN458" i="21" s="1"/>
  <c r="N53" i="27"/>
  <c r="AL285" i="20"/>
  <c r="AU31" i="10"/>
  <c r="AV107" i="12" s="1"/>
  <c r="AM220" i="20"/>
  <c r="AM224" i="20" s="1"/>
  <c r="AT32" i="10"/>
  <c r="AU161" i="12"/>
  <c r="AU458" i="12" s="1"/>
  <c r="AX458" i="21" s="1"/>
  <c r="AW19" i="10"/>
  <c r="AV21" i="10"/>
  <c r="AV24" i="10" s="1"/>
  <c r="V117" i="8"/>
  <c r="W116" i="8" s="1"/>
  <c r="P256" i="20"/>
  <c r="P278" i="20" s="1"/>
  <c r="Q156" i="20"/>
  <c r="AV92" i="3"/>
  <c r="AV223" i="3" s="1"/>
  <c r="AP208" i="20"/>
  <c r="Q10" i="19"/>
  <c r="J153" i="20"/>
  <c r="J276" i="20" s="1"/>
  <c r="AB3" i="17"/>
  <c r="AA3" i="3"/>
  <c r="W170" i="3"/>
  <c r="P24" i="20"/>
  <c r="AQ2" i="29"/>
  <c r="S4" i="27"/>
  <c r="AX2" i="8"/>
  <c r="AW2" i="6"/>
  <c r="AX4" i="18"/>
  <c r="AY5" i="9"/>
  <c r="AY4" i="10"/>
  <c r="AW2" i="17"/>
  <c r="AW6" i="19"/>
  <c r="AW2" i="5"/>
  <c r="AW2" i="3"/>
  <c r="BC7" i="21"/>
  <c r="V70" i="8"/>
  <c r="V139" i="8"/>
  <c r="W190" i="3"/>
  <c r="P42" i="20"/>
  <c r="O571" i="19"/>
  <c r="W171" i="3"/>
  <c r="P25" i="20"/>
  <c r="AC53" i="12"/>
  <c r="R390" i="20"/>
  <c r="AA54" i="12"/>
  <c r="W189" i="3"/>
  <c r="P41" i="20"/>
  <c r="AC45" i="29"/>
  <c r="AD35" i="29"/>
  <c r="AD46" i="29" s="1"/>
  <c r="Q3" i="17"/>
  <c r="Q13" i="17" s="1"/>
  <c r="P3" i="3"/>
  <c r="R31" i="27"/>
  <c r="R48" i="27"/>
  <c r="R67" i="27"/>
  <c r="R85" i="27"/>
  <c r="R97" i="27" s="1"/>
  <c r="R108" i="27" s="1"/>
  <c r="X115" i="8"/>
  <c r="V31" i="18"/>
  <c r="O575" i="19"/>
  <c r="X50" i="3"/>
  <c r="X72" i="3" s="1"/>
  <c r="AD27" i="29"/>
  <c r="P42" i="19"/>
  <c r="P46" i="19"/>
  <c r="P39" i="19"/>
  <c r="P44" i="19"/>
  <c r="P48" i="19"/>
  <c r="U142" i="8"/>
  <c r="U501" i="8"/>
  <c r="Z501" i="21" s="1"/>
  <c r="Z135" i="12"/>
  <c r="X24" i="3"/>
  <c r="Z23" i="3"/>
  <c r="O154" i="20"/>
  <c r="N254" i="20"/>
  <c r="AC47" i="29"/>
  <c r="AC48" i="29" s="1"/>
  <c r="Q371" i="20"/>
  <c r="AA22" i="12"/>
  <c r="AB23" i="12" s="1"/>
  <c r="P359" i="20"/>
  <c r="Z8" i="12"/>
  <c r="Z10" i="12" s="1"/>
  <c r="Z134" i="20" l="1"/>
  <c r="AE57" i="29"/>
  <c r="AE53" i="29"/>
  <c r="W208" i="3"/>
  <c r="AZ42" i="12"/>
  <c r="AQ380" i="20" s="1"/>
  <c r="AZ163" i="12"/>
  <c r="AZ460" i="12" s="1"/>
  <c r="AQ112" i="20" s="1"/>
  <c r="AQ379" i="20"/>
  <c r="BA40" i="12"/>
  <c r="S100" i="27"/>
  <c r="BB37" i="12"/>
  <c r="AQ173" i="20"/>
  <c r="S19" i="27" s="1"/>
  <c r="AC46" i="12"/>
  <c r="AE45" i="12"/>
  <c r="AD46" i="12"/>
  <c r="U397" i="20"/>
  <c r="BA4" i="12"/>
  <c r="Z50" i="3"/>
  <c r="Z72" i="3" s="1"/>
  <c r="AK33" i="10"/>
  <c r="AC132" i="20" s="1"/>
  <c r="AA30" i="12"/>
  <c r="X13" i="17" s="1"/>
  <c r="W104" i="3"/>
  <c r="W234" i="3" s="1"/>
  <c r="Q104" i="3"/>
  <c r="Q234" i="3" s="1"/>
  <c r="AP140" i="20"/>
  <c r="Q110" i="27"/>
  <c r="AP147" i="20"/>
  <c r="Q112" i="27"/>
  <c r="W30" i="18"/>
  <c r="W13" i="18"/>
  <c r="W14" i="18"/>
  <c r="W31" i="18"/>
  <c r="T259" i="20"/>
  <c r="U178" i="20"/>
  <c r="R120" i="27"/>
  <c r="R135" i="27" s="1"/>
  <c r="R150" i="27" s="1"/>
  <c r="R174" i="27" s="1"/>
  <c r="AC111" i="20"/>
  <c r="AL111" i="20"/>
  <c r="AB111" i="20"/>
  <c r="AH574" i="10"/>
  <c r="Z269" i="20"/>
  <c r="AI434" i="10"/>
  <c r="AM434" i="21" s="1"/>
  <c r="AI53" i="10"/>
  <c r="AH571" i="10"/>
  <c r="AH575" i="10" s="1"/>
  <c r="AB220" i="20"/>
  <c r="AB224" i="20" s="1"/>
  <c r="AB285" i="20" s="1"/>
  <c r="AJ31" i="10"/>
  <c r="AB131" i="20" s="1"/>
  <c r="AC220" i="20"/>
  <c r="AC224" i="20" s="1"/>
  <c r="AC285" i="20" s="1"/>
  <c r="AK31" i="10"/>
  <c r="J133" i="20"/>
  <c r="J135" i="20" s="1"/>
  <c r="AV31" i="10"/>
  <c r="AW107" i="12" s="1"/>
  <c r="AN220" i="20"/>
  <c r="AN224" i="20" s="1"/>
  <c r="O53" i="27"/>
  <c r="AM285" i="20"/>
  <c r="AW21" i="10"/>
  <c r="AW24" i="10" s="1"/>
  <c r="AX19" i="10"/>
  <c r="AV161" i="12"/>
  <c r="AV458" i="12" s="1"/>
  <c r="AY458" i="21" s="1"/>
  <c r="AU32" i="10"/>
  <c r="W117" i="8"/>
  <c r="X116" i="8" s="1"/>
  <c r="Q256" i="20"/>
  <c r="Q278" i="20" s="1"/>
  <c r="R156" i="20"/>
  <c r="AQ208" i="20"/>
  <c r="AW92" i="3"/>
  <c r="AW223" i="3" s="1"/>
  <c r="O254" i="20"/>
  <c r="P154" i="20"/>
  <c r="P516" i="19"/>
  <c r="P50" i="19"/>
  <c r="P474" i="19"/>
  <c r="V474" i="21" s="1"/>
  <c r="P479" i="19"/>
  <c r="V479" i="21" s="1"/>
  <c r="Y115" i="8"/>
  <c r="AE35" i="29"/>
  <c r="AE46" i="29" s="1"/>
  <c r="AG57" i="29" s="1"/>
  <c r="AD45" i="29"/>
  <c r="X171" i="3"/>
  <c r="Q25" i="20"/>
  <c r="X190" i="3"/>
  <c r="Q42" i="20"/>
  <c r="V142" i="8"/>
  <c r="V501" i="8"/>
  <c r="AA501" i="21" s="1"/>
  <c r="X170" i="3"/>
  <c r="Q24" i="20"/>
  <c r="AA8" i="12"/>
  <c r="Q359" i="20"/>
  <c r="AC22" i="12"/>
  <c r="R371" i="20"/>
  <c r="AA23" i="3"/>
  <c r="Z24" i="3"/>
  <c r="AA135" i="12"/>
  <c r="P482" i="19"/>
  <c r="V482" i="21" s="1"/>
  <c r="P485" i="19"/>
  <c r="V485" i="21" s="1"/>
  <c r="AE27" i="29"/>
  <c r="AG27" i="29" s="1"/>
  <c r="W70" i="8"/>
  <c r="W139" i="8"/>
  <c r="P3" i="17"/>
  <c r="P13" i="17" s="1"/>
  <c r="O3" i="3"/>
  <c r="AD47" i="29"/>
  <c r="AD48" i="29" s="1"/>
  <c r="X189" i="3"/>
  <c r="X208" i="3" s="1"/>
  <c r="Q41" i="20"/>
  <c r="AD53" i="12"/>
  <c r="T390" i="20"/>
  <c r="AF390" i="20" s="1"/>
  <c r="AC54" i="12"/>
  <c r="O576" i="19"/>
  <c r="S31" i="27"/>
  <c r="S48" i="27"/>
  <c r="S67" i="27"/>
  <c r="S85" i="27"/>
  <c r="S97" i="27" s="1"/>
  <c r="S108" i="27" s="1"/>
  <c r="AA3" i="17"/>
  <c r="Z3" i="3"/>
  <c r="Z3" i="17" s="1"/>
  <c r="Q14" i="19"/>
  <c r="Q17" i="19" s="1"/>
  <c r="AC131" i="20" l="1"/>
  <c r="AA134" i="20"/>
  <c r="BA42" i="12"/>
  <c r="BA163" i="12"/>
  <c r="BA460" i="12" s="1"/>
  <c r="BB40" i="12"/>
  <c r="BC37" i="12"/>
  <c r="AF45" i="12"/>
  <c r="AE46" i="12"/>
  <c r="V397" i="20"/>
  <c r="BB4" i="12"/>
  <c r="AA50" i="3"/>
  <c r="AA72" i="3" s="1"/>
  <c r="AL33" i="10"/>
  <c r="AD132" i="20" s="1"/>
  <c r="AA10" i="12"/>
  <c r="AC8" i="12"/>
  <c r="AD8" i="12" s="1"/>
  <c r="AC30" i="12"/>
  <c r="AD30" i="12" s="1"/>
  <c r="AE30" i="12" s="1"/>
  <c r="AF30" i="12" s="1"/>
  <c r="AG30" i="12" s="1"/>
  <c r="AH30" i="12" s="1"/>
  <c r="AI30" i="12" s="1"/>
  <c r="AJ30" i="12" s="1"/>
  <c r="AK30" i="12" s="1"/>
  <c r="AL30" i="12" s="1"/>
  <c r="AM30" i="12" s="1"/>
  <c r="AN30" i="12" s="1"/>
  <c r="AP30" i="12" s="1"/>
  <c r="AQ30" i="12" s="1"/>
  <c r="AR30" i="12" s="1"/>
  <c r="AS30" i="12" s="1"/>
  <c r="AT30" i="12" s="1"/>
  <c r="AU30" i="12" s="1"/>
  <c r="AV30" i="12" s="1"/>
  <c r="AW30" i="12" s="1"/>
  <c r="AX30" i="12" s="1"/>
  <c r="AY30" i="12" s="1"/>
  <c r="AZ30" i="12" s="1"/>
  <c r="BA30" i="12" s="1"/>
  <c r="BB30" i="12" s="1"/>
  <c r="BC30" i="12" s="1"/>
  <c r="BD30" i="12" s="1"/>
  <c r="BE30" i="12" s="1"/>
  <c r="BF30" i="12" s="1"/>
  <c r="BG30" i="12" s="1"/>
  <c r="BH30" i="12" s="1"/>
  <c r="BI30" i="12" s="1"/>
  <c r="BJ30" i="12" s="1"/>
  <c r="BK30" i="12" s="1"/>
  <c r="BL30" i="12" s="1"/>
  <c r="BM30" i="12" s="1"/>
  <c r="BN30" i="12" s="1"/>
  <c r="BO30" i="12" s="1"/>
  <c r="BP30" i="12" s="1"/>
  <c r="BQ30" i="12" s="1"/>
  <c r="X104" i="3"/>
  <c r="X234" i="3" s="1"/>
  <c r="AQ147" i="20"/>
  <c r="R112" i="27"/>
  <c r="AQ140" i="20"/>
  <c r="R110" i="27"/>
  <c r="X31" i="18"/>
  <c r="X14" i="18"/>
  <c r="X30" i="18"/>
  <c r="X13" i="18"/>
  <c r="V178" i="20"/>
  <c r="U259" i="20"/>
  <c r="S120" i="27"/>
  <c r="S135" i="27" s="1"/>
  <c r="S150" i="27" s="1"/>
  <c r="S174" i="27" s="1"/>
  <c r="AM111" i="20"/>
  <c r="AA269" i="20"/>
  <c r="AI574" i="10"/>
  <c r="AJ434" i="10"/>
  <c r="AN434" i="21" s="1"/>
  <c r="AJ53" i="10"/>
  <c r="Z108" i="20"/>
  <c r="AA108" i="20"/>
  <c r="AI571" i="10"/>
  <c r="AF39" i="29"/>
  <c r="K133" i="20"/>
  <c r="K135" i="20" s="1"/>
  <c r="AY19" i="10"/>
  <c r="AX21" i="10"/>
  <c r="AX24" i="10" s="1"/>
  <c r="AL32" i="10"/>
  <c r="AM161" i="12"/>
  <c r="AN285" i="20"/>
  <c r="P53" i="27"/>
  <c r="AO220" i="20"/>
  <c r="AO224" i="20" s="1"/>
  <c r="AW31" i="10"/>
  <c r="AX107" i="12" s="1"/>
  <c r="AW161" i="12"/>
  <c r="AW458" i="12" s="1"/>
  <c r="AZ458" i="21" s="1"/>
  <c r="AV32" i="10"/>
  <c r="X117" i="8"/>
  <c r="R256" i="20"/>
  <c r="T156" i="20"/>
  <c r="S156" i="20"/>
  <c r="AE53" i="12"/>
  <c r="U390" i="20"/>
  <c r="AD54" i="12"/>
  <c r="Z189" i="3"/>
  <c r="R41" i="20"/>
  <c r="O3" i="17"/>
  <c r="N3" i="3"/>
  <c r="AC135" i="12"/>
  <c r="Z170" i="3"/>
  <c r="R24" i="20"/>
  <c r="Z190" i="3"/>
  <c r="R42" i="20"/>
  <c r="Z171" i="3"/>
  <c r="R25" i="20"/>
  <c r="AE45" i="29"/>
  <c r="AG35" i="29"/>
  <c r="AG46" i="29" s="1"/>
  <c r="P575" i="19"/>
  <c r="P254" i="20"/>
  <c r="Q154" i="20"/>
  <c r="Q39" i="19"/>
  <c r="Q44" i="19"/>
  <c r="Q48" i="19"/>
  <c r="Q42" i="19"/>
  <c r="Q46" i="19"/>
  <c r="Q22" i="19"/>
  <c r="P104" i="3"/>
  <c r="W142" i="8"/>
  <c r="W501" i="8"/>
  <c r="AB501" i="21" s="1"/>
  <c r="AH27" i="29"/>
  <c r="AB23" i="3"/>
  <c r="AA24" i="3"/>
  <c r="AD22" i="12"/>
  <c r="T371" i="20"/>
  <c r="AF371" i="20" s="1"/>
  <c r="R359" i="20"/>
  <c r="X70" i="8"/>
  <c r="X139" i="8"/>
  <c r="P571" i="19"/>
  <c r="Z208" i="3" l="1"/>
  <c r="AB134" i="20"/>
  <c r="AH57" i="29"/>
  <c r="AG53" i="29"/>
  <c r="BC40" i="12"/>
  <c r="BC42" i="12" s="1"/>
  <c r="BD37" i="12"/>
  <c r="BB42" i="12"/>
  <c r="BB163" i="12"/>
  <c r="BB460" i="12" s="1"/>
  <c r="AG45" i="12"/>
  <c r="AF46" i="12"/>
  <c r="W397" i="20"/>
  <c r="BC4" i="12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AE47" i="29"/>
  <c r="AE48" i="29" s="1"/>
  <c r="AG55" i="29" s="1"/>
  <c r="O13" i="17"/>
  <c r="O104" i="3" s="1"/>
  <c r="O234" i="3" s="1"/>
  <c r="AG45" i="29"/>
  <c r="AA12" i="12"/>
  <c r="AB10" i="12"/>
  <c r="AM33" i="10"/>
  <c r="AE132" i="20" s="1"/>
  <c r="AF132" i="20" s="1"/>
  <c r="AE8" i="12"/>
  <c r="AE10" i="12" s="1"/>
  <c r="AD10" i="12"/>
  <c r="S110" i="27"/>
  <c r="S112" i="27"/>
  <c r="V259" i="20"/>
  <c r="W178" i="20"/>
  <c r="AN111" i="20"/>
  <c r="AI575" i="10"/>
  <c r="AP161" i="12"/>
  <c r="AP458" i="12" s="1"/>
  <c r="AS458" i="21" s="1"/>
  <c r="AO32" i="10"/>
  <c r="AO21" i="10" s="1"/>
  <c r="AO24" i="10" s="1"/>
  <c r="AB269" i="20"/>
  <c r="AJ574" i="10"/>
  <c r="AK434" i="10"/>
  <c r="AO434" i="21" s="1"/>
  <c r="AK53" i="10"/>
  <c r="AB108" i="20"/>
  <c r="AJ571" i="10"/>
  <c r="L133" i="20"/>
  <c r="L135" i="20" s="1"/>
  <c r="Q53" i="27"/>
  <c r="AO285" i="20"/>
  <c r="AM458" i="12"/>
  <c r="AP458" i="21" s="1"/>
  <c r="AX31" i="10"/>
  <c r="AY107" i="12" s="1"/>
  <c r="AP220" i="20"/>
  <c r="AP224" i="20" s="1"/>
  <c r="AX161" i="12"/>
  <c r="AX458" i="12" s="1"/>
  <c r="BA458" i="21" s="1"/>
  <c r="AW32" i="10"/>
  <c r="AY21" i="10"/>
  <c r="AY24" i="10" s="1"/>
  <c r="Y116" i="8"/>
  <c r="R154" i="20" s="1"/>
  <c r="R278" i="20"/>
  <c r="S278" i="20" s="1"/>
  <c r="S256" i="20"/>
  <c r="T256" i="20"/>
  <c r="U156" i="20"/>
  <c r="AB50" i="3"/>
  <c r="AB72" i="3" s="1"/>
  <c r="X142" i="8"/>
  <c r="X501" i="8"/>
  <c r="AC501" i="21" s="1"/>
  <c r="T359" i="20"/>
  <c r="U371" i="20"/>
  <c r="AE22" i="12"/>
  <c r="AC23" i="3"/>
  <c r="AB24" i="3"/>
  <c r="AI27" i="29"/>
  <c r="P234" i="3"/>
  <c r="Q479" i="19"/>
  <c r="W479" i="21" s="1"/>
  <c r="Q482" i="19"/>
  <c r="W482" i="21" s="1"/>
  <c r="Q254" i="20"/>
  <c r="AH35" i="29"/>
  <c r="AA171" i="3"/>
  <c r="T25" i="20"/>
  <c r="Y31" i="18"/>
  <c r="T24" i="20"/>
  <c r="AA170" i="3"/>
  <c r="Y30" i="18"/>
  <c r="P576" i="19"/>
  <c r="R10" i="19"/>
  <c r="K153" i="20"/>
  <c r="K276" i="20" s="1"/>
  <c r="Q485" i="19"/>
  <c r="W485" i="21" s="1"/>
  <c r="Q516" i="19"/>
  <c r="Q50" i="19"/>
  <c r="Q474" i="19"/>
  <c r="W474" i="21" s="1"/>
  <c r="Y14" i="18"/>
  <c r="AA190" i="3"/>
  <c r="T42" i="20"/>
  <c r="Y13" i="18"/>
  <c r="AD135" i="12"/>
  <c r="N3" i="17"/>
  <c r="M3" i="3"/>
  <c r="T41" i="20"/>
  <c r="AA189" i="3"/>
  <c r="AA208" i="3" s="1"/>
  <c r="AF53" i="12"/>
  <c r="V390" i="20"/>
  <c r="AE54" i="12"/>
  <c r="AC134" i="20" l="1"/>
  <c r="BE37" i="12"/>
  <c r="BD40" i="12"/>
  <c r="BD42" i="12" s="1"/>
  <c r="AH45" i="12"/>
  <c r="X397" i="20"/>
  <c r="R362" i="20"/>
  <c r="S362" i="20" s="1"/>
  <c r="AB12" i="12"/>
  <c r="AH46" i="29"/>
  <c r="AJ575" i="10"/>
  <c r="N13" i="17"/>
  <c r="N104" i="3" s="1"/>
  <c r="N234" i="3" s="1"/>
  <c r="R361" i="20"/>
  <c r="S361" i="20" s="1"/>
  <c r="AE12" i="12"/>
  <c r="V362" i="20" s="1"/>
  <c r="V361" i="20" s="1"/>
  <c r="X178" i="20"/>
  <c r="W259" i="20"/>
  <c r="AO111" i="20"/>
  <c r="AG111" i="20"/>
  <c r="AQ161" i="12"/>
  <c r="AQ458" i="12" s="1"/>
  <c r="AT458" i="21" s="1"/>
  <c r="AP32" i="10"/>
  <c r="AP34" i="10" s="1"/>
  <c r="AF57" i="29"/>
  <c r="AC108" i="20"/>
  <c r="AK571" i="10"/>
  <c r="AL434" i="10"/>
  <c r="AP434" i="21" s="1"/>
  <c r="AL53" i="10"/>
  <c r="AK574" i="10"/>
  <c r="AC269" i="20"/>
  <c r="AG220" i="20"/>
  <c r="AG224" i="20" s="1"/>
  <c r="AO31" i="10"/>
  <c r="AO34" i="10" s="1"/>
  <c r="M133" i="20"/>
  <c r="M135" i="20" s="1"/>
  <c r="AQ220" i="20"/>
  <c r="AQ224" i="20" s="1"/>
  <c r="AY31" i="10"/>
  <c r="AZ107" i="12" s="1"/>
  <c r="R53" i="27"/>
  <c r="AP285" i="20"/>
  <c r="AL21" i="10"/>
  <c r="AM32" i="10"/>
  <c r="AN161" i="12"/>
  <c r="AO107" i="12"/>
  <c r="AX32" i="10"/>
  <c r="AY161" i="12"/>
  <c r="AY458" i="12" s="1"/>
  <c r="BB458" i="21" s="1"/>
  <c r="Y70" i="8"/>
  <c r="Z116" i="8"/>
  <c r="Z139" i="8" s="1"/>
  <c r="Z142" i="8" s="1"/>
  <c r="Y139" i="8"/>
  <c r="Y117" i="8"/>
  <c r="AA115" i="8" s="1"/>
  <c r="V156" i="20"/>
  <c r="U256" i="20"/>
  <c r="U278" i="20" s="1"/>
  <c r="T278" i="20"/>
  <c r="U41" i="20"/>
  <c r="AB189" i="3"/>
  <c r="AE135" i="12"/>
  <c r="AA31" i="18"/>
  <c r="Q575" i="19"/>
  <c r="R14" i="19"/>
  <c r="R17" i="19" s="1"/>
  <c r="R22" i="19" s="1"/>
  <c r="AA13" i="18"/>
  <c r="AA14" i="18"/>
  <c r="AI35" i="29"/>
  <c r="R254" i="20"/>
  <c r="S154" i="20"/>
  <c r="AF22" i="12"/>
  <c r="V371" i="20"/>
  <c r="AF359" i="20"/>
  <c r="AG53" i="12"/>
  <c r="W390" i="20"/>
  <c r="AF54" i="12"/>
  <c r="AA30" i="18"/>
  <c r="M3" i="17"/>
  <c r="M154" i="3"/>
  <c r="AB190" i="3"/>
  <c r="U42" i="20"/>
  <c r="AF53" i="29"/>
  <c r="Q571" i="19"/>
  <c r="U24" i="20"/>
  <c r="AB170" i="3"/>
  <c r="AB171" i="3"/>
  <c r="U25" i="20"/>
  <c r="AJ27" i="29"/>
  <c r="AD23" i="3"/>
  <c r="AC24" i="3"/>
  <c r="U359" i="20"/>
  <c r="AC50" i="3"/>
  <c r="AC72" i="3" s="1"/>
  <c r="AB208" i="3" l="1"/>
  <c r="AH45" i="29"/>
  <c r="AI57" i="29"/>
  <c r="BF37" i="12"/>
  <c r="BE40" i="12"/>
  <c r="BE42" i="12" s="1"/>
  <c r="AG46" i="12"/>
  <c r="AI45" i="12"/>
  <c r="AH46" i="12"/>
  <c r="Y397" i="20"/>
  <c r="AI46" i="29"/>
  <c r="AG47" i="29"/>
  <c r="AG48" i="29" s="1"/>
  <c r="AH55" i="29" s="1"/>
  <c r="M13" i="17"/>
  <c r="M10" i="17"/>
  <c r="AO33" i="10"/>
  <c r="AG132" i="20" s="1"/>
  <c r="AB14" i="18"/>
  <c r="AB31" i="18"/>
  <c r="AB13" i="18"/>
  <c r="AB30" i="18"/>
  <c r="X259" i="20"/>
  <c r="Y178" i="20"/>
  <c r="AK575" i="10"/>
  <c r="AP111" i="20"/>
  <c r="AH111" i="20"/>
  <c r="AH53" i="29"/>
  <c r="AH47" i="29" s="1"/>
  <c r="AO53" i="10"/>
  <c r="AM434" i="10"/>
  <c r="AQ434" i="21" s="1"/>
  <c r="AM53" i="10"/>
  <c r="AN38" i="10"/>
  <c r="AN53" i="10" s="1"/>
  <c r="AD108" i="20"/>
  <c r="AL571" i="10"/>
  <c r="AO434" i="10"/>
  <c r="AS434" i="21" s="1"/>
  <c r="AG285" i="20"/>
  <c r="I53" i="27"/>
  <c r="AD269" i="20"/>
  <c r="AL574" i="10"/>
  <c r="N133" i="20"/>
  <c r="N135" i="20" s="1"/>
  <c r="AD111" i="20"/>
  <c r="AN458" i="12"/>
  <c r="AQ458" i="21" s="1"/>
  <c r="AO161" i="12"/>
  <c r="BA107" i="12"/>
  <c r="AY32" i="10"/>
  <c r="AZ161" i="12"/>
  <c r="AZ458" i="12" s="1"/>
  <c r="BC458" i="21" s="1"/>
  <c r="AN32" i="10"/>
  <c r="AL24" i="10"/>
  <c r="BB107" i="12"/>
  <c r="S53" i="27"/>
  <c r="AQ285" i="20"/>
  <c r="AB115" i="8"/>
  <c r="AC115" i="8" s="1"/>
  <c r="AA116" i="8"/>
  <c r="T154" i="20" s="1"/>
  <c r="T254" i="20" s="1"/>
  <c r="Y501" i="8"/>
  <c r="AD501" i="21" s="1"/>
  <c r="Y142" i="8"/>
  <c r="Z70" i="8"/>
  <c r="AA139" i="8"/>
  <c r="V256" i="20"/>
  <c r="W156" i="20"/>
  <c r="AD50" i="3"/>
  <c r="AD72" i="3" s="1"/>
  <c r="AF8" i="12"/>
  <c r="AF10" i="12" s="1"/>
  <c r="V359" i="20"/>
  <c r="AE23" i="3"/>
  <c r="AD24" i="3"/>
  <c r="AK27" i="29"/>
  <c r="V25" i="20"/>
  <c r="AC171" i="3"/>
  <c r="AJ35" i="29"/>
  <c r="R42" i="19"/>
  <c r="R479" i="19" s="1"/>
  <c r="X479" i="21" s="1"/>
  <c r="R46" i="19"/>
  <c r="R485" i="19" s="1"/>
  <c r="X485" i="21" s="1"/>
  <c r="R39" i="19"/>
  <c r="R44" i="19"/>
  <c r="R482" i="19" s="1"/>
  <c r="X482" i="21" s="1"/>
  <c r="R48" i="19"/>
  <c r="R516" i="19" s="1"/>
  <c r="AC170" i="3"/>
  <c r="V24" i="20"/>
  <c r="Q576" i="19"/>
  <c r="AC190" i="3"/>
  <c r="V42" i="20"/>
  <c r="AH53" i="12"/>
  <c r="X390" i="20"/>
  <c r="AG54" i="12"/>
  <c r="W371" i="20"/>
  <c r="AG22" i="12"/>
  <c r="S254" i="20"/>
  <c r="S10" i="19"/>
  <c r="L153" i="20"/>
  <c r="L276" i="20" s="1"/>
  <c r="AF135" i="12"/>
  <c r="V41" i="20"/>
  <c r="AC189" i="3"/>
  <c r="AC208" i="3" s="1"/>
  <c r="AJ46" i="29" l="1"/>
  <c r="AJ57" i="29"/>
  <c r="BG37" i="12"/>
  <c r="BF40" i="12"/>
  <c r="BF42" i="12" s="1"/>
  <c r="AN434" i="10"/>
  <c r="AJ45" i="12"/>
  <c r="AI46" i="12"/>
  <c r="Z397" i="20"/>
  <c r="Z501" i="8"/>
  <c r="AO458" i="12"/>
  <c r="AI45" i="29"/>
  <c r="M38" i="17"/>
  <c r="M449" i="17" s="1"/>
  <c r="S449" i="21" s="1"/>
  <c r="M11" i="17"/>
  <c r="AH48" i="29"/>
  <c r="AI55" i="29" s="1"/>
  <c r="AP33" i="10"/>
  <c r="AH132" i="20" s="1"/>
  <c r="AC31" i="18"/>
  <c r="AC13" i="18"/>
  <c r="AC14" i="18"/>
  <c r="Y259" i="20"/>
  <c r="Z178" i="20"/>
  <c r="AQ111" i="20"/>
  <c r="AI53" i="29"/>
  <c r="AI47" i="29" s="1"/>
  <c r="AL575" i="10"/>
  <c r="I88" i="27"/>
  <c r="AO574" i="10"/>
  <c r="AG269" i="20"/>
  <c r="AM574" i="10"/>
  <c r="AE269" i="20"/>
  <c r="AF269" i="20" s="1"/>
  <c r="AF55" i="29"/>
  <c r="AG108" i="20"/>
  <c r="AO571" i="10"/>
  <c r="H88" i="27"/>
  <c r="AN574" i="10"/>
  <c r="AM571" i="10"/>
  <c r="AN571" i="10" s="1"/>
  <c r="AP434" i="10"/>
  <c r="AT434" i="21" s="1"/>
  <c r="O133" i="20"/>
  <c r="O135" i="20" s="1"/>
  <c r="BA161" i="12"/>
  <c r="BA458" i="12" s="1"/>
  <c r="BB161" i="12"/>
  <c r="BB458" i="12" s="1"/>
  <c r="AD220" i="20"/>
  <c r="AL31" i="10"/>
  <c r="AM21" i="10"/>
  <c r="AN19" i="10"/>
  <c r="AA117" i="8"/>
  <c r="AA70" i="8"/>
  <c r="AB116" i="8"/>
  <c r="U154" i="20" s="1"/>
  <c r="AA142" i="8"/>
  <c r="AA501" i="8"/>
  <c r="AF501" i="21" s="1"/>
  <c r="AD115" i="8"/>
  <c r="V278" i="20"/>
  <c r="W256" i="20"/>
  <c r="W278" i="20" s="1"/>
  <c r="X156" i="20"/>
  <c r="AJ45" i="29"/>
  <c r="W41" i="20"/>
  <c r="AD189" i="3"/>
  <c r="AI53" i="12"/>
  <c r="Y390" i="20"/>
  <c r="AH54" i="12"/>
  <c r="M110" i="3"/>
  <c r="M241" i="3" s="1"/>
  <c r="G308" i="20"/>
  <c r="AD190" i="3"/>
  <c r="W42" i="20"/>
  <c r="W24" i="20"/>
  <c r="AD170" i="3"/>
  <c r="R50" i="19"/>
  <c r="R474" i="19"/>
  <c r="X474" i="21" s="1"/>
  <c r="AD171" i="3"/>
  <c r="W25" i="20"/>
  <c r="AF23" i="3"/>
  <c r="AE24" i="3"/>
  <c r="W359" i="20"/>
  <c r="AG8" i="12"/>
  <c r="AG10" i="12" s="1"/>
  <c r="AG135" i="12"/>
  <c r="AC30" i="18"/>
  <c r="S14" i="19"/>
  <c r="S17" i="19" s="1"/>
  <c r="S22" i="19" s="1"/>
  <c r="AH22" i="12"/>
  <c r="X371" i="20"/>
  <c r="M104" i="3"/>
  <c r="Y13" i="17"/>
  <c r="AK35" i="29"/>
  <c r="U254" i="20"/>
  <c r="AL27" i="29"/>
  <c r="AE50" i="3"/>
  <c r="AE72" i="3" s="1"/>
  <c r="AD131" i="20" l="1"/>
  <c r="AD134" i="20"/>
  <c r="AK46" i="29"/>
  <c r="AL57" i="29" s="1"/>
  <c r="AK57" i="29"/>
  <c r="AD208" i="3"/>
  <c r="BH37" i="12"/>
  <c r="BG40" i="12"/>
  <c r="BG42" i="12" s="1"/>
  <c r="AK45" i="12"/>
  <c r="AJ46" i="12"/>
  <c r="AA397" i="20"/>
  <c r="AQ33" i="10"/>
  <c r="AI132" i="20" s="1"/>
  <c r="M571" i="17"/>
  <c r="AD13" i="18"/>
  <c r="AD30" i="18"/>
  <c r="I39" i="27"/>
  <c r="E13" i="32"/>
  <c r="AA178" i="20"/>
  <c r="Z259" i="20"/>
  <c r="AN575" i="10"/>
  <c r="AB70" i="8"/>
  <c r="AO575" i="10"/>
  <c r="AJ53" i="29"/>
  <c r="AJ47" i="29" s="1"/>
  <c r="AI48" i="29"/>
  <c r="AP53" i="10"/>
  <c r="AH269" i="20" s="1"/>
  <c r="AE108" i="20"/>
  <c r="AF108" i="20" s="1"/>
  <c r="AR434" i="21"/>
  <c r="AM575" i="10"/>
  <c r="P133" i="20"/>
  <c r="P135" i="20" s="1"/>
  <c r="AB139" i="8"/>
  <c r="AB501" i="8" s="1"/>
  <c r="AG501" i="21" s="1"/>
  <c r="AD224" i="20"/>
  <c r="AE111" i="20"/>
  <c r="AF111" i="20" s="1"/>
  <c r="AR458" i="21"/>
  <c r="AM24" i="10"/>
  <c r="AN21" i="10"/>
  <c r="AH108" i="20"/>
  <c r="AP571" i="10"/>
  <c r="AB117" i="8"/>
  <c r="AE501" i="21"/>
  <c r="AE115" i="8"/>
  <c r="X256" i="20"/>
  <c r="X278" i="20" s="1"/>
  <c r="Y156" i="20"/>
  <c r="Y371" i="20"/>
  <c r="AI22" i="12"/>
  <c r="T10" i="19"/>
  <c r="M153" i="20"/>
  <c r="M276" i="20" s="1"/>
  <c r="AH135" i="12"/>
  <c r="AG23" i="3"/>
  <c r="AF24" i="3"/>
  <c r="X25" i="20"/>
  <c r="AE171" i="3"/>
  <c r="R571" i="19"/>
  <c r="AE190" i="3"/>
  <c r="X42" i="20"/>
  <c r="N9" i="17"/>
  <c r="N10" i="17" s="1"/>
  <c r="N38" i="17" s="1"/>
  <c r="G142" i="20"/>
  <c r="AJ53" i="12"/>
  <c r="Z390" i="20"/>
  <c r="AI54" i="12"/>
  <c r="AF50" i="3"/>
  <c r="AF72" i="3" s="1"/>
  <c r="AM27" i="29"/>
  <c r="AL35" i="29"/>
  <c r="Y104" i="3"/>
  <c r="M234" i="3"/>
  <c r="S39" i="19"/>
  <c r="S44" i="19"/>
  <c r="S482" i="19" s="1"/>
  <c r="Y482" i="21" s="1"/>
  <c r="S48" i="19"/>
  <c r="S516" i="19" s="1"/>
  <c r="S42" i="19"/>
  <c r="S479" i="19" s="1"/>
  <c r="Y479" i="21" s="1"/>
  <c r="S46" i="19"/>
  <c r="S485" i="19" s="1"/>
  <c r="Y485" i="21" s="1"/>
  <c r="AH8" i="12"/>
  <c r="AH10" i="12" s="1"/>
  <c r="X359" i="20"/>
  <c r="AD14" i="18"/>
  <c r="R575" i="19"/>
  <c r="AE170" i="3"/>
  <c r="X24" i="20"/>
  <c r="AD31" i="18"/>
  <c r="X41" i="20"/>
  <c r="AE189" i="3"/>
  <c r="AE208" i="3" s="1"/>
  <c r="AK45" i="29"/>
  <c r="AI63" i="29" l="1"/>
  <c r="AI65" i="29" s="1"/>
  <c r="AJ55" i="29"/>
  <c r="BI37" i="12"/>
  <c r="BH40" i="12"/>
  <c r="BH42" i="12" s="1"/>
  <c r="AL45" i="12"/>
  <c r="AK46" i="12"/>
  <c r="AB397" i="20"/>
  <c r="AB142" i="8"/>
  <c r="AJ48" i="29"/>
  <c r="AK55" i="29" s="1"/>
  <c r="AR33" i="10"/>
  <c r="AJ132" i="20" s="1"/>
  <c r="J88" i="27"/>
  <c r="AP574" i="10"/>
  <c r="AP575" i="10" s="1"/>
  <c r="N449" i="17"/>
  <c r="T449" i="21" s="1"/>
  <c r="G120" i="20"/>
  <c r="AE31" i="18"/>
  <c r="AE14" i="18"/>
  <c r="J39" i="27"/>
  <c r="F13" i="32"/>
  <c r="H39" i="27"/>
  <c r="D13" i="32"/>
  <c r="AA259" i="20"/>
  <c r="AB178" i="20"/>
  <c r="AH12" i="12"/>
  <c r="AK53" i="29"/>
  <c r="AK47" i="29" s="1"/>
  <c r="Q133" i="20"/>
  <c r="Q135" i="20" s="1"/>
  <c r="AE220" i="20"/>
  <c r="AM31" i="10"/>
  <c r="AN31" i="10" s="1"/>
  <c r="AN34" i="10" s="1"/>
  <c r="AN24" i="10"/>
  <c r="AD285" i="20"/>
  <c r="AI8" i="12"/>
  <c r="AI10" i="12" s="1"/>
  <c r="AC116" i="8"/>
  <c r="AC117" i="8" s="1"/>
  <c r="AF115" i="8"/>
  <c r="Y256" i="20"/>
  <c r="Z156" i="20"/>
  <c r="Y24" i="20"/>
  <c r="AF170" i="3"/>
  <c r="S50" i="19"/>
  <c r="S474" i="19"/>
  <c r="Y474" i="21" s="1"/>
  <c r="AN27" i="29"/>
  <c r="AG50" i="3"/>
  <c r="AG72" i="3" s="1"/>
  <c r="R576" i="19"/>
  <c r="AH23" i="3"/>
  <c r="AG24" i="3"/>
  <c r="T14" i="19"/>
  <c r="T17" i="19" s="1"/>
  <c r="T22" i="19" s="1"/>
  <c r="AJ22" i="12"/>
  <c r="Z371" i="20"/>
  <c r="AE30" i="18"/>
  <c r="AL46" i="29"/>
  <c r="Y41" i="20"/>
  <c r="AF189" i="3"/>
  <c r="AE13" i="18"/>
  <c r="Y359" i="20"/>
  <c r="Y234" i="3"/>
  <c r="AM35" i="29"/>
  <c r="AK53" i="12"/>
  <c r="AA390" i="20"/>
  <c r="AJ54" i="12"/>
  <c r="N11" i="17"/>
  <c r="O9" i="17" s="1"/>
  <c r="N110" i="3"/>
  <c r="N241" i="3" s="1"/>
  <c r="H308" i="20"/>
  <c r="AF190" i="3"/>
  <c r="Y42" i="20"/>
  <c r="AF171" i="3"/>
  <c r="Y25" i="20"/>
  <c r="AI135" i="12"/>
  <c r="AE131" i="20" l="1"/>
  <c r="AG131" i="20" s="1"/>
  <c r="AH131" i="20" s="1"/>
  <c r="AI131" i="20" s="1"/>
  <c r="AJ131" i="20" s="1"/>
  <c r="AE134" i="20"/>
  <c r="AL45" i="29"/>
  <c r="AM57" i="29"/>
  <c r="AF208" i="3"/>
  <c r="BI40" i="12"/>
  <c r="BI42" i="12" s="1"/>
  <c r="BJ37" i="12"/>
  <c r="AM45" i="12"/>
  <c r="AL46" i="12"/>
  <c r="AC397" i="20"/>
  <c r="AS33" i="10"/>
  <c r="AK132" i="20" s="1"/>
  <c r="G201" i="20"/>
  <c r="M94" i="3"/>
  <c r="M225" i="3" s="1"/>
  <c r="N571" i="17"/>
  <c r="AF30" i="18"/>
  <c r="AF13" i="18"/>
  <c r="AB259" i="20"/>
  <c r="AC178" i="20"/>
  <c r="Y362" i="20"/>
  <c r="AL53" i="29"/>
  <c r="AL47" i="29" s="1"/>
  <c r="AK48" i="29"/>
  <c r="AL55" i="29" s="1"/>
  <c r="AJ63" i="29"/>
  <c r="R133" i="20"/>
  <c r="S131" i="20"/>
  <c r="AE224" i="20"/>
  <c r="AF220" i="20"/>
  <c r="Y360" i="20"/>
  <c r="AD116" i="8"/>
  <c r="AD117" i="8" s="1"/>
  <c r="V154" i="20"/>
  <c r="AC139" i="8"/>
  <c r="AC70" i="8"/>
  <c r="AG115" i="8"/>
  <c r="AA156" i="20"/>
  <c r="Z256" i="20"/>
  <c r="Z278" i="20" s="1"/>
  <c r="Y278" i="20"/>
  <c r="Z25" i="20"/>
  <c r="AG171" i="3"/>
  <c r="AG190" i="3"/>
  <c r="Z42" i="20"/>
  <c r="O10" i="17"/>
  <c r="H142" i="20"/>
  <c r="AL53" i="12"/>
  <c r="AB390" i="20"/>
  <c r="AK54" i="12"/>
  <c r="AM46" i="29"/>
  <c r="T42" i="19"/>
  <c r="T479" i="19" s="1"/>
  <c r="Z479" i="21" s="1"/>
  <c r="T46" i="19"/>
  <c r="T485" i="19" s="1"/>
  <c r="Z485" i="21" s="1"/>
  <c r="T39" i="19"/>
  <c r="T44" i="19"/>
  <c r="T482" i="19" s="1"/>
  <c r="Z482" i="21" s="1"/>
  <c r="T48" i="19"/>
  <c r="T516" i="19" s="1"/>
  <c r="AI23" i="3"/>
  <c r="AH24" i="3"/>
  <c r="S571" i="19"/>
  <c r="AG170" i="3"/>
  <c r="Z24" i="20"/>
  <c r="AJ135" i="12"/>
  <c r="AF14" i="18"/>
  <c r="AF31" i="18"/>
  <c r="AN35" i="29"/>
  <c r="AJ8" i="12"/>
  <c r="AJ10" i="12" s="1"/>
  <c r="Z359" i="20"/>
  <c r="Z41" i="20"/>
  <c r="AG189" i="3"/>
  <c r="AG208" i="3" s="1"/>
  <c r="AA371" i="20"/>
  <c r="AK22" i="12"/>
  <c r="U10" i="19"/>
  <c r="N153" i="20"/>
  <c r="N276" i="20" s="1"/>
  <c r="AH50" i="3"/>
  <c r="AH72" i="3" s="1"/>
  <c r="AO27" i="29"/>
  <c r="S575" i="19"/>
  <c r="AG134" i="20" l="1"/>
  <c r="AH134" i="20" s="1"/>
  <c r="AF134" i="20"/>
  <c r="AK131" i="20"/>
  <c r="AM45" i="29"/>
  <c r="AN57" i="29"/>
  <c r="BK37" i="12"/>
  <c r="BJ40" i="12"/>
  <c r="BJ42" i="12" s="1"/>
  <c r="AN45" i="12"/>
  <c r="AM46" i="12"/>
  <c r="AD397" i="20"/>
  <c r="O11" i="17"/>
  <c r="P9" i="17" s="1"/>
  <c r="P10" i="17" s="1"/>
  <c r="O38" i="17"/>
  <c r="AT33" i="10"/>
  <c r="AL132" i="20" s="1"/>
  <c r="O449" i="17"/>
  <c r="U449" i="21" s="1"/>
  <c r="H120" i="20"/>
  <c r="AG30" i="18"/>
  <c r="AG13" i="18"/>
  <c r="AG31" i="18"/>
  <c r="AG14" i="18"/>
  <c r="AD178" i="20"/>
  <c r="AC259" i="20"/>
  <c r="AM53" i="29"/>
  <c r="AM47" i="29" s="1"/>
  <c r="AM48" i="29" s="1"/>
  <c r="AN55" i="29" s="1"/>
  <c r="AK63" i="29"/>
  <c r="AL48" i="29"/>
  <c r="AM55" i="29" s="1"/>
  <c r="T133" i="20"/>
  <c r="T135" i="20" s="1"/>
  <c r="S133" i="20"/>
  <c r="G115" i="27" s="1"/>
  <c r="R135" i="20"/>
  <c r="AE285" i="20"/>
  <c r="AF285" i="20" s="1"/>
  <c r="AF224" i="20"/>
  <c r="H53" i="27" s="1"/>
  <c r="Y361" i="20"/>
  <c r="AE116" i="8"/>
  <c r="AE117" i="8" s="1"/>
  <c r="AC501" i="8"/>
  <c r="AH501" i="21" s="1"/>
  <c r="AC142" i="8"/>
  <c r="V254" i="20"/>
  <c r="W154" i="20"/>
  <c r="AD139" i="8"/>
  <c r="AD70" i="8"/>
  <c r="AH115" i="8"/>
  <c r="AB156" i="20"/>
  <c r="AA256" i="20"/>
  <c r="AI50" i="3"/>
  <c r="AI72" i="3" s="1"/>
  <c r="U14" i="19"/>
  <c r="U17" i="19" s="1"/>
  <c r="AA41" i="20"/>
  <c r="AH189" i="3"/>
  <c r="AO35" i="29"/>
  <c r="AK135" i="12"/>
  <c r="S576" i="19"/>
  <c r="AN46" i="29"/>
  <c r="AP27" i="29"/>
  <c r="AL22" i="12"/>
  <c r="AB371" i="20"/>
  <c r="AA359" i="20"/>
  <c r="AK8" i="12"/>
  <c r="AK10" i="12" s="1"/>
  <c r="AK12" i="12" s="1"/>
  <c r="AA24" i="20"/>
  <c r="AH170" i="3"/>
  <c r="AJ23" i="3"/>
  <c r="AI24" i="3"/>
  <c r="T50" i="19"/>
  <c r="T474" i="19"/>
  <c r="Z474" i="21" s="1"/>
  <c r="AM53" i="12"/>
  <c r="AC390" i="20"/>
  <c r="AL54" i="12"/>
  <c r="O110" i="3"/>
  <c r="O241" i="3" s="1"/>
  <c r="I308" i="20"/>
  <c r="I142" i="20"/>
  <c r="AH190" i="3"/>
  <c r="AA42" i="20"/>
  <c r="AH171" i="3"/>
  <c r="AA25" i="20"/>
  <c r="AL131" i="20" l="1"/>
  <c r="AN45" i="29"/>
  <c r="AO57" i="29"/>
  <c r="AH208" i="3"/>
  <c r="BK40" i="12"/>
  <c r="BK42" i="12" s="1"/>
  <c r="BL37" i="12"/>
  <c r="AP45" i="12"/>
  <c r="AP48" i="12" s="1"/>
  <c r="AE397" i="20"/>
  <c r="P38" i="17"/>
  <c r="P449" i="17" s="1"/>
  <c r="V449" i="21" s="1"/>
  <c r="P11" i="17"/>
  <c r="P110" i="3"/>
  <c r="P241" i="3" s="1"/>
  <c r="J308" i="20"/>
  <c r="AU33" i="10"/>
  <c r="AM132" i="20" s="1"/>
  <c r="N94" i="3"/>
  <c r="N225" i="3" s="1"/>
  <c r="H201" i="20"/>
  <c r="O571" i="17"/>
  <c r="AH14" i="18"/>
  <c r="AH13" i="18"/>
  <c r="AH31" i="18"/>
  <c r="AH30" i="18"/>
  <c r="AD259" i="20"/>
  <c r="AE178" i="20"/>
  <c r="AB362" i="20"/>
  <c r="AN53" i="29"/>
  <c r="AN47" i="29" s="1"/>
  <c r="AL63" i="29"/>
  <c r="G7" i="27"/>
  <c r="S135" i="20"/>
  <c r="U133" i="20"/>
  <c r="U135" i="20" s="1"/>
  <c r="AF116" i="8"/>
  <c r="AF117" i="8" s="1"/>
  <c r="X154" i="20"/>
  <c r="W254" i="20"/>
  <c r="AD142" i="8"/>
  <c r="AD501" i="8"/>
  <c r="AI501" i="21" s="1"/>
  <c r="AE70" i="8"/>
  <c r="AE139" i="8"/>
  <c r="AI115" i="8"/>
  <c r="AB256" i="20"/>
  <c r="AB278" i="20" s="1"/>
  <c r="AC156" i="20"/>
  <c r="AA278" i="20"/>
  <c r="AI190" i="3"/>
  <c r="AB42" i="20"/>
  <c r="AN53" i="12"/>
  <c r="AD390" i="20"/>
  <c r="AM54" i="12"/>
  <c r="T571" i="19"/>
  <c r="AK23" i="3"/>
  <c r="AJ24" i="3"/>
  <c r="AI170" i="3"/>
  <c r="AB24" i="20"/>
  <c r="AQ27" i="29"/>
  <c r="AO46" i="29"/>
  <c r="U39" i="19"/>
  <c r="U44" i="19"/>
  <c r="U482" i="19" s="1"/>
  <c r="AA482" i="21" s="1"/>
  <c r="U48" i="19"/>
  <c r="U516" i="19" s="1"/>
  <c r="U42" i="19"/>
  <c r="U479" i="19" s="1"/>
  <c r="AA479" i="21" s="1"/>
  <c r="U46" i="19"/>
  <c r="U485" i="19" s="1"/>
  <c r="AA485" i="21" s="1"/>
  <c r="AB25" i="20"/>
  <c r="AI171" i="3"/>
  <c r="T575" i="19"/>
  <c r="AL8" i="12"/>
  <c r="AL10" i="12" s="1"/>
  <c r="AB359" i="20"/>
  <c r="AC371" i="20"/>
  <c r="AM22" i="12"/>
  <c r="AL135" i="12"/>
  <c r="AP35" i="29"/>
  <c r="AB41" i="20"/>
  <c r="AI189" i="3"/>
  <c r="U22" i="19"/>
  <c r="AJ50" i="3"/>
  <c r="AJ72" i="3" s="1"/>
  <c r="AM131" i="20" l="1"/>
  <c r="AI208" i="3"/>
  <c r="AO45" i="29"/>
  <c r="AP57" i="29"/>
  <c r="BM37" i="12"/>
  <c r="BL40" i="12"/>
  <c r="BL42" i="12" s="1"/>
  <c r="AN46" i="12"/>
  <c r="AO48" i="12"/>
  <c r="AG397" i="20"/>
  <c r="AQ45" i="12"/>
  <c r="Q9" i="17"/>
  <c r="Q10" i="17" s="1"/>
  <c r="J142" i="20"/>
  <c r="P571" i="17"/>
  <c r="J120" i="20"/>
  <c r="AV33" i="10"/>
  <c r="AN132" i="20" s="1"/>
  <c r="I120" i="20"/>
  <c r="AI30" i="18"/>
  <c r="AI14" i="18"/>
  <c r="AI13" i="18"/>
  <c r="AI31" i="18"/>
  <c r="AG178" i="20"/>
  <c r="AE259" i="20"/>
  <c r="AF259" i="20" s="1"/>
  <c r="AF178" i="20"/>
  <c r="AO53" i="29"/>
  <c r="AO47" i="29" s="1"/>
  <c r="AN48" i="29"/>
  <c r="AO55" i="29" s="1"/>
  <c r="AM63" i="29"/>
  <c r="V133" i="20"/>
  <c r="V135" i="20" s="1"/>
  <c r="AB360" i="20"/>
  <c r="AG116" i="8"/>
  <c r="AG117" i="8" s="1"/>
  <c r="AE142" i="8"/>
  <c r="AE501" i="8"/>
  <c r="AJ501" i="21" s="1"/>
  <c r="X254" i="20"/>
  <c r="Y154" i="20"/>
  <c r="AF70" i="8"/>
  <c r="AF139" i="8"/>
  <c r="AJ115" i="8"/>
  <c r="AC256" i="20"/>
  <c r="AC278" i="20" s="1"/>
  <c r="AD156" i="20"/>
  <c r="AK50" i="3"/>
  <c r="AK72" i="3" s="1"/>
  <c r="V10" i="19"/>
  <c r="O153" i="20"/>
  <c r="O276" i="20" s="1"/>
  <c r="AM135" i="12"/>
  <c r="AN22" i="12"/>
  <c r="AO23" i="12" s="1"/>
  <c r="AD371" i="20"/>
  <c r="AJ171" i="3"/>
  <c r="AC25" i="20"/>
  <c r="U50" i="19"/>
  <c r="U474" i="19"/>
  <c r="AA474" i="21" s="1"/>
  <c r="AP46" i="29"/>
  <c r="AC24" i="20"/>
  <c r="AJ170" i="3"/>
  <c r="T576" i="19"/>
  <c r="AP53" i="12"/>
  <c r="AE390" i="20"/>
  <c r="AN54" i="12"/>
  <c r="AP54" i="12" s="1"/>
  <c r="AQ54" i="12" s="1"/>
  <c r="AR54" i="12" s="1"/>
  <c r="AS54" i="12" s="1"/>
  <c r="AT54" i="12" s="1"/>
  <c r="AU54" i="12" s="1"/>
  <c r="AV54" i="12" s="1"/>
  <c r="AW54" i="12" s="1"/>
  <c r="AX54" i="12" s="1"/>
  <c r="AY54" i="12" s="1"/>
  <c r="AC41" i="20"/>
  <c r="AJ189" i="3"/>
  <c r="AQ35" i="29"/>
  <c r="AC359" i="20"/>
  <c r="AM8" i="12"/>
  <c r="AM10" i="12" s="1"/>
  <c r="AM23" i="3"/>
  <c r="AK24" i="3"/>
  <c r="AL23" i="3"/>
  <c r="AL24" i="3" s="1"/>
  <c r="AJ190" i="3"/>
  <c r="AC42" i="20"/>
  <c r="AN131" i="20" l="1"/>
  <c r="AP45" i="29"/>
  <c r="AQ57" i="29"/>
  <c r="AJ208" i="3"/>
  <c r="BN37" i="12"/>
  <c r="BM40" i="12"/>
  <c r="BM42" i="12" s="1"/>
  <c r="AQ48" i="12"/>
  <c r="AR45" i="12"/>
  <c r="AH397" i="20"/>
  <c r="AG399" i="20"/>
  <c r="AP50" i="12"/>
  <c r="AG400" i="20" s="1"/>
  <c r="AM50" i="3"/>
  <c r="AM72" i="3" s="1"/>
  <c r="P94" i="3"/>
  <c r="P225" i="3" s="1"/>
  <c r="J201" i="20"/>
  <c r="K308" i="20"/>
  <c r="Q110" i="3"/>
  <c r="Q241" i="3" s="1"/>
  <c r="Q38" i="17"/>
  <c r="Q449" i="17" s="1"/>
  <c r="W449" i="21" s="1"/>
  <c r="Q11" i="17"/>
  <c r="AW33" i="10"/>
  <c r="AO132" i="20" s="1"/>
  <c r="O94" i="3"/>
  <c r="O225" i="3" s="1"/>
  <c r="I201" i="20"/>
  <c r="AJ31" i="18"/>
  <c r="AJ13" i="18"/>
  <c r="AJ30" i="18"/>
  <c r="AJ14" i="18"/>
  <c r="AH178" i="20"/>
  <c r="AG259" i="20"/>
  <c r="AP53" i="29"/>
  <c r="AP47" i="29" s="1"/>
  <c r="AN63" i="29"/>
  <c r="AO48" i="29"/>
  <c r="AP55" i="29" s="1"/>
  <c r="W133" i="20"/>
  <c r="W135" i="20" s="1"/>
  <c r="AB361" i="20"/>
  <c r="AH116" i="8"/>
  <c r="AH117" i="8" s="1"/>
  <c r="AF501" i="8"/>
  <c r="AK501" i="21" s="1"/>
  <c r="AF142" i="8"/>
  <c r="Y254" i="20"/>
  <c r="Z154" i="20"/>
  <c r="AG139" i="8"/>
  <c r="AG70" i="8"/>
  <c r="AK115" i="8"/>
  <c r="AD256" i="20"/>
  <c r="AD278" i="20" s="1"/>
  <c r="AE156" i="20"/>
  <c r="AN23" i="3"/>
  <c r="AM24" i="3"/>
  <c r="AQ46" i="29"/>
  <c r="U571" i="19"/>
  <c r="AD25" i="20"/>
  <c r="AK171" i="3"/>
  <c r="AM171" i="3" s="1"/>
  <c r="AN135" i="12"/>
  <c r="V14" i="19"/>
  <c r="V17" i="19" s="1"/>
  <c r="AK190" i="3"/>
  <c r="AM190" i="3" s="1"/>
  <c r="AD42" i="20"/>
  <c r="AN8" i="12"/>
  <c r="AP8" i="12" s="1"/>
  <c r="AP6" i="12" s="1"/>
  <c r="AD359" i="20"/>
  <c r="AD41" i="20"/>
  <c r="AK189" i="3"/>
  <c r="AK208" i="3" s="1"/>
  <c r="AQ53" i="12"/>
  <c r="AG390" i="20"/>
  <c r="AK170" i="3"/>
  <c r="AM170" i="3" s="1"/>
  <c r="AD24" i="20"/>
  <c r="U575" i="19"/>
  <c r="AE371" i="20"/>
  <c r="AP22" i="12"/>
  <c r="AO131" i="20" l="1"/>
  <c r="AQ45" i="29"/>
  <c r="BO37" i="12"/>
  <c r="BN40" i="12"/>
  <c r="BN42" i="12" s="1"/>
  <c r="AR48" i="12"/>
  <c r="AI397" i="20"/>
  <c r="AS45" i="12"/>
  <c r="AQ50" i="12"/>
  <c r="AH400" i="20" s="1"/>
  <c r="AH399" i="20"/>
  <c r="AQ8" i="12"/>
  <c r="AQ10" i="12" s="1"/>
  <c r="AM189" i="3"/>
  <c r="AM208" i="3" s="1"/>
  <c r="K120" i="20"/>
  <c r="Q571" i="17"/>
  <c r="R9" i="17"/>
  <c r="R10" i="17" s="1"/>
  <c r="K142" i="20"/>
  <c r="AX33" i="10"/>
  <c r="AP132" i="20" s="1"/>
  <c r="AK13" i="18"/>
  <c r="AK30" i="18"/>
  <c r="AK31" i="18"/>
  <c r="AK14" i="18"/>
  <c r="AI178" i="20"/>
  <c r="AH259" i="20"/>
  <c r="AQ53" i="29"/>
  <c r="AQ47" i="29" s="1"/>
  <c r="AO63" i="29"/>
  <c r="AP48" i="29"/>
  <c r="AQ55" i="29" s="1"/>
  <c r="X133" i="20"/>
  <c r="X135" i="20" s="1"/>
  <c r="AN10" i="12"/>
  <c r="AI116" i="8"/>
  <c r="AA154" i="20"/>
  <c r="Z254" i="20"/>
  <c r="AG501" i="8"/>
  <c r="AL501" i="21" s="1"/>
  <c r="AG142" i="8"/>
  <c r="AH70" i="8"/>
  <c r="AH139" i="8"/>
  <c r="AL115" i="8"/>
  <c r="AE256" i="20"/>
  <c r="AG156" i="20"/>
  <c r="AF156" i="20"/>
  <c r="AQ22" i="12"/>
  <c r="AG371" i="20"/>
  <c r="AE24" i="20"/>
  <c r="AR53" i="12"/>
  <c r="AH390" i="20"/>
  <c r="AE41" i="20"/>
  <c r="AE359" i="20"/>
  <c r="V42" i="19"/>
  <c r="V479" i="19" s="1"/>
  <c r="AB479" i="21" s="1"/>
  <c r="V46" i="19"/>
  <c r="V485" i="19" s="1"/>
  <c r="AB485" i="21" s="1"/>
  <c r="V39" i="19"/>
  <c r="V44" i="19"/>
  <c r="V482" i="19" s="1"/>
  <c r="AB482" i="21" s="1"/>
  <c r="V48" i="19"/>
  <c r="V516" i="19" s="1"/>
  <c r="AE25" i="20"/>
  <c r="U576" i="19"/>
  <c r="AE42" i="20"/>
  <c r="V22" i="19"/>
  <c r="AP135" i="12"/>
  <c r="AN24" i="3"/>
  <c r="AO23" i="3"/>
  <c r="AP131" i="20" l="1"/>
  <c r="BP37" i="12"/>
  <c r="BO40" i="12"/>
  <c r="BO42" i="12" s="1"/>
  <c r="AS48" i="12"/>
  <c r="AT45" i="12"/>
  <c r="AJ397" i="20"/>
  <c r="AR50" i="12"/>
  <c r="AI400" i="20" s="1"/>
  <c r="AI399" i="20"/>
  <c r="AR12" i="12"/>
  <c r="AT12" i="12"/>
  <c r="AV12" i="12"/>
  <c r="AX12" i="12"/>
  <c r="AZ12" i="12"/>
  <c r="BB12" i="12"/>
  <c r="BD12" i="12"/>
  <c r="BF12" i="12"/>
  <c r="BH12" i="12"/>
  <c r="BJ12" i="12"/>
  <c r="BL12" i="12"/>
  <c r="BN12" i="12"/>
  <c r="BP12" i="12"/>
  <c r="AQ12" i="12"/>
  <c r="AQ11" i="12" s="1"/>
  <c r="AS12" i="12"/>
  <c r="AU12" i="12"/>
  <c r="AW12" i="12"/>
  <c r="AY12" i="12"/>
  <c r="BA12" i="12"/>
  <c r="BC12" i="12"/>
  <c r="BE12" i="12"/>
  <c r="BG12" i="12"/>
  <c r="BI12" i="12"/>
  <c r="BK12" i="12"/>
  <c r="BM12" i="12"/>
  <c r="BO12" i="12"/>
  <c r="BQ12" i="12"/>
  <c r="AP23" i="12"/>
  <c r="R11" i="17"/>
  <c r="R38" i="17"/>
  <c r="R449" i="17" s="1"/>
  <c r="X449" i="21" s="1"/>
  <c r="R110" i="3"/>
  <c r="R241" i="3" s="1"/>
  <c r="L308" i="20"/>
  <c r="Q94" i="3"/>
  <c r="Q225" i="3" s="1"/>
  <c r="K201" i="20"/>
  <c r="AY33" i="10"/>
  <c r="AQ132" i="20" s="1"/>
  <c r="AJ178" i="20"/>
  <c r="AI259" i="20"/>
  <c r="AP10" i="12"/>
  <c r="AP12" i="12" s="1"/>
  <c r="AO10" i="12"/>
  <c r="AN12" i="12"/>
  <c r="AP63" i="29"/>
  <c r="AQ48" i="29"/>
  <c r="Y133" i="20"/>
  <c r="Y135" i="20" s="1"/>
  <c r="AE360" i="20"/>
  <c r="AI70" i="8"/>
  <c r="AI139" i="8"/>
  <c r="AH142" i="8"/>
  <c r="AH501" i="8"/>
  <c r="AM501" i="21" s="1"/>
  <c r="AA254" i="20"/>
  <c r="AB154" i="20"/>
  <c r="AI117" i="8"/>
  <c r="AE278" i="20"/>
  <c r="AF278" i="20" s="1"/>
  <c r="AF256" i="20"/>
  <c r="AG256" i="20"/>
  <c r="AG278" i="20" s="1"/>
  <c r="AH156" i="20"/>
  <c r="AP23" i="3"/>
  <c r="AO24" i="3"/>
  <c r="W10" i="19"/>
  <c r="P153" i="20"/>
  <c r="P276" i="20" s="1"/>
  <c r="AL31" i="18"/>
  <c r="AN171" i="3"/>
  <c r="AG25" i="20"/>
  <c r="AN189" i="3"/>
  <c r="AG41" i="20"/>
  <c r="AN170" i="3"/>
  <c r="AG24" i="20"/>
  <c r="AR22" i="12"/>
  <c r="AH371" i="20"/>
  <c r="AQ135" i="12"/>
  <c r="AN190" i="3"/>
  <c r="AG42" i="20"/>
  <c r="AL14" i="18"/>
  <c r="V50" i="19"/>
  <c r="V474" i="19"/>
  <c r="AB474" i="21" s="1"/>
  <c r="AG359" i="20"/>
  <c r="AL30" i="18"/>
  <c r="AS53" i="12"/>
  <c r="AI390" i="20"/>
  <c r="AL13" i="18"/>
  <c r="AN208" i="3" l="1"/>
  <c r="AQ131" i="20"/>
  <c r="BQ37" i="12"/>
  <c r="BQ40" i="12" s="1"/>
  <c r="BQ42" i="12" s="1"/>
  <c r="BP40" i="12"/>
  <c r="BP42" i="12" s="1"/>
  <c r="AG361" i="20"/>
  <c r="AT48" i="12"/>
  <c r="AU45" i="12"/>
  <c r="AK397" i="20"/>
  <c r="AS50" i="12"/>
  <c r="AJ400" i="20" s="1"/>
  <c r="AJ399" i="20"/>
  <c r="AQ23" i="12"/>
  <c r="R571" i="17"/>
  <c r="L120" i="20"/>
  <c r="S9" i="17"/>
  <c r="S10" i="17" s="1"/>
  <c r="L142" i="20"/>
  <c r="AG362" i="20"/>
  <c r="AN30" i="18"/>
  <c r="AN31" i="18"/>
  <c r="AN13" i="18"/>
  <c r="AN14" i="18"/>
  <c r="AJ259" i="20"/>
  <c r="AK178" i="20"/>
  <c r="AE362" i="20"/>
  <c r="AE361" i="20" s="1"/>
  <c r="AF361" i="20" s="1"/>
  <c r="AO12" i="12"/>
  <c r="AQ63" i="29"/>
  <c r="AH362" i="20"/>
  <c r="Z133" i="20"/>
  <c r="Z135" i="20" s="1"/>
  <c r="AF360" i="20"/>
  <c r="AG360" i="20"/>
  <c r="AJ116" i="8"/>
  <c r="AJ117" i="8" s="1"/>
  <c r="AB254" i="20"/>
  <c r="AI501" i="8"/>
  <c r="AN501" i="21" s="1"/>
  <c r="AI142" i="8"/>
  <c r="AH256" i="20"/>
  <c r="AH278" i="20" s="1"/>
  <c r="AI156" i="20"/>
  <c r="AT53" i="12"/>
  <c r="AJ390" i="20"/>
  <c r="V575" i="19"/>
  <c r="AH42" i="20"/>
  <c r="AO190" i="3"/>
  <c r="AS22" i="12"/>
  <c r="AI371" i="20"/>
  <c r="AO170" i="3"/>
  <c r="AH24" i="20"/>
  <c r="AO171" i="3"/>
  <c r="AH25" i="20"/>
  <c r="W14" i="19"/>
  <c r="W17" i="19" s="1"/>
  <c r="W22" i="19" s="1"/>
  <c r="AP24" i="3"/>
  <c r="AQ23" i="3"/>
  <c r="AH359" i="20"/>
  <c r="V571" i="19"/>
  <c r="AR135" i="12"/>
  <c r="AO189" i="3"/>
  <c r="AH41" i="20"/>
  <c r="AO208" i="3" l="1"/>
  <c r="AU48" i="12"/>
  <c r="AV45" i="12"/>
  <c r="AL397" i="20"/>
  <c r="AK399" i="20"/>
  <c r="AT50" i="12"/>
  <c r="AK400" i="20" s="1"/>
  <c r="AR23" i="12"/>
  <c r="V576" i="19"/>
  <c r="R94" i="3"/>
  <c r="R225" i="3" s="1"/>
  <c r="L201" i="20"/>
  <c r="S11" i="17"/>
  <c r="M308" i="20"/>
  <c r="S38" i="17"/>
  <c r="S110" i="3"/>
  <c r="S241" i="3" s="1"/>
  <c r="Q162" i="12"/>
  <c r="Q459" i="12" s="1"/>
  <c r="T459" i="21" s="1"/>
  <c r="S162" i="12"/>
  <c r="U162" i="12"/>
  <c r="U459" i="12" s="1"/>
  <c r="X459" i="21" s="1"/>
  <c r="W162" i="12"/>
  <c r="W459" i="12" s="1"/>
  <c r="Z459" i="21" s="1"/>
  <c r="Y162" i="12"/>
  <c r="Y459" i="12" s="1"/>
  <c r="AB459" i="21" s="1"/>
  <c r="AA162" i="12"/>
  <c r="AA459" i="12" s="1"/>
  <c r="AD459" i="21" s="1"/>
  <c r="R162" i="12"/>
  <c r="R459" i="12" s="1"/>
  <c r="U459" i="21" s="1"/>
  <c r="T162" i="12"/>
  <c r="T459" i="12" s="1"/>
  <c r="W459" i="21" s="1"/>
  <c r="V162" i="12"/>
  <c r="V459" i="12" s="1"/>
  <c r="Y459" i="21" s="1"/>
  <c r="X162" i="12"/>
  <c r="X459" i="12" s="1"/>
  <c r="AA459" i="21" s="1"/>
  <c r="Z162" i="12"/>
  <c r="Z459" i="12" s="1"/>
  <c r="AC459" i="21" s="1"/>
  <c r="P127" i="12"/>
  <c r="G159" i="20" s="1"/>
  <c r="G233" i="20"/>
  <c r="AD162" i="12"/>
  <c r="AD459" i="12" s="1"/>
  <c r="AG459" i="21" s="1"/>
  <c r="AH162" i="12"/>
  <c r="AH459" i="12" s="1"/>
  <c r="AK459" i="21" s="1"/>
  <c r="AL162" i="12"/>
  <c r="AL459" i="12" s="1"/>
  <c r="AO459" i="21" s="1"/>
  <c r="AG162" i="12"/>
  <c r="AG459" i="12" s="1"/>
  <c r="AJ459" i="21" s="1"/>
  <c r="AK162" i="12"/>
  <c r="AK459" i="12" s="1"/>
  <c r="AN459" i="21" s="1"/>
  <c r="AF162" i="12"/>
  <c r="AF459" i="12" s="1"/>
  <c r="AI459" i="21" s="1"/>
  <c r="AJ162" i="12"/>
  <c r="AJ459" i="12" s="1"/>
  <c r="AM459" i="21" s="1"/>
  <c r="AN162" i="12"/>
  <c r="AN459" i="12" s="1"/>
  <c r="AQ459" i="21" s="1"/>
  <c r="AE162" i="12"/>
  <c r="AE459" i="12" s="1"/>
  <c r="AH459" i="21" s="1"/>
  <c r="AI162" i="12"/>
  <c r="AI459" i="12" s="1"/>
  <c r="AL459" i="21" s="1"/>
  <c r="AM162" i="12"/>
  <c r="AM459" i="12" s="1"/>
  <c r="AP459" i="21" s="1"/>
  <c r="T233" i="20"/>
  <c r="AO30" i="18"/>
  <c r="AO13" i="18"/>
  <c r="AO14" i="18"/>
  <c r="AO31" i="18"/>
  <c r="AL178" i="20"/>
  <c r="AK259" i="20"/>
  <c r="AF362" i="20"/>
  <c r="AA133" i="20"/>
  <c r="AA135" i="20" s="1"/>
  <c r="AC154" i="20"/>
  <c r="AC254" i="20" s="1"/>
  <c r="AK116" i="8"/>
  <c r="AK117" i="8" s="1"/>
  <c r="AJ139" i="8"/>
  <c r="AJ70" i="8"/>
  <c r="AI256" i="20"/>
  <c r="AI278" i="20" s="1"/>
  <c r="AJ156" i="20"/>
  <c r="AS135" i="12"/>
  <c r="X10" i="19"/>
  <c r="Q153" i="20"/>
  <c r="Q276" i="20" s="1"/>
  <c r="AT22" i="12"/>
  <c r="AJ371" i="20"/>
  <c r="AP189" i="3"/>
  <c r="AI41" i="20"/>
  <c r="AP30" i="18" s="1"/>
  <c r="AQ24" i="3"/>
  <c r="AR23" i="3"/>
  <c r="W39" i="19"/>
  <c r="W44" i="19"/>
  <c r="W482" i="19" s="1"/>
  <c r="AC482" i="21" s="1"/>
  <c r="W48" i="19"/>
  <c r="W516" i="19" s="1"/>
  <c r="W42" i="19"/>
  <c r="W479" i="19" s="1"/>
  <c r="AC479" i="21" s="1"/>
  <c r="W46" i="19"/>
  <c r="W485" i="19" s="1"/>
  <c r="AC485" i="21" s="1"/>
  <c r="AP171" i="3"/>
  <c r="AI25" i="20"/>
  <c r="AP14" i="18" s="1"/>
  <c r="AP170" i="3"/>
  <c r="AI24" i="20"/>
  <c r="AP13" i="18" s="1"/>
  <c r="AP190" i="3"/>
  <c r="AI42" i="20"/>
  <c r="AP31" i="18" s="1"/>
  <c r="AU53" i="12"/>
  <c r="AK390" i="20"/>
  <c r="AP208" i="3" l="1"/>
  <c r="AV48" i="12"/>
  <c r="AW45" i="12"/>
  <c r="AM397" i="20"/>
  <c r="AU50" i="12"/>
  <c r="AL400" i="20" s="1"/>
  <c r="AL399" i="20"/>
  <c r="AS23" i="12"/>
  <c r="S449" i="17"/>
  <c r="T9" i="17"/>
  <c r="T10" i="17" s="1"/>
  <c r="M142" i="20"/>
  <c r="G291" i="20"/>
  <c r="S291" i="20" s="1"/>
  <c r="S233" i="20"/>
  <c r="G58" i="27" s="1"/>
  <c r="S459" i="12"/>
  <c r="V459" i="21" s="1"/>
  <c r="Q127" i="12"/>
  <c r="H159" i="20" s="1"/>
  <c r="P162" i="12"/>
  <c r="AB124" i="12"/>
  <c r="T291" i="20"/>
  <c r="AF291" i="20" s="1"/>
  <c r="AF233" i="20"/>
  <c r="H58" i="27" s="1"/>
  <c r="AS162" i="12"/>
  <c r="AS459" i="12" s="1"/>
  <c r="AV459" i="21" s="1"/>
  <c r="AT162" i="12"/>
  <c r="AT459" i="12" s="1"/>
  <c r="AW459" i="21" s="1"/>
  <c r="AP162" i="12"/>
  <c r="AP459" i="12" s="1"/>
  <c r="AS459" i="21" s="1"/>
  <c r="AU162" i="12"/>
  <c r="AU459" i="12" s="1"/>
  <c r="AX459" i="21" s="1"/>
  <c r="AV162" i="12"/>
  <c r="AV459" i="12" s="1"/>
  <c r="AY459" i="21" s="1"/>
  <c r="AW162" i="12"/>
  <c r="AW459" i="12" s="1"/>
  <c r="AZ459" i="21" s="1"/>
  <c r="AX162" i="12"/>
  <c r="AX459" i="12" s="1"/>
  <c r="BA459" i="21" s="1"/>
  <c r="AC162" i="12"/>
  <c r="AO124" i="12"/>
  <c r="C124" i="12" s="1"/>
  <c r="AQ162" i="12"/>
  <c r="AQ459" i="12" s="1"/>
  <c r="AT459" i="21" s="1"/>
  <c r="AR162" i="12"/>
  <c r="AR459" i="12" s="1"/>
  <c r="AU459" i="21" s="1"/>
  <c r="AL259" i="20"/>
  <c r="AM178" i="20"/>
  <c r="AB133" i="20"/>
  <c r="AB135" i="20" s="1"/>
  <c r="AD154" i="20"/>
  <c r="AD254" i="20" s="1"/>
  <c r="AL116" i="8"/>
  <c r="AJ142" i="8"/>
  <c r="AJ501" i="8"/>
  <c r="AO501" i="21" s="1"/>
  <c r="AK139" i="8"/>
  <c r="AK70" i="8"/>
  <c r="AJ256" i="20"/>
  <c r="AJ278" i="20" s="1"/>
  <c r="AK156" i="20"/>
  <c r="AQ171" i="3"/>
  <c r="AJ25" i="20"/>
  <c r="AQ14" i="18" s="1"/>
  <c r="AR24" i="3"/>
  <c r="AS23" i="3"/>
  <c r="AU22" i="12"/>
  <c r="AK371" i="20"/>
  <c r="X14" i="19"/>
  <c r="X17" i="19" s="1"/>
  <c r="X22" i="19" s="1"/>
  <c r="AV53" i="12"/>
  <c r="AL390" i="20"/>
  <c r="AJ42" i="20"/>
  <c r="AQ31" i="18" s="1"/>
  <c r="AQ190" i="3"/>
  <c r="AQ170" i="3"/>
  <c r="AJ24" i="20"/>
  <c r="AQ13" i="18" s="1"/>
  <c r="W50" i="19"/>
  <c r="W474" i="19"/>
  <c r="AC474" i="21" s="1"/>
  <c r="AJ41" i="20"/>
  <c r="AQ30" i="18" s="1"/>
  <c r="AQ189" i="3"/>
  <c r="AQ208" i="3" s="1"/>
  <c r="AT135" i="12"/>
  <c r="AW48" i="12" l="1"/>
  <c r="AX45" i="12"/>
  <c r="AN397" i="20"/>
  <c r="AV50" i="12"/>
  <c r="AM400" i="20" s="1"/>
  <c r="AM399" i="20"/>
  <c r="U63" i="29"/>
  <c r="U65" i="29" s="1"/>
  <c r="W63" i="29"/>
  <c r="W65" i="29" s="1"/>
  <c r="Y63" i="29"/>
  <c r="Y65" i="29" s="1"/>
  <c r="T63" i="29"/>
  <c r="I63" i="29"/>
  <c r="I65" i="29" s="1"/>
  <c r="K63" i="29"/>
  <c r="K65" i="29" s="1"/>
  <c r="M63" i="29"/>
  <c r="M65" i="29" s="1"/>
  <c r="O63" i="29"/>
  <c r="O65" i="29" s="1"/>
  <c r="Q63" i="29"/>
  <c r="Q65" i="29" s="1"/>
  <c r="G63" i="29"/>
  <c r="V63" i="29"/>
  <c r="V65" i="29" s="1"/>
  <c r="X63" i="29"/>
  <c r="X65" i="29" s="1"/>
  <c r="Z65" i="29"/>
  <c r="H63" i="29"/>
  <c r="H65" i="29" s="1"/>
  <c r="J63" i="29"/>
  <c r="J65" i="29" s="1"/>
  <c r="L63" i="29"/>
  <c r="L65" i="29" s="1"/>
  <c r="N63" i="29"/>
  <c r="N65" i="29" s="1"/>
  <c r="P63" i="29"/>
  <c r="P65" i="29" s="1"/>
  <c r="R63" i="29"/>
  <c r="R65" i="29" s="1"/>
  <c r="AA65" i="29"/>
  <c r="AC63" i="29"/>
  <c r="AC65" i="29" s="1"/>
  <c r="AB63" i="29"/>
  <c r="AB65" i="29" s="1"/>
  <c r="AD63" i="29"/>
  <c r="AD65" i="29" s="1"/>
  <c r="AE63" i="29"/>
  <c r="AE65" i="29" s="1"/>
  <c r="AG63" i="29"/>
  <c r="AG65" i="29" s="1"/>
  <c r="AH63" i="29"/>
  <c r="AH65" i="29" s="1"/>
  <c r="AT23" i="12"/>
  <c r="T11" i="17"/>
  <c r="N308" i="20"/>
  <c r="T38" i="17"/>
  <c r="T110" i="3"/>
  <c r="T241" i="3" s="1"/>
  <c r="S571" i="17"/>
  <c r="P459" i="12"/>
  <c r="AB162" i="12"/>
  <c r="R127" i="12"/>
  <c r="I159" i="20" s="1"/>
  <c r="AC459" i="12"/>
  <c r="AO162" i="12"/>
  <c r="AM259" i="20"/>
  <c r="AN178" i="20"/>
  <c r="AN362" i="20"/>
  <c r="AJ362" i="20"/>
  <c r="AQ362" i="20"/>
  <c r="AM362" i="20"/>
  <c r="AP362" i="20"/>
  <c r="AL362" i="20"/>
  <c r="AI362" i="20"/>
  <c r="AO362" i="20"/>
  <c r="AK362" i="20"/>
  <c r="AC133" i="20"/>
  <c r="AC135" i="20" s="1"/>
  <c r="AE154" i="20"/>
  <c r="AF154" i="20" s="1"/>
  <c r="AJ65" i="29"/>
  <c r="AL139" i="8"/>
  <c r="AL70" i="8"/>
  <c r="AM116" i="8"/>
  <c r="AM139" i="8" s="1"/>
  <c r="AM142" i="8" s="1"/>
  <c r="AK142" i="8"/>
  <c r="AK501" i="8"/>
  <c r="AP501" i="21" s="1"/>
  <c r="AL117" i="8"/>
  <c r="AK256" i="20"/>
  <c r="AK278" i="20" s="1"/>
  <c r="AL156" i="20"/>
  <c r="AU135" i="12"/>
  <c r="W571" i="19"/>
  <c r="AR170" i="3"/>
  <c r="AK24" i="20"/>
  <c r="AR13" i="18" s="1"/>
  <c r="AK42" i="20"/>
  <c r="AR31" i="18" s="1"/>
  <c r="AR190" i="3"/>
  <c r="X42" i="19"/>
  <c r="X46" i="19"/>
  <c r="X39" i="19"/>
  <c r="X44" i="19"/>
  <c r="X48" i="19"/>
  <c r="Y17" i="19"/>
  <c r="AR171" i="3"/>
  <c r="AK25" i="20"/>
  <c r="AR14" i="18" s="1"/>
  <c r="AK41" i="20"/>
  <c r="AR30" i="18" s="1"/>
  <c r="AR189" i="3"/>
  <c r="AR208" i="3" s="1"/>
  <c r="W575" i="19"/>
  <c r="AW53" i="12"/>
  <c r="AM390" i="20"/>
  <c r="Z10" i="19"/>
  <c r="R153" i="20"/>
  <c r="AV22" i="12"/>
  <c r="AL371" i="20"/>
  <c r="AS24" i="3"/>
  <c r="AT23" i="3"/>
  <c r="AO459" i="12" l="1"/>
  <c r="AF459" i="21"/>
  <c r="AB459" i="12"/>
  <c r="S459" i="21"/>
  <c r="AX48" i="12"/>
  <c r="AY45" i="12"/>
  <c r="AO397" i="20"/>
  <c r="AN399" i="20"/>
  <c r="AW50" i="12"/>
  <c r="AN400" i="20" s="1"/>
  <c r="G65" i="29"/>
  <c r="S63" i="29"/>
  <c r="S65" i="29" s="1"/>
  <c r="T65" i="29"/>
  <c r="AF63" i="29"/>
  <c r="AF65" i="29" s="1"/>
  <c r="AU23" i="12"/>
  <c r="T449" i="17"/>
  <c r="U9" i="17"/>
  <c r="U10" i="17" s="1"/>
  <c r="N142" i="20"/>
  <c r="S127" i="12"/>
  <c r="J159" i="20" s="1"/>
  <c r="AO178" i="20"/>
  <c r="AN259" i="20"/>
  <c r="AE254" i="20"/>
  <c r="AF254" i="20" s="1"/>
  <c r="AD133" i="20"/>
  <c r="AD135" i="20" s="1"/>
  <c r="AK65" i="29"/>
  <c r="AL142" i="8"/>
  <c r="AL501" i="8"/>
  <c r="AM70" i="8"/>
  <c r="AM156" i="20"/>
  <c r="AL256" i="20"/>
  <c r="AL278" i="20" s="1"/>
  <c r="AU23" i="3"/>
  <c r="AT24" i="3"/>
  <c r="S153" i="20"/>
  <c r="R276" i="20"/>
  <c r="S276" i="20" s="1"/>
  <c r="AX53" i="12"/>
  <c r="AX118" i="12" s="1"/>
  <c r="AN390" i="20"/>
  <c r="AS171" i="3"/>
  <c r="AL25" i="20"/>
  <c r="AS14" i="18" s="1"/>
  <c r="X516" i="19"/>
  <c r="Y48" i="19"/>
  <c r="X50" i="19"/>
  <c r="X474" i="19"/>
  <c r="AD474" i="21" s="1"/>
  <c r="Y39" i="19"/>
  <c r="X479" i="19"/>
  <c r="AD479" i="21" s="1"/>
  <c r="Y42" i="19"/>
  <c r="W576" i="19"/>
  <c r="AW22" i="12"/>
  <c r="AM371" i="20"/>
  <c r="Z14" i="19"/>
  <c r="Z17" i="19" s="1"/>
  <c r="Z22" i="19" s="1"/>
  <c r="AL41" i="20"/>
  <c r="AS30" i="18" s="1"/>
  <c r="AS189" i="3"/>
  <c r="X482" i="19"/>
  <c r="AD482" i="21" s="1"/>
  <c r="Y44" i="19"/>
  <c r="X485" i="19"/>
  <c r="AD485" i="21" s="1"/>
  <c r="Y46" i="19"/>
  <c r="AL42" i="20"/>
  <c r="AS31" i="18" s="1"/>
  <c r="AS190" i="3"/>
  <c r="AS170" i="3"/>
  <c r="AL24" i="20"/>
  <c r="AS13" i="18" s="1"/>
  <c r="AV135" i="12"/>
  <c r="AM501" i="8" l="1"/>
  <c r="AQ501" i="21"/>
  <c r="AS208" i="3"/>
  <c r="AY48" i="12"/>
  <c r="AZ45" i="12"/>
  <c r="AP397" i="20"/>
  <c r="AX50" i="12"/>
  <c r="AO400" i="20" s="1"/>
  <c r="AO399" i="20"/>
  <c r="AV23" i="12"/>
  <c r="U11" i="17"/>
  <c r="U110" i="3"/>
  <c r="U241" i="3" s="1"/>
  <c r="U38" i="17"/>
  <c r="O308" i="20"/>
  <c r="T571" i="17"/>
  <c r="AY53" i="12"/>
  <c r="AY59" i="12" s="1"/>
  <c r="AY61" i="12" s="1"/>
  <c r="AE459" i="21"/>
  <c r="T127" i="12"/>
  <c r="K159" i="20" s="1"/>
  <c r="AR459" i="21"/>
  <c r="AP178" i="20"/>
  <c r="AO259" i="20"/>
  <c r="AF131" i="20"/>
  <c r="AE133" i="20"/>
  <c r="AL65" i="29"/>
  <c r="AN156" i="20"/>
  <c r="AM256" i="20"/>
  <c r="AM278" i="20" s="1"/>
  <c r="AA10" i="19"/>
  <c r="T153" i="20"/>
  <c r="T276" i="20" s="1"/>
  <c r="AW135" i="12"/>
  <c r="AT170" i="3"/>
  <c r="AM24" i="20"/>
  <c r="AT13" i="18" s="1"/>
  <c r="AM42" i="20"/>
  <c r="AT31" i="18" s="1"/>
  <c r="AT190" i="3"/>
  <c r="AM41" i="20"/>
  <c r="AT30" i="18" s="1"/>
  <c r="AT189" i="3"/>
  <c r="AT208" i="3" s="1"/>
  <c r="AX22" i="12"/>
  <c r="AN371" i="20"/>
  <c r="Y52" i="19"/>
  <c r="X575" i="19"/>
  <c r="Y50" i="19"/>
  <c r="Y575" i="19" s="1"/>
  <c r="Y516" i="19"/>
  <c r="AT171" i="3"/>
  <c r="AM25" i="20"/>
  <c r="AT14" i="18" s="1"/>
  <c r="AO390" i="20"/>
  <c r="AE485" i="21"/>
  <c r="Y485" i="19"/>
  <c r="AE482" i="21"/>
  <c r="Y482" i="19"/>
  <c r="Z42" i="19"/>
  <c r="Z44" i="19"/>
  <c r="Z46" i="19"/>
  <c r="Z48" i="19"/>
  <c r="Z39" i="19"/>
  <c r="AE479" i="21"/>
  <c r="Y479" i="19"/>
  <c r="X571" i="19"/>
  <c r="Y474" i="19"/>
  <c r="AU24" i="3"/>
  <c r="AV23" i="3"/>
  <c r="AZ53" i="12" l="1"/>
  <c r="AZ59" i="12" s="1"/>
  <c r="AZ48" i="12"/>
  <c r="AQ397" i="20"/>
  <c r="BA45" i="12"/>
  <c r="AP399" i="20"/>
  <c r="AY50" i="12"/>
  <c r="AP400" i="20" s="1"/>
  <c r="AQ53" i="10"/>
  <c r="AI134" i="20" s="1"/>
  <c r="AW23" i="12"/>
  <c r="U449" i="17"/>
  <c r="V9" i="17"/>
  <c r="V10" i="17" s="1"/>
  <c r="O142" i="20"/>
  <c r="AP393" i="20"/>
  <c r="AP392" i="20"/>
  <c r="AY126" i="12"/>
  <c r="AY162" i="12" s="1"/>
  <c r="AY459" i="12" s="1"/>
  <c r="BB459" i="21" s="1"/>
  <c r="BA126" i="12"/>
  <c r="AZ126" i="12"/>
  <c r="BB126" i="12"/>
  <c r="AO233" i="20"/>
  <c r="U127" i="12"/>
  <c r="L159" i="20" s="1"/>
  <c r="AP259" i="20"/>
  <c r="AQ178" i="20"/>
  <c r="AF133" i="20"/>
  <c r="H115" i="27" s="1"/>
  <c r="AE135" i="20"/>
  <c r="AG133" i="20"/>
  <c r="AM65" i="29"/>
  <c r="AR501" i="21"/>
  <c r="AO156" i="20"/>
  <c r="AN256" i="20"/>
  <c r="AN278" i="20" s="1"/>
  <c r="X576" i="19"/>
  <c r="Y571" i="19"/>
  <c r="Y576" i="19" s="1"/>
  <c r="Z516" i="19"/>
  <c r="Z482" i="19"/>
  <c r="AF482" i="21" s="1"/>
  <c r="AU171" i="3"/>
  <c r="AN25" i="20"/>
  <c r="AU14" i="18" s="1"/>
  <c r="AY22" i="12"/>
  <c r="AO371" i="20"/>
  <c r="AU189" i="3"/>
  <c r="AN41" i="20"/>
  <c r="AU30" i="18" s="1"/>
  <c r="AU170" i="3"/>
  <c r="AN24" i="20"/>
  <c r="AU13" i="18" s="1"/>
  <c r="AX135" i="12"/>
  <c r="AV24" i="3"/>
  <c r="AW23" i="3"/>
  <c r="AE474" i="21"/>
  <c r="Z50" i="19"/>
  <c r="Z474" i="19"/>
  <c r="AF474" i="21" s="1"/>
  <c r="Z485" i="19"/>
  <c r="AF485" i="21" s="1"/>
  <c r="Z479" i="19"/>
  <c r="AF479" i="21" s="1"/>
  <c r="AP390" i="20"/>
  <c r="AU190" i="3"/>
  <c r="AN42" i="20"/>
  <c r="AU31" i="18" s="1"/>
  <c r="AA14" i="19"/>
  <c r="AA17" i="19" s="1"/>
  <c r="AA22" i="19" s="1"/>
  <c r="AU208" i="3" l="1"/>
  <c r="AQ37" i="10"/>
  <c r="BA48" i="12"/>
  <c r="BB45" i="12"/>
  <c r="AQ399" i="20"/>
  <c r="AZ50" i="12"/>
  <c r="AQ400" i="20" s="1"/>
  <c r="AX23" i="12"/>
  <c r="V11" i="17"/>
  <c r="P308" i="20"/>
  <c r="V38" i="17"/>
  <c r="V110" i="3"/>
  <c r="V241" i="3" s="1"/>
  <c r="U571" i="17"/>
  <c r="Q58" i="27"/>
  <c r="AO291" i="20"/>
  <c r="V127" i="12"/>
  <c r="M159" i="20" s="1"/>
  <c r="AG135" i="20"/>
  <c r="I7" i="27" s="1"/>
  <c r="I115" i="27"/>
  <c r="AQ259" i="20"/>
  <c r="AR53" i="10"/>
  <c r="AJ134" i="20" s="1"/>
  <c r="AH133" i="20"/>
  <c r="AF135" i="20"/>
  <c r="H7" i="27"/>
  <c r="AN65" i="29"/>
  <c r="AO256" i="20"/>
  <c r="AO278" i="20" s="1"/>
  <c r="AP156" i="20"/>
  <c r="AV190" i="3"/>
  <c r="AO42" i="20"/>
  <c r="AV31" i="18" s="1"/>
  <c r="AA42" i="19"/>
  <c r="AA44" i="19"/>
  <c r="AA46" i="19"/>
  <c r="AA48" i="19"/>
  <c r="AA39" i="19"/>
  <c r="BB162" i="12"/>
  <c r="BB459" i="12" s="1"/>
  <c r="AP233" i="20"/>
  <c r="AZ162" i="12"/>
  <c r="AZ459" i="12" s="1"/>
  <c r="BC459" i="21" s="1"/>
  <c r="BA162" i="12"/>
  <c r="BA459" i="12" s="1"/>
  <c r="Z575" i="19"/>
  <c r="AW24" i="3"/>
  <c r="AZ22" i="12"/>
  <c r="AP371" i="20"/>
  <c r="AB10" i="19"/>
  <c r="U153" i="20"/>
  <c r="U276" i="20" s="1"/>
  <c r="AZ57" i="12"/>
  <c r="AQ390" i="20"/>
  <c r="Z571" i="19"/>
  <c r="AY135" i="12"/>
  <c r="AV170" i="3"/>
  <c r="AO24" i="20"/>
  <c r="AV13" i="18" s="1"/>
  <c r="AV189" i="3"/>
  <c r="AV208" i="3" s="1"/>
  <c r="AO41" i="20"/>
  <c r="AV30" i="18" s="1"/>
  <c r="AV171" i="3"/>
  <c r="AO25" i="20"/>
  <c r="AV14" i="18" s="1"/>
  <c r="BB48" i="12" l="1"/>
  <c r="BC45" i="12"/>
  <c r="BA50" i="12"/>
  <c r="AY23" i="12"/>
  <c r="V449" i="17"/>
  <c r="W9" i="17"/>
  <c r="W10" i="17" s="1"/>
  <c r="P142" i="20"/>
  <c r="W127" i="12"/>
  <c r="N159" i="20" s="1"/>
  <c r="AH135" i="20"/>
  <c r="J7" i="27" s="1"/>
  <c r="J115" i="27"/>
  <c r="AI133" i="20"/>
  <c r="K115" i="27" s="1"/>
  <c r="AO65" i="29"/>
  <c r="AP256" i="20"/>
  <c r="AP278" i="20" s="1"/>
  <c r="AQ156" i="20"/>
  <c r="AW189" i="3"/>
  <c r="AP41" i="20"/>
  <c r="AW30" i="18" s="1"/>
  <c r="AZ61" i="12"/>
  <c r="AQ393" i="20" s="1"/>
  <c r="AQ392" i="20"/>
  <c r="AZ58" i="12"/>
  <c r="AZ106" i="12"/>
  <c r="AZ65" i="12"/>
  <c r="BA22" i="12"/>
  <c r="AZ23" i="12" s="1"/>
  <c r="AQ371" i="20"/>
  <c r="AA50" i="19"/>
  <c r="AA474" i="19"/>
  <c r="AG474" i="21" s="1"/>
  <c r="AA485" i="19"/>
  <c r="AG485" i="21" s="1"/>
  <c r="AA479" i="19"/>
  <c r="AG479" i="21" s="1"/>
  <c r="AW171" i="3"/>
  <c r="AP25" i="20"/>
  <c r="AW14" i="18" s="1"/>
  <c r="AW170" i="3"/>
  <c r="AP24" i="20"/>
  <c r="AW13" i="18" s="1"/>
  <c r="AZ135" i="12"/>
  <c r="Z576" i="19"/>
  <c r="AB14" i="19"/>
  <c r="AB17" i="19" s="1"/>
  <c r="AB22" i="19" s="1"/>
  <c r="R58" i="27"/>
  <c r="AP291" i="20"/>
  <c r="AA516" i="19"/>
  <c r="AA482" i="19"/>
  <c r="AG482" i="21" s="1"/>
  <c r="AW190" i="3"/>
  <c r="AP42" i="20"/>
  <c r="AW31" i="18" s="1"/>
  <c r="AW208" i="3" l="1"/>
  <c r="BC48" i="12"/>
  <c r="BC50" i="12" s="1"/>
  <c r="BD45" i="12"/>
  <c r="BB50" i="12"/>
  <c r="W11" i="17"/>
  <c r="W110" i="3"/>
  <c r="W241" i="3" s="1"/>
  <c r="W38" i="17"/>
  <c r="Q308" i="20"/>
  <c r="V571" i="17"/>
  <c r="X127" i="12"/>
  <c r="O159" i="20" s="1"/>
  <c r="AJ133" i="20"/>
  <c r="L115" i="27" s="1"/>
  <c r="AS53" i="10"/>
  <c r="AK134" i="20" s="1"/>
  <c r="K88" i="27"/>
  <c r="AQ574" i="10"/>
  <c r="AQ46" i="10"/>
  <c r="AQ42" i="10"/>
  <c r="AQ49" i="10"/>
  <c r="AQ45" i="10"/>
  <c r="AQ41" i="10"/>
  <c r="AQ51" i="10"/>
  <c r="AI269" i="20"/>
  <c r="AQ48" i="10"/>
  <c r="AQ44" i="10"/>
  <c r="AQ40" i="10"/>
  <c r="AQ38" i="10"/>
  <c r="AQ47" i="10"/>
  <c r="AQ43" i="10"/>
  <c r="AQ39" i="10"/>
  <c r="AQ50" i="10"/>
  <c r="AP65" i="29"/>
  <c r="AQ256" i="20"/>
  <c r="AQ278" i="20" s="1"/>
  <c r="AQ42" i="20"/>
  <c r="AX31" i="18" s="1"/>
  <c r="AC10" i="19"/>
  <c r="V153" i="20"/>
  <c r="V276" i="20" s="1"/>
  <c r="BA135" i="12"/>
  <c r="AQ24" i="20"/>
  <c r="AX13" i="18" s="1"/>
  <c r="AA571" i="19"/>
  <c r="AQ41" i="20"/>
  <c r="AX30" i="18" s="1"/>
  <c r="AB42" i="19"/>
  <c r="AB44" i="19"/>
  <c r="AB46" i="19"/>
  <c r="AB48" i="19"/>
  <c r="AB39" i="19"/>
  <c r="AQ25" i="20"/>
  <c r="AX14" i="18" s="1"/>
  <c r="AA575" i="19"/>
  <c r="BB22" i="12"/>
  <c r="AQ394" i="20"/>
  <c r="AQ416" i="20" s="1"/>
  <c r="AQ271" i="20"/>
  <c r="AZ66" i="12"/>
  <c r="BA53" i="12"/>
  <c r="BD48" i="12" l="1"/>
  <c r="BD50" i="12" s="1"/>
  <c r="BE45" i="12"/>
  <c r="BA23" i="12"/>
  <c r="W449" i="17"/>
  <c r="X9" i="17"/>
  <c r="X10" i="17" s="1"/>
  <c r="Q142" i="20"/>
  <c r="Y127" i="12"/>
  <c r="P159" i="20" s="1"/>
  <c r="AR39" i="10"/>
  <c r="AQ435" i="10"/>
  <c r="AU435" i="21" s="1"/>
  <c r="AR47" i="10"/>
  <c r="AQ443" i="10"/>
  <c r="AU443" i="21" s="1"/>
  <c r="AR40" i="10"/>
  <c r="AQ436" i="10"/>
  <c r="AU436" i="21" s="1"/>
  <c r="AR48" i="10"/>
  <c r="AQ444" i="10"/>
  <c r="AU444" i="21" s="1"/>
  <c r="AR41" i="10"/>
  <c r="AQ437" i="10"/>
  <c r="AU437" i="21" s="1"/>
  <c r="AR49" i="10"/>
  <c r="AQ445" i="10"/>
  <c r="AU445" i="21" s="1"/>
  <c r="AR42" i="10"/>
  <c r="AQ438" i="10"/>
  <c r="AU438" i="21" s="1"/>
  <c r="AK133" i="20"/>
  <c r="M115" i="27" s="1"/>
  <c r="AT53" i="10"/>
  <c r="AL134" i="20" s="1"/>
  <c r="AR574" i="10"/>
  <c r="AJ269" i="20"/>
  <c r="L88" i="27"/>
  <c r="AR50" i="10"/>
  <c r="AQ516" i="10"/>
  <c r="AR43" i="10"/>
  <c r="AQ439" i="10"/>
  <c r="AU439" i="21" s="1"/>
  <c r="AR38" i="10"/>
  <c r="AQ434" i="10"/>
  <c r="AU434" i="21" s="1"/>
  <c r="AR44" i="10"/>
  <c r="AQ440" i="10"/>
  <c r="AU440" i="21" s="1"/>
  <c r="AR51" i="10"/>
  <c r="AQ517" i="10"/>
  <c r="AR45" i="10"/>
  <c r="AQ441" i="10"/>
  <c r="AU441" i="21" s="1"/>
  <c r="AR37" i="10"/>
  <c r="AQ433" i="10"/>
  <c r="AU433" i="21" s="1"/>
  <c r="AR46" i="10"/>
  <c r="AQ442" i="10"/>
  <c r="AU442" i="21" s="1"/>
  <c r="AJ135" i="20"/>
  <c r="L7" i="27" s="1"/>
  <c r="AI135" i="20"/>
  <c r="K7" i="27" s="1"/>
  <c r="AQ65" i="29"/>
  <c r="BA57" i="12"/>
  <c r="BA59" i="12"/>
  <c r="AB516" i="19"/>
  <c r="AB482" i="19"/>
  <c r="AH482" i="21" s="1"/>
  <c r="AA576" i="19"/>
  <c r="AC14" i="19"/>
  <c r="AC17" i="19" s="1"/>
  <c r="AC22" i="19" s="1"/>
  <c r="BC22" i="12"/>
  <c r="AB50" i="19"/>
  <c r="AB474" i="19"/>
  <c r="AH474" i="21" s="1"/>
  <c r="AB485" i="19"/>
  <c r="AH485" i="21" s="1"/>
  <c r="AB479" i="19"/>
  <c r="AH479" i="21" s="1"/>
  <c r="BE48" i="12" l="1"/>
  <c r="BE50" i="12" s="1"/>
  <c r="BF45" i="12"/>
  <c r="BB23" i="12"/>
  <c r="X11" i="17"/>
  <c r="X38" i="17"/>
  <c r="R308" i="20"/>
  <c r="X110" i="3"/>
  <c r="X241" i="3" s="1"/>
  <c r="Y10" i="17"/>
  <c r="W571" i="17"/>
  <c r="Z127" i="12"/>
  <c r="Q159" i="20" s="1"/>
  <c r="AQ571" i="10"/>
  <c r="AQ575" i="10" s="1"/>
  <c r="AI108" i="20"/>
  <c r="AS48" i="10"/>
  <c r="AR444" i="10"/>
  <c r="AV444" i="21" s="1"/>
  <c r="AR436" i="10"/>
  <c r="AV436" i="21" s="1"/>
  <c r="AS40" i="10"/>
  <c r="AR443" i="10"/>
  <c r="AV443" i="21" s="1"/>
  <c r="AS47" i="10"/>
  <c r="AR435" i="10"/>
  <c r="AV435" i="21" s="1"/>
  <c r="AS39" i="10"/>
  <c r="AR442" i="10"/>
  <c r="AV442" i="21" s="1"/>
  <c r="AS46" i="10"/>
  <c r="AR433" i="10"/>
  <c r="AV433" i="21" s="1"/>
  <c r="AS37" i="10"/>
  <c r="AR441" i="10"/>
  <c r="AV441" i="21" s="1"/>
  <c r="AS45" i="10"/>
  <c r="AR517" i="10"/>
  <c r="AS51" i="10"/>
  <c r="AR440" i="10"/>
  <c r="AV440" i="21" s="1"/>
  <c r="AS44" i="10"/>
  <c r="AR434" i="10"/>
  <c r="AV434" i="21" s="1"/>
  <c r="AS38" i="10"/>
  <c r="AR439" i="10"/>
  <c r="AV439" i="21" s="1"/>
  <c r="AS43" i="10"/>
  <c r="AR516" i="10"/>
  <c r="AS50" i="10"/>
  <c r="AL133" i="20"/>
  <c r="N115" i="27" s="1"/>
  <c r="AU53" i="10"/>
  <c r="AM134" i="20" s="1"/>
  <c r="M88" i="27"/>
  <c r="AS574" i="10"/>
  <c r="AK269" i="20"/>
  <c r="AR438" i="10"/>
  <c r="AV438" i="21" s="1"/>
  <c r="AS42" i="10"/>
  <c r="AR445" i="10"/>
  <c r="AV445" i="21" s="1"/>
  <c r="AS49" i="10"/>
  <c r="AR437" i="10"/>
  <c r="AV437" i="21" s="1"/>
  <c r="AS41" i="10"/>
  <c r="AD10" i="19"/>
  <c r="W153" i="20"/>
  <c r="W276" i="20" s="1"/>
  <c r="AB571" i="19"/>
  <c r="BD22" i="12"/>
  <c r="BA58" i="12"/>
  <c r="BA106" i="12"/>
  <c r="BA65" i="12"/>
  <c r="AB575" i="19"/>
  <c r="AC42" i="19"/>
  <c r="AC44" i="19"/>
  <c r="AC46" i="19"/>
  <c r="AC48" i="19"/>
  <c r="AC39" i="19"/>
  <c r="BA61" i="12"/>
  <c r="BF48" i="12" l="1"/>
  <c r="BF50" i="12" s="1"/>
  <c r="BG45" i="12"/>
  <c r="BG48" i="12" s="1"/>
  <c r="BG49" i="12" s="1"/>
  <c r="BH45" i="12" s="1"/>
  <c r="BC23" i="12"/>
  <c r="X449" i="17"/>
  <c r="Y38" i="17"/>
  <c r="Y110" i="3"/>
  <c r="Y241" i="3" s="1"/>
  <c r="S308" i="20"/>
  <c r="G71" i="27" s="1"/>
  <c r="R142" i="20"/>
  <c r="Z9" i="17"/>
  <c r="Z10" i="17" s="1"/>
  <c r="AA127" i="12"/>
  <c r="R159" i="20" s="1"/>
  <c r="K39" i="27"/>
  <c r="G13" i="32"/>
  <c r="AT41" i="10"/>
  <c r="AS437" i="10"/>
  <c r="AW437" i="21" s="1"/>
  <c r="AT49" i="10"/>
  <c r="AS445" i="10"/>
  <c r="AW445" i="21" s="1"/>
  <c r="AT42" i="10"/>
  <c r="AS438" i="10"/>
  <c r="AW438" i="21" s="1"/>
  <c r="AL135" i="20"/>
  <c r="N7" i="27" s="1"/>
  <c r="AT50" i="10"/>
  <c r="AS516" i="10"/>
  <c r="AT43" i="10"/>
  <c r="AS439" i="10"/>
  <c r="AW439" i="21" s="1"/>
  <c r="AT38" i="10"/>
  <c r="AS434" i="10"/>
  <c r="AW434" i="21" s="1"/>
  <c r="AT44" i="10"/>
  <c r="AS440" i="10"/>
  <c r="AW440" i="21" s="1"/>
  <c r="AT51" i="10"/>
  <c r="AS517" i="10"/>
  <c r="AT45" i="10"/>
  <c r="AS441" i="10"/>
  <c r="AW441" i="21" s="1"/>
  <c r="AT37" i="10"/>
  <c r="AS433" i="10"/>
  <c r="AW433" i="21" s="1"/>
  <c r="AT46" i="10"/>
  <c r="AS442" i="10"/>
  <c r="AW442" i="21" s="1"/>
  <c r="AT39" i="10"/>
  <c r="AS435" i="10"/>
  <c r="AW435" i="21" s="1"/>
  <c r="AT47" i="10"/>
  <c r="AS443" i="10"/>
  <c r="AW443" i="21" s="1"/>
  <c r="AT40" i="10"/>
  <c r="AS436" i="10"/>
  <c r="AW436" i="21" s="1"/>
  <c r="AK135" i="20"/>
  <c r="M7" i="27" s="1"/>
  <c r="AM133" i="20"/>
  <c r="O115" i="27" s="1"/>
  <c r="AV53" i="10"/>
  <c r="AN134" i="20" s="1"/>
  <c r="AT574" i="10"/>
  <c r="N88" i="27"/>
  <c r="AL269" i="20"/>
  <c r="AR571" i="10"/>
  <c r="AR575" i="10" s="1"/>
  <c r="AJ108" i="20"/>
  <c r="AS444" i="10"/>
  <c r="AW444" i="21" s="1"/>
  <c r="AT48" i="10"/>
  <c r="BA66" i="12"/>
  <c r="BB53" i="12"/>
  <c r="BE22" i="12"/>
  <c r="AD14" i="19"/>
  <c r="AD17" i="19" s="1"/>
  <c r="AD22" i="19" s="1"/>
  <c r="AC50" i="19"/>
  <c r="AC474" i="19"/>
  <c r="AI474" i="21" s="1"/>
  <c r="AC485" i="19"/>
  <c r="AI485" i="21" s="1"/>
  <c r="AC479" i="19"/>
  <c r="AI479" i="21" s="1"/>
  <c r="AC516" i="19"/>
  <c r="AC482" i="19"/>
  <c r="AI482" i="21" s="1"/>
  <c r="AB576" i="19"/>
  <c r="BH48" i="12" l="1"/>
  <c r="BH49" i="12" s="1"/>
  <c r="BI45" i="12" s="1"/>
  <c r="BD23" i="12"/>
  <c r="Z38" i="17"/>
  <c r="Z449" i="17" s="1"/>
  <c r="Z110" i="3"/>
  <c r="Z241" i="3" s="1"/>
  <c r="Z11" i="17"/>
  <c r="T308" i="20"/>
  <c r="S142" i="20"/>
  <c r="G9" i="27"/>
  <c r="X571" i="17"/>
  <c r="Y571" i="17" s="1"/>
  <c r="Y449" i="17"/>
  <c r="S159" i="20"/>
  <c r="AC127" i="12"/>
  <c r="T159" i="20" s="1"/>
  <c r="L39" i="27"/>
  <c r="H13" i="32"/>
  <c r="AM135" i="20"/>
  <c r="O7" i="27" s="1"/>
  <c r="AN133" i="20"/>
  <c r="P115" i="27" s="1"/>
  <c r="AW53" i="10"/>
  <c r="AO134" i="20" s="1"/>
  <c r="O88" i="27"/>
  <c r="AU574" i="10"/>
  <c r="AM269" i="20"/>
  <c r="AU40" i="10"/>
  <c r="AT436" i="10"/>
  <c r="AX436" i="21" s="1"/>
  <c r="AU47" i="10"/>
  <c r="AT443" i="10"/>
  <c r="AX443" i="21" s="1"/>
  <c r="AU39" i="10"/>
  <c r="AT435" i="10"/>
  <c r="AX435" i="21" s="1"/>
  <c r="AU46" i="10"/>
  <c r="AT442" i="10"/>
  <c r="AX442" i="21" s="1"/>
  <c r="AU37" i="10"/>
  <c r="AT433" i="10"/>
  <c r="AX433" i="21" s="1"/>
  <c r="AU45" i="10"/>
  <c r="AT441" i="10"/>
  <c r="AX441" i="21" s="1"/>
  <c r="AU51" i="10"/>
  <c r="AT517" i="10"/>
  <c r="AU44" i="10"/>
  <c r="AT440" i="10"/>
  <c r="AX440" i="21" s="1"/>
  <c r="AU38" i="10"/>
  <c r="AT434" i="10"/>
  <c r="AX434" i="21" s="1"/>
  <c r="AU43" i="10"/>
  <c r="AT439" i="10"/>
  <c r="AX439" i="21" s="1"/>
  <c r="AU50" i="10"/>
  <c r="AT516" i="10"/>
  <c r="AU48" i="10"/>
  <c r="AT444" i="10"/>
  <c r="AX444" i="21" s="1"/>
  <c r="AS571" i="10"/>
  <c r="AS575" i="10" s="1"/>
  <c r="AK108" i="20"/>
  <c r="AU42" i="10"/>
  <c r="AT438" i="10"/>
  <c r="AX438" i="21" s="1"/>
  <c r="AU49" i="10"/>
  <c r="AT445" i="10"/>
  <c r="AX445" i="21" s="1"/>
  <c r="AU41" i="10"/>
  <c r="AT437" i="10"/>
  <c r="AX437" i="21" s="1"/>
  <c r="AC575" i="19"/>
  <c r="AD42" i="19"/>
  <c r="AD44" i="19"/>
  <c r="AD46" i="19"/>
  <c r="AD48" i="19"/>
  <c r="AD39" i="19"/>
  <c r="BF22" i="12"/>
  <c r="AC571" i="19"/>
  <c r="AE10" i="19"/>
  <c r="X153" i="20"/>
  <c r="X276" i="20" s="1"/>
  <c r="BB57" i="12"/>
  <c r="BB59" i="12"/>
  <c r="Z571" i="17" l="1"/>
  <c r="BI48" i="12"/>
  <c r="BI49" i="12" s="1"/>
  <c r="BJ45" i="12" s="1"/>
  <c r="BE23" i="12"/>
  <c r="AA9" i="17"/>
  <c r="AA10" i="17" s="1"/>
  <c r="T142" i="20"/>
  <c r="AD127" i="12"/>
  <c r="U159" i="20" s="1"/>
  <c r="M39" i="27"/>
  <c r="I13" i="32"/>
  <c r="AV48" i="10"/>
  <c r="AU444" i="10"/>
  <c r="AY444" i="21" s="1"/>
  <c r="AV50" i="10"/>
  <c r="AU516" i="10"/>
  <c r="AV43" i="10"/>
  <c r="AU439" i="10"/>
  <c r="AY439" i="21" s="1"/>
  <c r="AV38" i="10"/>
  <c r="AU434" i="10"/>
  <c r="AY434" i="21" s="1"/>
  <c r="AV44" i="10"/>
  <c r="AU440" i="10"/>
  <c r="AY440" i="21" s="1"/>
  <c r="AU517" i="10"/>
  <c r="AV51" i="10"/>
  <c r="AU441" i="10"/>
  <c r="AY441" i="21" s="1"/>
  <c r="AV45" i="10"/>
  <c r="AU433" i="10"/>
  <c r="AY433" i="21" s="1"/>
  <c r="AV37" i="10"/>
  <c r="AU442" i="10"/>
  <c r="AY442" i="21" s="1"/>
  <c r="AV46" i="10"/>
  <c r="AV39" i="10"/>
  <c r="AU435" i="10"/>
  <c r="AY435" i="21" s="1"/>
  <c r="AV47" i="10"/>
  <c r="AU443" i="10"/>
  <c r="AY443" i="21" s="1"/>
  <c r="AU436" i="10"/>
  <c r="AY436" i="21" s="1"/>
  <c r="AV40" i="10"/>
  <c r="AO133" i="20"/>
  <c r="Q115" i="27" s="1"/>
  <c r="AN269" i="20"/>
  <c r="P88" i="27"/>
  <c r="AV574" i="10"/>
  <c r="AU437" i="10"/>
  <c r="AY437" i="21" s="1"/>
  <c r="AV41" i="10"/>
  <c r="AU445" i="10"/>
  <c r="AY445" i="21" s="1"/>
  <c r="AV49" i="10"/>
  <c r="AV42" i="10"/>
  <c r="AU438" i="10"/>
  <c r="AY438" i="21" s="1"/>
  <c r="AT571" i="10"/>
  <c r="AT575" i="10" s="1"/>
  <c r="AL108" i="20"/>
  <c r="AN135" i="20"/>
  <c r="P7" i="27" s="1"/>
  <c r="BB61" i="12"/>
  <c r="AC576" i="19"/>
  <c r="BG22" i="12"/>
  <c r="BF23" i="12" s="1"/>
  <c r="AD50" i="19"/>
  <c r="AD474" i="19"/>
  <c r="AJ474" i="21" s="1"/>
  <c r="AD485" i="19"/>
  <c r="AJ485" i="21" s="1"/>
  <c r="AD479" i="19"/>
  <c r="AJ479" i="21" s="1"/>
  <c r="BB58" i="12"/>
  <c r="BB106" i="12"/>
  <c r="BB65" i="12"/>
  <c r="AE14" i="19"/>
  <c r="AE17" i="19" s="1"/>
  <c r="AE22" i="19" s="1"/>
  <c r="AD516" i="19"/>
  <c r="AD482" i="19"/>
  <c r="AJ482" i="21" s="1"/>
  <c r="BJ48" i="12" l="1"/>
  <c r="BJ49" i="12" s="1"/>
  <c r="BK45" i="12" s="1"/>
  <c r="AA38" i="17"/>
  <c r="AA449" i="17" s="1"/>
  <c r="AA110" i="3"/>
  <c r="AA241" i="3" s="1"/>
  <c r="AA11" i="17"/>
  <c r="U308" i="20"/>
  <c r="AE127" i="12"/>
  <c r="V159" i="20" s="1"/>
  <c r="N39" i="27"/>
  <c r="J13" i="32"/>
  <c r="AV438" i="10"/>
  <c r="AZ438" i="21" s="1"/>
  <c r="AW42" i="10"/>
  <c r="AO269" i="20"/>
  <c r="Q88" i="27"/>
  <c r="AW574" i="10"/>
  <c r="AV443" i="10"/>
  <c r="AZ443" i="21" s="1"/>
  <c r="AW47" i="10"/>
  <c r="AV435" i="10"/>
  <c r="AZ435" i="21" s="1"/>
  <c r="AW39" i="10"/>
  <c r="AM108" i="20"/>
  <c r="AU571" i="10"/>
  <c r="AU575" i="10" s="1"/>
  <c r="AV440" i="10"/>
  <c r="AZ440" i="21" s="1"/>
  <c r="AW44" i="10"/>
  <c r="AV434" i="10"/>
  <c r="AZ434" i="21" s="1"/>
  <c r="AW38" i="10"/>
  <c r="AV439" i="10"/>
  <c r="AZ439" i="21" s="1"/>
  <c r="AW43" i="10"/>
  <c r="AV516" i="10"/>
  <c r="AW50" i="10"/>
  <c r="AW48" i="10"/>
  <c r="AV444" i="10"/>
  <c r="AZ444" i="21" s="1"/>
  <c r="AV445" i="10"/>
  <c r="AZ445" i="21" s="1"/>
  <c r="AW49" i="10"/>
  <c r="AV437" i="10"/>
  <c r="AZ437" i="21" s="1"/>
  <c r="AW41" i="10"/>
  <c r="AX53" i="10"/>
  <c r="AP134" i="20" s="1"/>
  <c r="AP133" i="20"/>
  <c r="R115" i="27" s="1"/>
  <c r="AV436" i="10"/>
  <c r="AZ436" i="21" s="1"/>
  <c r="AW40" i="10"/>
  <c r="AV442" i="10"/>
  <c r="AZ442" i="21" s="1"/>
  <c r="AW46" i="10"/>
  <c r="AV433" i="10"/>
  <c r="AZ433" i="21" s="1"/>
  <c r="AW37" i="10"/>
  <c r="AV441" i="10"/>
  <c r="AZ441" i="21" s="1"/>
  <c r="AW45" i="10"/>
  <c r="AV517" i="10"/>
  <c r="AW51" i="10"/>
  <c r="AF10" i="19"/>
  <c r="Y153" i="20"/>
  <c r="Y276" i="20" s="1"/>
  <c r="BB66" i="12"/>
  <c r="BC53" i="12"/>
  <c r="AD575" i="19"/>
  <c r="AE42" i="19"/>
  <c r="AE479" i="19" s="1"/>
  <c r="AK479" i="21" s="1"/>
  <c r="AE44" i="19"/>
  <c r="AE482" i="19" s="1"/>
  <c r="AK482" i="21" s="1"/>
  <c r="AE46" i="19"/>
  <c r="AE485" i="19" s="1"/>
  <c r="AK485" i="21" s="1"/>
  <c r="AE48" i="19"/>
  <c r="AE516" i="19" s="1"/>
  <c r="AE39" i="19"/>
  <c r="AD571" i="19"/>
  <c r="BH22" i="12"/>
  <c r="AA571" i="17" l="1"/>
  <c r="BK48" i="12"/>
  <c r="BK49" i="12" s="1"/>
  <c r="BL45" i="12" s="1"/>
  <c r="AB9" i="17"/>
  <c r="AB10" i="17" s="1"/>
  <c r="U142" i="20"/>
  <c r="AF127" i="12"/>
  <c r="W159" i="20" s="1"/>
  <c r="O39" i="27"/>
  <c r="K13" i="32"/>
  <c r="AX51" i="10"/>
  <c r="AW517" i="10"/>
  <c r="AX45" i="10"/>
  <c r="AW441" i="10"/>
  <c r="BA441" i="21" s="1"/>
  <c r="AX37" i="10"/>
  <c r="AW433" i="10"/>
  <c r="BA433" i="21" s="1"/>
  <c r="AX46" i="10"/>
  <c r="AW442" i="10"/>
  <c r="BA442" i="21" s="1"/>
  <c r="AX40" i="10"/>
  <c r="AW436" i="10"/>
  <c r="BA436" i="21" s="1"/>
  <c r="AY53" i="10"/>
  <c r="AQ134" i="20" s="1"/>
  <c r="AQ133" i="20"/>
  <c r="S115" i="27" s="1"/>
  <c r="AX574" i="10"/>
  <c r="AP269" i="20"/>
  <c r="R88" i="27"/>
  <c r="AX50" i="10"/>
  <c r="AW516" i="10"/>
  <c r="AX43" i="10"/>
  <c r="AW439" i="10"/>
  <c r="BA439" i="21" s="1"/>
  <c r="AX38" i="10"/>
  <c r="AW434" i="10"/>
  <c r="BA434" i="21" s="1"/>
  <c r="AX44" i="10"/>
  <c r="AW440" i="10"/>
  <c r="BA440" i="21" s="1"/>
  <c r="AX39" i="10"/>
  <c r="AW435" i="10"/>
  <c r="BA435" i="21" s="1"/>
  <c r="AX47" i="10"/>
  <c r="AW443" i="10"/>
  <c r="BA443" i="21" s="1"/>
  <c r="AX42" i="10"/>
  <c r="AW438" i="10"/>
  <c r="BA438" i="21" s="1"/>
  <c r="AN108" i="20"/>
  <c r="AV571" i="10"/>
  <c r="AV575" i="10" s="1"/>
  <c r="AX41" i="10"/>
  <c r="AW437" i="10"/>
  <c r="BA437" i="21" s="1"/>
  <c r="AX49" i="10"/>
  <c r="AW445" i="10"/>
  <c r="BA445" i="21" s="1"/>
  <c r="AX48" i="10"/>
  <c r="AW444" i="10"/>
  <c r="BA444" i="21" s="1"/>
  <c r="AO135" i="20"/>
  <c r="Q7" i="27" s="1"/>
  <c r="BI22" i="12"/>
  <c r="BJ22" i="12" s="1"/>
  <c r="BK22" i="12" s="1"/>
  <c r="BL22" i="12" s="1"/>
  <c r="BM22" i="12" s="1"/>
  <c r="BN22" i="12" s="1"/>
  <c r="BO22" i="12" s="1"/>
  <c r="BP22" i="12" s="1"/>
  <c r="BQ22" i="12" s="1"/>
  <c r="AE50" i="19"/>
  <c r="AE474" i="19"/>
  <c r="AK474" i="21" s="1"/>
  <c r="AF14" i="19"/>
  <c r="AF17" i="19" s="1"/>
  <c r="AF22" i="19" s="1"/>
  <c r="AD576" i="19"/>
  <c r="BC57" i="12"/>
  <c r="BC65" i="12" s="1"/>
  <c r="BC59" i="12"/>
  <c r="BL48" i="12" l="1"/>
  <c r="BL49" i="12" s="1"/>
  <c r="BM45" i="12" s="1"/>
  <c r="AB38" i="17"/>
  <c r="AB449" i="17" s="1"/>
  <c r="AB110" i="3"/>
  <c r="AB241" i="3" s="1"/>
  <c r="AB11" i="17"/>
  <c r="V308" i="20"/>
  <c r="AQ135" i="20"/>
  <c r="S7" i="27" s="1"/>
  <c r="AP135" i="20"/>
  <c r="R7" i="27" s="1"/>
  <c r="AG127" i="12"/>
  <c r="X159" i="20" s="1"/>
  <c r="P39" i="27"/>
  <c r="L13" i="32"/>
  <c r="AY48" i="10"/>
  <c r="AX444" i="10"/>
  <c r="BB444" i="21" s="1"/>
  <c r="AO108" i="20"/>
  <c r="AW571" i="10"/>
  <c r="AW575" i="10" s="1"/>
  <c r="AY49" i="10"/>
  <c r="AX445" i="10"/>
  <c r="BB445" i="21" s="1"/>
  <c r="AY41" i="10"/>
  <c r="AX437" i="10"/>
  <c r="BB437" i="21" s="1"/>
  <c r="AY42" i="10"/>
  <c r="AX438" i="10"/>
  <c r="BB438" i="21" s="1"/>
  <c r="AX443" i="10"/>
  <c r="BB443" i="21" s="1"/>
  <c r="AY47" i="10"/>
  <c r="AX435" i="10"/>
  <c r="BB435" i="21" s="1"/>
  <c r="AY39" i="10"/>
  <c r="AX440" i="10"/>
  <c r="BB440" i="21" s="1"/>
  <c r="AY44" i="10"/>
  <c r="AX434" i="10"/>
  <c r="BB434" i="21" s="1"/>
  <c r="AY38" i="10"/>
  <c r="AX439" i="10"/>
  <c r="BB439" i="21" s="1"/>
  <c r="AY43" i="10"/>
  <c r="AX516" i="10"/>
  <c r="AY50" i="10"/>
  <c r="AQ269" i="20"/>
  <c r="AY574" i="10"/>
  <c r="S88" i="27"/>
  <c r="AX436" i="10"/>
  <c r="BB436" i="21" s="1"/>
  <c r="AY40" i="10"/>
  <c r="AY46" i="10"/>
  <c r="AX442" i="10"/>
  <c r="BB442" i="21" s="1"/>
  <c r="AY37" i="10"/>
  <c r="AX433" i="10"/>
  <c r="BB433" i="21" s="1"/>
  <c r="AY45" i="10"/>
  <c r="AX441" i="10"/>
  <c r="BB441" i="21" s="1"/>
  <c r="AY51" i="10"/>
  <c r="AX517" i="10"/>
  <c r="BC61" i="12"/>
  <c r="BD53" i="12"/>
  <c r="AF42" i="19"/>
  <c r="AF479" i="19" s="1"/>
  <c r="AL479" i="21" s="1"/>
  <c r="AF44" i="19"/>
  <c r="AF482" i="19" s="1"/>
  <c r="AL482" i="21" s="1"/>
  <c r="AF46" i="19"/>
  <c r="AF485" i="19" s="1"/>
  <c r="AL485" i="21" s="1"/>
  <c r="AF48" i="19"/>
  <c r="AF516" i="19" s="1"/>
  <c r="AF39" i="19"/>
  <c r="AE575" i="19"/>
  <c r="AG10" i="19"/>
  <c r="Z153" i="20"/>
  <c r="Z276" i="20" s="1"/>
  <c r="AE571" i="19"/>
  <c r="AB571" i="17" l="1"/>
  <c r="BM48" i="12"/>
  <c r="BM49" i="12" s="1"/>
  <c r="BN45" i="12" s="1"/>
  <c r="AE576" i="19"/>
  <c r="V142" i="20"/>
  <c r="AC9" i="17"/>
  <c r="AC10" i="17" s="1"/>
  <c r="AH127" i="12"/>
  <c r="Y159" i="20" s="1"/>
  <c r="Q39" i="27"/>
  <c r="M13" i="32"/>
  <c r="AY517" i="10"/>
  <c r="AY441" i="10"/>
  <c r="BC441" i="21" s="1"/>
  <c r="AY433" i="10"/>
  <c r="BC433" i="21" s="1"/>
  <c r="AY442" i="10"/>
  <c r="BC442" i="21" s="1"/>
  <c r="AY438" i="10"/>
  <c r="BC438" i="21" s="1"/>
  <c r="AX571" i="10"/>
  <c r="AX575" i="10" s="1"/>
  <c r="AP108" i="20"/>
  <c r="AY436" i="10"/>
  <c r="BC436" i="21" s="1"/>
  <c r="AY516" i="10"/>
  <c r="AY439" i="10"/>
  <c r="BC439" i="21" s="1"/>
  <c r="AY434" i="10"/>
  <c r="BC434" i="21" s="1"/>
  <c r="AY440" i="10"/>
  <c r="BC440" i="21" s="1"/>
  <c r="AY435" i="10"/>
  <c r="BC435" i="21" s="1"/>
  <c r="AY443" i="10"/>
  <c r="BC443" i="21" s="1"/>
  <c r="AY437" i="10"/>
  <c r="BC437" i="21" s="1"/>
  <c r="AY445" i="10"/>
  <c r="BC445" i="21" s="1"/>
  <c r="AY444" i="10"/>
  <c r="BC444" i="21" s="1"/>
  <c r="AF50" i="19"/>
  <c r="AF474" i="19"/>
  <c r="AL474" i="21" s="1"/>
  <c r="BE53" i="12"/>
  <c r="BD57" i="12"/>
  <c r="BD65" i="12" s="1"/>
  <c r="BD59" i="12"/>
  <c r="AG14" i="19"/>
  <c r="AG17" i="19" s="1"/>
  <c r="AG22" i="19" s="1"/>
  <c r="BN48" i="12" l="1"/>
  <c r="BN49" i="12" s="1"/>
  <c r="BO45" i="12" s="1"/>
  <c r="AC38" i="17"/>
  <c r="AC449" i="17" s="1"/>
  <c r="AC110" i="3"/>
  <c r="AC241" i="3" s="1"/>
  <c r="AC11" i="17"/>
  <c r="W308" i="20"/>
  <c r="AI127" i="12"/>
  <c r="Z159" i="20" s="1"/>
  <c r="R39" i="27"/>
  <c r="N13" i="32"/>
  <c r="AY571" i="10"/>
  <c r="AY575" i="10" s="1"/>
  <c r="AQ108" i="20"/>
  <c r="AG42" i="19"/>
  <c r="AG479" i="19" s="1"/>
  <c r="AM479" i="21" s="1"/>
  <c r="AG44" i="19"/>
  <c r="AG482" i="19" s="1"/>
  <c r="AM482" i="21" s="1"/>
  <c r="AG46" i="19"/>
  <c r="AG485" i="19" s="1"/>
  <c r="AM485" i="21" s="1"/>
  <c r="AG48" i="19"/>
  <c r="AG516" i="19" s="1"/>
  <c r="AG39" i="19"/>
  <c r="BD61" i="12"/>
  <c r="BF53" i="12"/>
  <c r="BE57" i="12"/>
  <c r="BE65" i="12" s="1"/>
  <c r="BE59" i="12"/>
  <c r="AF575" i="19"/>
  <c r="AH10" i="19"/>
  <c r="AA153" i="20"/>
  <c r="AA276" i="20" s="1"/>
  <c r="AF571" i="19"/>
  <c r="AF576" i="19" l="1"/>
  <c r="AC571" i="17"/>
  <c r="BO48" i="12"/>
  <c r="BO49" i="12" s="1"/>
  <c r="BP45" i="12" s="1"/>
  <c r="W142" i="20"/>
  <c r="AD9" i="17"/>
  <c r="AD10" i="17" s="1"/>
  <c r="AJ127" i="12"/>
  <c r="AA159" i="20" s="1"/>
  <c r="S39" i="27"/>
  <c r="O13" i="32"/>
  <c r="AH14" i="19"/>
  <c r="AH17" i="19" s="1"/>
  <c r="AH22" i="19" s="1"/>
  <c r="BE61" i="12"/>
  <c r="BG53" i="12"/>
  <c r="BF57" i="12"/>
  <c r="BF65" i="12" s="1"/>
  <c r="BF59" i="12"/>
  <c r="AG50" i="19"/>
  <c r="AG474" i="19"/>
  <c r="AM474" i="21" s="1"/>
  <c r="BP49" i="12" l="1"/>
  <c r="BP48" i="12"/>
  <c r="BQ45" i="12"/>
  <c r="BQ48" i="12" s="1"/>
  <c r="BQ49" i="12" s="1"/>
  <c r="AD38" i="17"/>
  <c r="AD449" i="17" s="1"/>
  <c r="AD11" i="17"/>
  <c r="X308" i="20"/>
  <c r="AD110" i="3"/>
  <c r="AD241" i="3" s="1"/>
  <c r="AK127" i="12"/>
  <c r="AB159" i="20" s="1"/>
  <c r="AG575" i="19"/>
  <c r="BF61" i="12"/>
  <c r="AG571" i="19"/>
  <c r="AH42" i="19"/>
  <c r="AH479" i="19" s="1"/>
  <c r="AN479" i="21" s="1"/>
  <c r="AH44" i="19"/>
  <c r="AH482" i="19" s="1"/>
  <c r="AN482" i="21" s="1"/>
  <c r="AH46" i="19"/>
  <c r="AH485" i="19" s="1"/>
  <c r="AN485" i="21" s="1"/>
  <c r="AH48" i="19"/>
  <c r="AH516" i="19" s="1"/>
  <c r="AH39" i="19"/>
  <c r="BH53" i="12"/>
  <c r="BG57" i="12"/>
  <c r="BG65" i="12" s="1"/>
  <c r="BG59" i="12"/>
  <c r="AI10" i="19"/>
  <c r="AB153" i="20"/>
  <c r="AB276" i="20" s="1"/>
  <c r="AD571" i="17" l="1"/>
  <c r="X142" i="20"/>
  <c r="AE9" i="17"/>
  <c r="AE10" i="17" s="1"/>
  <c r="AL127" i="12"/>
  <c r="AC159" i="20" s="1"/>
  <c r="AG576" i="19"/>
  <c r="AH50" i="19"/>
  <c r="AH474" i="19"/>
  <c r="AN474" i="21" s="1"/>
  <c r="AI14" i="19"/>
  <c r="AI17" i="19" s="1"/>
  <c r="AI22" i="19" s="1"/>
  <c r="BG61" i="12"/>
  <c r="BI53" i="12"/>
  <c r="BH57" i="12"/>
  <c r="BH65" i="12" s="1"/>
  <c r="BH59" i="12"/>
  <c r="AE38" i="17" l="1"/>
  <c r="AE449" i="17" s="1"/>
  <c r="AE11" i="17"/>
  <c r="Y308" i="20"/>
  <c r="AE110" i="3"/>
  <c r="AE241" i="3" s="1"/>
  <c r="AM127" i="12"/>
  <c r="AD159" i="20" s="1"/>
  <c r="BH61" i="12"/>
  <c r="BJ53" i="12"/>
  <c r="BI57" i="12"/>
  <c r="BI65" i="12" s="1"/>
  <c r="BI59" i="12"/>
  <c r="AI42" i="19"/>
  <c r="AI479" i="19" s="1"/>
  <c r="AO479" i="21" s="1"/>
  <c r="AI44" i="19"/>
  <c r="AI482" i="19" s="1"/>
  <c r="AO482" i="21" s="1"/>
  <c r="AI46" i="19"/>
  <c r="AI485" i="19" s="1"/>
  <c r="AO485" i="21" s="1"/>
  <c r="AI48" i="19"/>
  <c r="AI516" i="19" s="1"/>
  <c r="AI39" i="19"/>
  <c r="AH571" i="19"/>
  <c r="AJ10" i="19"/>
  <c r="AC153" i="20"/>
  <c r="AC276" i="20" s="1"/>
  <c r="AH575" i="19"/>
  <c r="AE571" i="17" l="1"/>
  <c r="Y142" i="20"/>
  <c r="AF9" i="17"/>
  <c r="AF10" i="17" s="1"/>
  <c r="AN127" i="12"/>
  <c r="AE159" i="20" s="1"/>
  <c r="AH576" i="19"/>
  <c r="BI61" i="12"/>
  <c r="BK53" i="12"/>
  <c r="BJ57" i="12"/>
  <c r="BJ65" i="12" s="1"/>
  <c r="BJ59" i="12"/>
  <c r="AJ14" i="19"/>
  <c r="AJ17" i="19" s="1"/>
  <c r="AI50" i="19"/>
  <c r="AI474" i="19"/>
  <c r="AO474" i="21" s="1"/>
  <c r="AF38" i="17" l="1"/>
  <c r="AF11" i="17"/>
  <c r="Z308" i="20"/>
  <c r="AF110" i="3"/>
  <c r="AF241" i="3" s="1"/>
  <c r="AP127" i="12"/>
  <c r="AG159" i="20" s="1"/>
  <c r="AF159" i="20"/>
  <c r="AI575" i="19"/>
  <c r="AJ42" i="19"/>
  <c r="AJ479" i="19" s="1"/>
  <c r="AP479" i="21" s="1"/>
  <c r="AJ44" i="19"/>
  <c r="AJ482" i="19" s="1"/>
  <c r="AP482" i="21" s="1"/>
  <c r="AJ46" i="19"/>
  <c r="AJ485" i="19" s="1"/>
  <c r="AP485" i="21" s="1"/>
  <c r="AJ48" i="19"/>
  <c r="AJ516" i="19" s="1"/>
  <c r="AJ39" i="19"/>
  <c r="AI571" i="19"/>
  <c r="AI576" i="19" s="1"/>
  <c r="AJ22" i="19"/>
  <c r="BJ61" i="12"/>
  <c r="BL53" i="12"/>
  <c r="BK57" i="12"/>
  <c r="BK65" i="12" s="1"/>
  <c r="BK59" i="12"/>
  <c r="Z142" i="20" l="1"/>
  <c r="AG9" i="17"/>
  <c r="AG10" i="17" s="1"/>
  <c r="AF449" i="17"/>
  <c r="AQ127" i="12"/>
  <c r="AH159" i="20" s="1"/>
  <c r="AJ50" i="19"/>
  <c r="AJ474" i="19"/>
  <c r="AP474" i="21" s="1"/>
  <c r="BK61" i="12"/>
  <c r="BM53" i="12"/>
  <c r="BL57" i="12"/>
  <c r="BL65" i="12" s="1"/>
  <c r="BL59" i="12"/>
  <c r="AK10" i="19"/>
  <c r="AD153" i="20"/>
  <c r="AD276" i="20" s="1"/>
  <c r="AG38" i="17" l="1"/>
  <c r="AG110" i="3"/>
  <c r="AG241" i="3" s="1"/>
  <c r="AG11" i="17"/>
  <c r="AA308" i="20"/>
  <c r="AF571" i="17"/>
  <c r="AR127" i="12"/>
  <c r="AI159" i="20" s="1"/>
  <c r="BL61" i="12"/>
  <c r="BN53" i="12"/>
  <c r="BM57" i="12"/>
  <c r="BM65" i="12" s="1"/>
  <c r="BM59" i="12"/>
  <c r="AJ575" i="19"/>
  <c r="AK14" i="19"/>
  <c r="AK17" i="19" s="1"/>
  <c r="AJ571" i="19"/>
  <c r="AJ576" i="19" s="1"/>
  <c r="AH9" i="17" l="1"/>
  <c r="AH10" i="17" s="1"/>
  <c r="AA142" i="20"/>
  <c r="AG449" i="17"/>
  <c r="AS127" i="12"/>
  <c r="AJ159" i="20" s="1"/>
  <c r="AK42" i="19"/>
  <c r="AK44" i="19"/>
  <c r="AK46" i="19"/>
  <c r="AK48" i="19"/>
  <c r="AK39" i="19"/>
  <c r="AL17" i="19"/>
  <c r="AK22" i="19"/>
  <c r="BM61" i="12"/>
  <c r="BO53" i="12"/>
  <c r="BN57" i="12"/>
  <c r="BN65" i="12" s="1"/>
  <c r="BN59" i="12"/>
  <c r="AG571" i="17" l="1"/>
  <c r="AH38" i="17"/>
  <c r="AH11" i="17"/>
  <c r="AB308" i="20"/>
  <c r="AH110" i="3"/>
  <c r="AH241" i="3" s="1"/>
  <c r="AT127" i="12"/>
  <c r="AK159" i="20" s="1"/>
  <c r="BP53" i="12"/>
  <c r="BO57" i="12"/>
  <c r="BO65" i="12" s="1"/>
  <c r="BO59" i="12"/>
  <c r="AM10" i="19"/>
  <c r="AE153" i="20"/>
  <c r="AK50" i="19"/>
  <c r="AK474" i="19"/>
  <c r="AQ474" i="21" s="1"/>
  <c r="AL39" i="19"/>
  <c r="AK485" i="19"/>
  <c r="AQ485" i="21" s="1"/>
  <c r="AL46" i="19"/>
  <c r="AK479" i="19"/>
  <c r="AQ479" i="21" s="1"/>
  <c r="AL42" i="19"/>
  <c r="BN61" i="12"/>
  <c r="AK516" i="19"/>
  <c r="AL516" i="19" s="1"/>
  <c r="AL48" i="19"/>
  <c r="AK482" i="19"/>
  <c r="AQ482" i="21" s="1"/>
  <c r="AL44" i="19"/>
  <c r="AL482" i="19" l="1"/>
  <c r="AL479" i="19"/>
  <c r="AR485" i="21"/>
  <c r="AL485" i="19"/>
  <c r="AL474" i="19"/>
  <c r="AH449" i="17"/>
  <c r="AI9" i="17"/>
  <c r="AI10" i="17" s="1"/>
  <c r="AB142" i="20"/>
  <c r="AU127" i="12"/>
  <c r="AL159" i="20" s="1"/>
  <c r="AR482" i="21"/>
  <c r="AL52" i="19"/>
  <c r="AK575" i="19"/>
  <c r="AL50" i="19"/>
  <c r="AL575" i="19" s="1"/>
  <c r="AF153" i="20"/>
  <c r="AE276" i="20"/>
  <c r="AF276" i="20" s="1"/>
  <c r="AR479" i="21"/>
  <c r="AK571" i="19"/>
  <c r="AL571" i="19" s="1"/>
  <c r="BO61" i="12"/>
  <c r="BQ53" i="12"/>
  <c r="BP57" i="12"/>
  <c r="BP65" i="12" s="1"/>
  <c r="BP59" i="12"/>
  <c r="BQ59" i="12" l="1"/>
  <c r="BQ60" i="12"/>
  <c r="AI38" i="17"/>
  <c r="AI11" i="17"/>
  <c r="AC308" i="20"/>
  <c r="AI110" i="3"/>
  <c r="AI241" i="3" s="1"/>
  <c r="AH571" i="17"/>
  <c r="AV127" i="12"/>
  <c r="AM159" i="20" s="1"/>
  <c r="BP61" i="12"/>
  <c r="BQ57" i="12"/>
  <c r="BQ65" i="12" s="1"/>
  <c r="AR474" i="21"/>
  <c r="AK576" i="19"/>
  <c r="AL576" i="19"/>
  <c r="AJ9" i="17" l="1"/>
  <c r="AJ10" i="17" s="1"/>
  <c r="AC142" i="20"/>
  <c r="AI449" i="17"/>
  <c r="AW127" i="12"/>
  <c r="AN159" i="20" s="1"/>
  <c r="BQ61" i="12"/>
  <c r="AI571" i="17" l="1"/>
  <c r="AJ38" i="17"/>
  <c r="AJ11" i="17"/>
  <c r="AD308" i="20"/>
  <c r="AJ110" i="3"/>
  <c r="AJ241" i="3" s="1"/>
  <c r="AX127" i="12"/>
  <c r="AO159" i="20" s="1"/>
  <c r="AK9" i="17" l="1"/>
  <c r="AK10" i="17" s="1"/>
  <c r="AD142" i="20"/>
  <c r="AJ449" i="17"/>
  <c r="AY127" i="12"/>
  <c r="AP159" i="20" s="1"/>
  <c r="AJ571" i="17" l="1"/>
  <c r="AK38" i="17"/>
  <c r="AK11" i="17"/>
  <c r="AE308" i="20"/>
  <c r="AK110" i="3"/>
  <c r="AK241" i="3" s="1"/>
  <c r="AL10" i="17"/>
  <c r="AZ127" i="12"/>
  <c r="AQ159" i="20" s="1"/>
  <c r="AF308" i="20" l="1"/>
  <c r="H71" i="27" s="1"/>
  <c r="AL110" i="3"/>
  <c r="AL241" i="3" s="1"/>
  <c r="AM9" i="17"/>
  <c r="AM10" i="17" s="1"/>
  <c r="AE142" i="20"/>
  <c r="AK449" i="17"/>
  <c r="AL38" i="17"/>
  <c r="BA127" i="12"/>
  <c r="AK571" i="17" l="1"/>
  <c r="AL571" i="17" s="1"/>
  <c r="AL449" i="17"/>
  <c r="H9" i="27"/>
  <c r="AF142" i="20"/>
  <c r="AM11" i="17"/>
  <c r="AG308" i="20"/>
  <c r="I71" i="27" s="1"/>
  <c r="AM110" i="3"/>
  <c r="AM241" i="3" s="1"/>
  <c r="BB127" i="12"/>
  <c r="AG142" i="20" l="1"/>
  <c r="I9" i="27" s="1"/>
  <c r="AN9" i="17"/>
  <c r="AN10" i="17" l="1"/>
  <c r="AN11" i="17" s="1"/>
  <c r="AO9" i="17" l="1"/>
  <c r="AO10" i="17" s="1"/>
  <c r="AH142" i="20"/>
  <c r="J9" i="27" s="1"/>
  <c r="AN110" i="3"/>
  <c r="AN241" i="3" s="1"/>
  <c r="AH308" i="20"/>
  <c r="J71" i="27" s="1"/>
  <c r="AO11" i="17" l="1"/>
  <c r="AO110" i="3"/>
  <c r="AO241" i="3" s="1"/>
  <c r="AI308" i="20"/>
  <c r="K71" i="27" s="1"/>
  <c r="AP9" i="17" l="1"/>
  <c r="AP10" i="17" s="1"/>
  <c r="AI142" i="20"/>
  <c r="K9" i="27" s="1"/>
  <c r="AP11" i="17" l="1"/>
  <c r="AP110" i="3"/>
  <c r="AP241" i="3" s="1"/>
  <c r="AJ308" i="20"/>
  <c r="L71" i="27" s="1"/>
  <c r="AQ9" i="17" l="1"/>
  <c r="AQ10" i="17" s="1"/>
  <c r="AJ142" i="20"/>
  <c r="L9" i="27" s="1"/>
  <c r="AQ11" i="17" l="1"/>
  <c r="AK308" i="20"/>
  <c r="M71" i="27" s="1"/>
  <c r="AQ110" i="3"/>
  <c r="AQ241" i="3" s="1"/>
  <c r="AK142" i="20" l="1"/>
  <c r="M9" i="27" s="1"/>
  <c r="AR9" i="17"/>
  <c r="AR10" i="17" s="1"/>
  <c r="AR11" i="17" l="1"/>
  <c r="AR110" i="3"/>
  <c r="AR241" i="3" s="1"/>
  <c r="AL308" i="20"/>
  <c r="N71" i="27" s="1"/>
  <c r="AS9" i="17" l="1"/>
  <c r="AL142" i="20"/>
  <c r="N9" i="27" s="1"/>
  <c r="AS10" i="17" l="1"/>
  <c r="AM308" i="20" l="1"/>
  <c r="O71" i="27" s="1"/>
  <c r="AS110" i="3"/>
  <c r="AS241" i="3" s="1"/>
  <c r="AS11" i="17"/>
  <c r="AM142" i="20" l="1"/>
  <c r="O9" i="27" s="1"/>
  <c r="AT9" i="17"/>
  <c r="AT10" i="17" s="1"/>
  <c r="AT11" i="17" l="1"/>
  <c r="AT110" i="3"/>
  <c r="AT241" i="3" s="1"/>
  <c r="AN308" i="20"/>
  <c r="P71" i="27" s="1"/>
  <c r="AN142" i="20" l="1"/>
  <c r="P9" i="27" s="1"/>
  <c r="AU9" i="17"/>
  <c r="AU10" i="17" s="1"/>
  <c r="AU11" i="17" l="1"/>
  <c r="AO308" i="20"/>
  <c r="Q71" i="27" s="1"/>
  <c r="AU110" i="3"/>
  <c r="AU241" i="3" s="1"/>
  <c r="AV9" i="17" l="1"/>
  <c r="AV10" i="17" s="1"/>
  <c r="AO142" i="20"/>
  <c r="Q9" i="27" s="1"/>
  <c r="AO16" i="3"/>
  <c r="AP16" i="3"/>
  <c r="AJ16" i="20" s="1"/>
  <c r="AV11" i="17" l="1"/>
  <c r="AV110" i="3"/>
  <c r="AV241" i="3" s="1"/>
  <c r="AP308" i="20"/>
  <c r="R71" i="27" s="1"/>
  <c r="AO15" i="3"/>
  <c r="AI15" i="20" s="1"/>
  <c r="AI16" i="20"/>
  <c r="AP15" i="3"/>
  <c r="AJ15" i="20" s="1"/>
  <c r="AW9" i="17" l="1"/>
  <c r="AW10" i="17" s="1"/>
  <c r="AP142" i="20"/>
  <c r="R9" i="27" s="1"/>
  <c r="AQ16" i="3"/>
  <c r="AW11" i="17" l="1"/>
  <c r="AW110" i="3"/>
  <c r="AW241" i="3" s="1"/>
  <c r="AQ308" i="20"/>
  <c r="S71" i="27" s="1"/>
  <c r="AR16" i="3"/>
  <c r="AQ15" i="3"/>
  <c r="AK16" i="20"/>
  <c r="AQ142" i="20" l="1"/>
  <c r="S9" i="27" s="1"/>
  <c r="AK15" i="20"/>
  <c r="AS16" i="3"/>
  <c r="AR15" i="3"/>
  <c r="AL16" i="20"/>
  <c r="AL15" i="20" l="1"/>
  <c r="AM16" i="20"/>
  <c r="AS15" i="3"/>
  <c r="AT16" i="3"/>
  <c r="AU16" i="3" l="1"/>
  <c r="AT15" i="3"/>
  <c r="AN16" i="20"/>
  <c r="AM15" i="20"/>
  <c r="AU15" i="3" l="1"/>
  <c r="AO16" i="20"/>
  <c r="AN15" i="20"/>
  <c r="AV16" i="3"/>
  <c r="AP16" i="20" l="1"/>
  <c r="AO15" i="20"/>
  <c r="AW16" i="3"/>
  <c r="AV15" i="3"/>
  <c r="AW15" i="3" l="1"/>
  <c r="AP15" i="20"/>
  <c r="AQ16" i="20"/>
  <c r="AQ15" i="20" l="1"/>
  <c r="AP28" i="19" l="1"/>
  <c r="AN28" i="19"/>
  <c r="AO28" i="19"/>
  <c r="AM28" i="19"/>
  <c r="AQ28" i="19" l="1"/>
  <c r="AR28" i="19" l="1"/>
  <c r="AS28" i="19" l="1"/>
  <c r="AT28" i="19" l="1"/>
  <c r="AU28" i="19" l="1"/>
  <c r="AV28" i="19" l="1"/>
  <c r="AW28" i="19" l="1"/>
  <c r="AO100" i="8" l="1"/>
  <c r="AW9" i="3"/>
  <c r="AV9" i="3"/>
  <c r="AU9" i="3"/>
  <c r="AT9" i="3"/>
  <c r="AS9" i="3"/>
  <c r="AR9" i="3"/>
  <c r="AQ9" i="3"/>
  <c r="AP9" i="3"/>
  <c r="AO9" i="3"/>
  <c r="AN107" i="8" l="1"/>
  <c r="AI9" i="20"/>
  <c r="AK9" i="20"/>
  <c r="AM9" i="20"/>
  <c r="AO9" i="20"/>
  <c r="AQ9" i="20"/>
  <c r="AJ9" i="20"/>
  <c r="AL9" i="20"/>
  <c r="AN9" i="20"/>
  <c r="AP9" i="20"/>
  <c r="AO112" i="8" l="1"/>
  <c r="AO107" i="8"/>
  <c r="AN32" i="3" l="1"/>
  <c r="AN51" i="3"/>
  <c r="AN50" i="3"/>
  <c r="AN72" i="3" s="1"/>
  <c r="AO51" i="3" l="1"/>
  <c r="AO32" i="3"/>
  <c r="AO50" i="3"/>
  <c r="AO72" i="3" s="1"/>
  <c r="AP50" i="3" l="1"/>
  <c r="AP32" i="3"/>
  <c r="AP51" i="3"/>
  <c r="AP72" i="3" l="1"/>
  <c r="AQ51" i="3"/>
  <c r="AQ32" i="3"/>
  <c r="AQ50" i="3"/>
  <c r="AQ72" i="3" s="1"/>
  <c r="AP74" i="3" l="1"/>
  <c r="AR51" i="3"/>
  <c r="AO74" i="3"/>
  <c r="AR50" i="3"/>
  <c r="AR32" i="3"/>
  <c r="AR72" i="3" l="1"/>
  <c r="AS32" i="3"/>
  <c r="AS50" i="3"/>
  <c r="AS72" i="3" s="1"/>
  <c r="AS51" i="3"/>
  <c r="AI71" i="20"/>
  <c r="K137" i="27" s="1"/>
  <c r="K139" i="27" s="1"/>
  <c r="AQ74" i="3"/>
  <c r="AJ71" i="20" l="1"/>
  <c r="L137" i="27" s="1"/>
  <c r="L139" i="27" s="1"/>
  <c r="AT50" i="3"/>
  <c r="AT32" i="3"/>
  <c r="AT51" i="3"/>
  <c r="AT72" i="3" l="1"/>
  <c r="AS74" i="3"/>
  <c r="AU51" i="3"/>
  <c r="AK71" i="20"/>
  <c r="M137" i="27" s="1"/>
  <c r="M139" i="27" s="1"/>
  <c r="AR74" i="3"/>
  <c r="AU32" i="3"/>
  <c r="AU50" i="3"/>
  <c r="AV50" i="3" l="1"/>
  <c r="AU72" i="3"/>
  <c r="AT74" i="3"/>
  <c r="AW50" i="3"/>
  <c r="AV32" i="3"/>
  <c r="AL71" i="20"/>
  <c r="N137" i="27" s="1"/>
  <c r="N139" i="27" s="1"/>
  <c r="AV51" i="3"/>
  <c r="AV72" i="3" l="1"/>
  <c r="AW51" i="3"/>
  <c r="AW72" i="3" s="1"/>
  <c r="AW32" i="3"/>
  <c r="AM71" i="20"/>
  <c r="O137" i="27" s="1"/>
  <c r="O139" i="27" s="1"/>
  <c r="AN71" i="20" l="1"/>
  <c r="P137" i="27" s="1"/>
  <c r="P139" i="27" s="1"/>
  <c r="AU74" i="3"/>
  <c r="AV74" i="3" l="1"/>
  <c r="AO71" i="20"/>
  <c r="Q137" i="27" s="1"/>
  <c r="Q139" i="27" s="1"/>
  <c r="AW74" i="3" l="1"/>
  <c r="AP71" i="20"/>
  <c r="R137" i="27" s="1"/>
  <c r="R139" i="27" s="1"/>
  <c r="AQ71" i="20" l="1"/>
  <c r="S137" i="27" s="1"/>
  <c r="S139" i="27" s="1"/>
  <c r="AN40" i="19" l="1"/>
  <c r="AN476" i="19" s="1"/>
  <c r="AT476" i="21" s="1"/>
  <c r="AM40" i="19"/>
  <c r="AM476" i="19" s="1"/>
  <c r="AS476" i="21" s="1"/>
  <c r="AP30" i="19"/>
  <c r="AQ40" i="19"/>
  <c r="AQ476" i="19" s="1"/>
  <c r="AW476" i="21" s="1"/>
  <c r="AP40" i="19"/>
  <c r="AP476" i="19" s="1"/>
  <c r="AV476" i="21" s="1"/>
  <c r="AO40" i="19"/>
  <c r="AO476" i="19" s="1"/>
  <c r="AU476" i="21" s="1"/>
  <c r="AN45" i="19"/>
  <c r="AN484" i="19" s="1"/>
  <c r="AT484" i="21" s="1"/>
  <c r="AO45" i="19" l="1"/>
  <c r="AO484" i="19" s="1"/>
  <c r="AU484" i="21" s="1"/>
  <c r="AM45" i="19"/>
  <c r="AM484" i="19" s="1"/>
  <c r="AS484" i="21" s="1"/>
  <c r="AP43" i="19"/>
  <c r="AP481" i="19" s="1"/>
  <c r="AV481" i="21" s="1"/>
  <c r="AP45" i="19"/>
  <c r="AP484" i="19" s="1"/>
  <c r="AV484" i="21" s="1"/>
  <c r="AP32" i="8"/>
  <c r="AO41" i="19" s="1"/>
  <c r="AO477" i="19" s="1"/>
  <c r="AU477" i="21" s="1"/>
  <c r="AO32" i="8"/>
  <c r="AN41" i="19" s="1"/>
  <c r="AN477" i="19" s="1"/>
  <c r="AT477" i="21" s="1"/>
  <c r="AN30" i="19"/>
  <c r="AQ32" i="8"/>
  <c r="AP41" i="19" s="1"/>
  <c r="AP477" i="19" s="1"/>
  <c r="AV477" i="21" s="1"/>
  <c r="AN29" i="19"/>
  <c r="AM29" i="19"/>
  <c r="AP31" i="19"/>
  <c r="AO47" i="19"/>
  <c r="AO486" i="19" s="1"/>
  <c r="AU486" i="21" s="1"/>
  <c r="AM47" i="19"/>
  <c r="AM486" i="19" s="1"/>
  <c r="AS486" i="21" s="1"/>
  <c r="AQ492" i="8"/>
  <c r="AV492" i="21" s="1"/>
  <c r="AN32" i="8"/>
  <c r="AM30" i="19"/>
  <c r="AQ29" i="19"/>
  <c r="AP29" i="19"/>
  <c r="AQ47" i="19"/>
  <c r="AQ486" i="19" s="1"/>
  <c r="AW486" i="21" s="1"/>
  <c r="AN43" i="19"/>
  <c r="AN481" i="19" s="1"/>
  <c r="AT481" i="21" s="1"/>
  <c r="AN31" i="19"/>
  <c r="AQ31" i="19"/>
  <c r="AQ45" i="19"/>
  <c r="AQ484" i="19" s="1"/>
  <c r="AW484" i="21" s="1"/>
  <c r="AM43" i="19"/>
  <c r="AM481" i="19" s="1"/>
  <c r="AS481" i="21" s="1"/>
  <c r="AO43" i="19"/>
  <c r="AO481" i="19" s="1"/>
  <c r="AU481" i="21" s="1"/>
  <c r="AM31" i="19"/>
  <c r="AN47" i="19"/>
  <c r="AN486" i="19" s="1"/>
  <c r="AT486" i="21" s="1"/>
  <c r="AO29" i="19"/>
  <c r="AR492" i="8"/>
  <c r="AW492" i="21" s="1"/>
  <c r="AO31" i="19"/>
  <c r="AP47" i="19"/>
  <c r="AP486" i="19" s="1"/>
  <c r="AV486" i="21" s="1"/>
  <c r="AQ43" i="19"/>
  <c r="AQ481" i="19" s="1"/>
  <c r="AW481" i="21" s="1"/>
  <c r="AR32" i="8"/>
  <c r="AQ30" i="19"/>
  <c r="AO30" i="19"/>
  <c r="AR40" i="19"/>
  <c r="AR476" i="19" s="1"/>
  <c r="AX476" i="21" s="1"/>
  <c r="AP492" i="8" l="1"/>
  <c r="AU492" i="21" s="1"/>
  <c r="AR31" i="19"/>
  <c r="AR30" i="19"/>
  <c r="AR47" i="19"/>
  <c r="AR486" i="19" s="1"/>
  <c r="AX486" i="21" s="1"/>
  <c r="AR43" i="19"/>
  <c r="AR481" i="19" s="1"/>
  <c r="AX481" i="21" s="1"/>
  <c r="AS32" i="8"/>
  <c r="AR29" i="19"/>
  <c r="AR45" i="19"/>
  <c r="AR484" i="19" s="1"/>
  <c r="AX484" i="21" s="1"/>
  <c r="AS492" i="8"/>
  <c r="AX492" i="21" s="1"/>
  <c r="AQ41" i="19"/>
  <c r="AQ477" i="19" s="1"/>
  <c r="AW477" i="21" s="1"/>
  <c r="AM41" i="19"/>
  <c r="AM477" i="19" s="1"/>
  <c r="AS477" i="21" s="1"/>
  <c r="AR41" i="19" l="1"/>
  <c r="AR477" i="19" s="1"/>
  <c r="AX477" i="21" s="1"/>
  <c r="AN146" i="8" l="1"/>
  <c r="AN516" i="8" s="1"/>
  <c r="AN108" i="8" l="1"/>
  <c r="AN48" i="8"/>
  <c r="AM13" i="19" s="1"/>
  <c r="AM16" i="19" s="1"/>
  <c r="AM21" i="19" s="1"/>
  <c r="AN9" i="19" s="1"/>
  <c r="AN115" i="8"/>
  <c r="AN116" i="8" s="1"/>
  <c r="AM49" i="19"/>
  <c r="AN59" i="8"/>
  <c r="AN113" i="8" l="1"/>
  <c r="AN71" i="8" s="1"/>
  <c r="AM32" i="19"/>
  <c r="AM33" i="19" s="1"/>
  <c r="AN28" i="8"/>
  <c r="AN106" i="8"/>
  <c r="AG154" i="20"/>
  <c r="AN70" i="8"/>
  <c r="AN139" i="8"/>
  <c r="AN117" i="8"/>
  <c r="AN140" i="8" l="1"/>
  <c r="AN501" i="8" s="1"/>
  <c r="AS501" i="21" s="1"/>
  <c r="AM12" i="19"/>
  <c r="AN33" i="8"/>
  <c r="AG254" i="20"/>
  <c r="AG206" i="20" l="1"/>
  <c r="AM14" i="19"/>
  <c r="AM17" i="19" s="1"/>
  <c r="AN142" i="8"/>
  <c r="AM39" i="19" l="1"/>
  <c r="AM44" i="19"/>
  <c r="AM482" i="19" s="1"/>
  <c r="AS482" i="21" s="1"/>
  <c r="AM48" i="19"/>
  <c r="AM516" i="19" s="1"/>
  <c r="AM42" i="19"/>
  <c r="AM479" i="19" s="1"/>
  <c r="AS479" i="21" s="1"/>
  <c r="AM46" i="19"/>
  <c r="AM485" i="19" s="1"/>
  <c r="AS485" i="21" s="1"/>
  <c r="AM22" i="19"/>
  <c r="AS40" i="19"/>
  <c r="AS476" i="19" s="1"/>
  <c r="AY476" i="21" s="1"/>
  <c r="AS29" i="19" l="1"/>
  <c r="AS47" i="19"/>
  <c r="AS486" i="19" s="1"/>
  <c r="AY486" i="21" s="1"/>
  <c r="AS31" i="19"/>
  <c r="AT492" i="8"/>
  <c r="AY492" i="21" s="1"/>
  <c r="AS30" i="19"/>
  <c r="AS43" i="19"/>
  <c r="AS481" i="19" s="1"/>
  <c r="AY481" i="21" s="1"/>
  <c r="AS45" i="19"/>
  <c r="AS484" i="19" s="1"/>
  <c r="AY484" i="21" s="1"/>
  <c r="AT32" i="8"/>
  <c r="AG153" i="20"/>
  <c r="AG276" i="20" s="1"/>
  <c r="AN10" i="19"/>
  <c r="AM474" i="19"/>
  <c r="AS474" i="21" s="1"/>
  <c r="AM52" i="19"/>
  <c r="AM50" i="19"/>
  <c r="AM575" i="19" l="1"/>
  <c r="AM11" i="5"/>
  <c r="AM571" i="19"/>
  <c r="AM576" i="19" s="1"/>
  <c r="AS41" i="19"/>
  <c r="AS477" i="19" s="1"/>
  <c r="AY477" i="21" s="1"/>
  <c r="AO146" i="8" l="1"/>
  <c r="AO101" i="8"/>
  <c r="AO48" i="8" l="1"/>
  <c r="AN13" i="19" s="1"/>
  <c r="AN16" i="19" s="1"/>
  <c r="AN21" i="19" s="1"/>
  <c r="AO9" i="19" s="1"/>
  <c r="AO113" i="8"/>
  <c r="AO108" i="8"/>
  <c r="AO99" i="8"/>
  <c r="AO115" i="8"/>
  <c r="AO116" i="8" s="1"/>
  <c r="AN49" i="19"/>
  <c r="AO59" i="8"/>
  <c r="AO516" i="8"/>
  <c r="AO148" i="8"/>
  <c r="AN32" i="19" l="1"/>
  <c r="AN33" i="19" s="1"/>
  <c r="AO28" i="8"/>
  <c r="AO139" i="8"/>
  <c r="AO70" i="8"/>
  <c r="AO117" i="8"/>
  <c r="AH154" i="20"/>
  <c r="AO106" i="8"/>
  <c r="AO111" i="8"/>
  <c r="AO71" i="8" s="1"/>
  <c r="AO140" i="8" l="1"/>
  <c r="AO501" i="8" s="1"/>
  <c r="AT501" i="21" s="1"/>
  <c r="AN12" i="19"/>
  <c r="AN14" i="19" s="1"/>
  <c r="AN17" i="19" s="1"/>
  <c r="AO33" i="8"/>
  <c r="AH254" i="20"/>
  <c r="AO142" i="8" l="1"/>
  <c r="AN22" i="19"/>
  <c r="AN48" i="19"/>
  <c r="AN516" i="19" s="1"/>
  <c r="AN46" i="19"/>
  <c r="AN485" i="19" s="1"/>
  <c r="AT485" i="21" s="1"/>
  <c r="AN44" i="19"/>
  <c r="AN482" i="19" s="1"/>
  <c r="AT482" i="21" s="1"/>
  <c r="AN42" i="19"/>
  <c r="AN479" i="19" s="1"/>
  <c r="AT479" i="21" s="1"/>
  <c r="AN39" i="19"/>
  <c r="AH206" i="20"/>
  <c r="AN52" i="19" l="1"/>
  <c r="AN474" i="19"/>
  <c r="AT474" i="21" s="1"/>
  <c r="AN50" i="19"/>
  <c r="AO10" i="19"/>
  <c r="AH153" i="20"/>
  <c r="AH276" i="20" s="1"/>
  <c r="AT40" i="19"/>
  <c r="AT476" i="19" s="1"/>
  <c r="AZ476" i="21" s="1"/>
  <c r="AT30" i="19"/>
  <c r="AT47" i="19" l="1"/>
  <c r="AT486" i="19" s="1"/>
  <c r="AZ486" i="21" s="1"/>
  <c r="AT45" i="19"/>
  <c r="AT484" i="19" s="1"/>
  <c r="AZ484" i="21" s="1"/>
  <c r="AT31" i="19"/>
  <c r="AN571" i="19"/>
  <c r="AT29" i="19"/>
  <c r="AT43" i="19"/>
  <c r="AT481" i="19" s="1"/>
  <c r="AZ481" i="21" s="1"/>
  <c r="AU32" i="8"/>
  <c r="AN575" i="19"/>
  <c r="AN11" i="5"/>
  <c r="AU492" i="8" l="1"/>
  <c r="AZ492" i="21" s="1"/>
  <c r="AT41" i="19"/>
  <c r="AT477" i="19" s="1"/>
  <c r="AZ477" i="21" s="1"/>
  <c r="AN576" i="19"/>
  <c r="AP146" i="8" l="1"/>
  <c r="AP483" i="8"/>
  <c r="AU483" i="21" s="1"/>
  <c r="AP516" i="8" l="1"/>
  <c r="AU40" i="19" l="1"/>
  <c r="AU476" i="19" s="1"/>
  <c r="BA476" i="21" s="1"/>
  <c r="AU45" i="19" l="1"/>
  <c r="AU484" i="19" s="1"/>
  <c r="BA484" i="21" s="1"/>
  <c r="AU29" i="19"/>
  <c r="AV492" i="8"/>
  <c r="BA492" i="21" s="1"/>
  <c r="AU43" i="19"/>
  <c r="AU481" i="19" s="1"/>
  <c r="BA481" i="21" s="1"/>
  <c r="AU30" i="19"/>
  <c r="AU47" i="19"/>
  <c r="AU486" i="19" s="1"/>
  <c r="BA486" i="21" s="1"/>
  <c r="AU31" i="19"/>
  <c r="AV32" i="8"/>
  <c r="AU41" i="19" l="1"/>
  <c r="AU477" i="19" s="1"/>
  <c r="BA477" i="21" s="1"/>
  <c r="AQ146" i="8" l="1"/>
  <c r="AQ483" i="8"/>
  <c r="AV483" i="21" s="1"/>
  <c r="AQ516" i="8" l="1"/>
  <c r="AV45" i="19" l="1"/>
  <c r="AV484" i="19" s="1"/>
  <c r="BB484" i="21" s="1"/>
  <c r="AV40" i="19"/>
  <c r="AV476" i="19" s="1"/>
  <c r="BB476" i="21" s="1"/>
  <c r="AV30" i="19"/>
  <c r="AV31" i="19" l="1"/>
  <c r="AV43" i="19"/>
  <c r="AV481" i="19" s="1"/>
  <c r="BB481" i="21" s="1"/>
  <c r="AV29" i="19"/>
  <c r="AW492" i="8"/>
  <c r="BB492" i="21" s="1"/>
  <c r="AW32" i="8"/>
  <c r="AV47" i="19"/>
  <c r="AV486" i="19" s="1"/>
  <c r="BB486" i="21" s="1"/>
  <c r="AV41" i="19" l="1"/>
  <c r="AV477" i="19" s="1"/>
  <c r="BB477" i="21" s="1"/>
  <c r="AR146" i="8" l="1"/>
  <c r="AR483" i="8" l="1"/>
  <c r="AW483" i="21" s="1"/>
  <c r="AR516" i="8"/>
  <c r="AW40" i="19" l="1"/>
  <c r="AW476" i="19" s="1"/>
  <c r="BC476" i="21" s="1"/>
  <c r="AW29" i="19" l="1"/>
  <c r="AW30" i="19"/>
  <c r="AW45" i="19"/>
  <c r="AW484" i="19" s="1"/>
  <c r="BC484" i="21" s="1"/>
  <c r="AW47" i="19"/>
  <c r="AW486" i="19" s="1"/>
  <c r="BC486" i="21" s="1"/>
  <c r="AW31" i="19"/>
  <c r="AX32" i="8"/>
  <c r="AW43" i="19"/>
  <c r="AW481" i="19" s="1"/>
  <c r="BC481" i="21" s="1"/>
  <c r="AX492" i="8" l="1"/>
  <c r="BC492" i="21" s="1"/>
  <c r="AW41" i="19"/>
  <c r="AW477" i="19" s="1"/>
  <c r="BC477" i="21" s="1"/>
  <c r="AS146" i="8" l="1"/>
  <c r="AS483" i="8" l="1"/>
  <c r="AX483" i="21" s="1"/>
  <c r="AS516" i="8"/>
  <c r="AT146" i="8" l="1"/>
  <c r="AT483" i="8" l="1"/>
  <c r="AY483" i="21" s="1"/>
  <c r="AT516" i="8"/>
  <c r="AU146" i="8" l="1"/>
  <c r="AU483" i="8" l="1"/>
  <c r="AZ483" i="21" s="1"/>
  <c r="AU516" i="8"/>
  <c r="AV146" i="8" l="1"/>
  <c r="AV516" i="8" l="1"/>
  <c r="AV483" i="8"/>
  <c r="BA483" i="21" s="1"/>
  <c r="AW146" i="8" l="1"/>
  <c r="AW483" i="8" l="1"/>
  <c r="BB483" i="21" s="1"/>
  <c r="AW516" i="8"/>
  <c r="AX146" i="8" l="1"/>
  <c r="AX483" i="8" l="1"/>
  <c r="BC483" i="21" s="1"/>
  <c r="AX516" i="8"/>
  <c r="G386" i="20" l="1"/>
  <c r="G415" i="20" s="1"/>
  <c r="P67" i="12" l="1"/>
  <c r="G384" i="20"/>
  <c r="G412" i="20" s="1"/>
  <c r="G413" i="20" s="1"/>
  <c r="Q29" i="12"/>
  <c r="G385" i="20" l="1"/>
  <c r="H383" i="20"/>
  <c r="R29" i="12"/>
  <c r="G169" i="20"/>
  <c r="S29" i="12" l="1"/>
  <c r="I383" i="20"/>
  <c r="H169" i="20"/>
  <c r="G231" i="20"/>
  <c r="J383" i="20" l="1"/>
  <c r="I169" i="20"/>
  <c r="G232" i="20"/>
  <c r="G290" i="20"/>
  <c r="G235" i="20"/>
  <c r="G293" i="20" l="1"/>
  <c r="J386" i="20" l="1"/>
  <c r="J415" i="20" s="1"/>
  <c r="J384" i="20"/>
  <c r="J412" i="20" s="1"/>
  <c r="S67" i="12"/>
  <c r="T29" i="12"/>
  <c r="J169" i="20" l="1"/>
  <c r="U29" i="12"/>
  <c r="K383" i="20"/>
  <c r="J385" i="20"/>
  <c r="J413" i="20" l="1"/>
  <c r="V29" i="12"/>
  <c r="L383" i="20"/>
  <c r="K169" i="20"/>
  <c r="J231" i="20"/>
  <c r="L169" i="20" l="1"/>
  <c r="M383" i="20"/>
  <c r="J232" i="20"/>
  <c r="J235" i="20" s="1"/>
  <c r="J290" i="20"/>
  <c r="J293" i="20" l="1"/>
  <c r="M386" i="20" l="1"/>
  <c r="M415" i="20" s="1"/>
  <c r="M387" i="20" l="1"/>
  <c r="M416" i="20" s="1"/>
  <c r="M270" i="20"/>
  <c r="V67" i="12"/>
  <c r="M384" i="20"/>
  <c r="W29" i="12"/>
  <c r="M385" i="20" l="1"/>
  <c r="M412" i="20"/>
  <c r="M413" i="20" s="1"/>
  <c r="X29" i="12"/>
  <c r="M169" i="20"/>
  <c r="N383" i="20"/>
  <c r="M232" i="20" l="1"/>
  <c r="M231" i="20"/>
  <c r="N169" i="20"/>
  <c r="Y29" i="12"/>
  <c r="O383" i="20"/>
  <c r="P383" i="20" l="1"/>
  <c r="O169" i="20"/>
  <c r="M290" i="20"/>
  <c r="M235" i="20"/>
  <c r="M293" i="20" l="1"/>
  <c r="P387" i="20" l="1"/>
  <c r="P416" i="20" s="1"/>
  <c r="P270" i="20"/>
  <c r="S270" i="20" s="1"/>
  <c r="S416" i="20" l="1"/>
  <c r="S387" i="20"/>
  <c r="P386" i="20"/>
  <c r="P415" i="20" s="1"/>
  <c r="AB33" i="12"/>
  <c r="Y67" i="12" l="1"/>
  <c r="P384" i="20"/>
  <c r="P412" i="20" s="1"/>
  <c r="AB32" i="12"/>
  <c r="Z29" i="12"/>
  <c r="S386" i="20"/>
  <c r="P385" i="20" l="1"/>
  <c r="S385" i="20" s="1"/>
  <c r="P413" i="20"/>
  <c r="S384" i="20"/>
  <c r="Q383" i="20"/>
  <c r="P169" i="20"/>
  <c r="AA29" i="12"/>
  <c r="R383" i="20" l="1"/>
  <c r="AC29" i="12"/>
  <c r="Q169" i="20"/>
  <c r="P232" i="20"/>
  <c r="P231" i="20"/>
  <c r="P290" i="20" l="1"/>
  <c r="P235" i="20"/>
  <c r="T383" i="20"/>
  <c r="R169" i="20"/>
  <c r="S169" i="20" l="1"/>
  <c r="AF383" i="20"/>
  <c r="P293" i="20"/>
  <c r="T387" i="20" l="1"/>
  <c r="T416" i="20" s="1"/>
  <c r="T270" i="20"/>
  <c r="T386" i="20" l="1"/>
  <c r="T415" i="20" s="1"/>
  <c r="AC67" i="12" l="1"/>
  <c r="T384" i="20"/>
  <c r="T412" i="20" s="1"/>
  <c r="AD29" i="12"/>
  <c r="AE29" i="12" l="1"/>
  <c r="T169" i="20"/>
  <c r="U383" i="20"/>
  <c r="T385" i="20"/>
  <c r="T231" i="20" l="1"/>
  <c r="U169" i="20"/>
  <c r="AF29" i="12"/>
  <c r="V383" i="20"/>
  <c r="T413" i="20"/>
  <c r="W383" i="20" l="1"/>
  <c r="V169" i="20"/>
  <c r="T290" i="20"/>
  <c r="T232" i="20"/>
  <c r="T235" i="20" l="1"/>
  <c r="T293" i="20"/>
  <c r="W270" i="20" l="1"/>
  <c r="W387" i="20"/>
  <c r="W416" i="20" s="1"/>
  <c r="W386" i="20" l="1"/>
  <c r="W415" i="20" s="1"/>
  <c r="AF67" i="12" l="1"/>
  <c r="W384" i="20"/>
  <c r="AG29" i="12"/>
  <c r="W385" i="20" l="1"/>
  <c r="W412" i="20"/>
  <c r="X383" i="20"/>
  <c r="W169" i="20"/>
  <c r="AH29" i="12"/>
  <c r="X169" i="20" l="1"/>
  <c r="AI29" i="12"/>
  <c r="Y383" i="20"/>
  <c r="W413" i="20"/>
  <c r="W231" i="20"/>
  <c r="W232" i="20" l="1"/>
  <c r="W235" i="20" s="1"/>
  <c r="W290" i="20"/>
  <c r="Z383" i="20"/>
  <c r="Y169" i="20"/>
  <c r="W293" i="20" l="1"/>
  <c r="Z386" i="20" l="1"/>
  <c r="Z415" i="20" s="1"/>
  <c r="AI67" i="12" l="1"/>
  <c r="Z384" i="20"/>
  <c r="AJ29" i="12"/>
  <c r="Z387" i="20"/>
  <c r="Z416" i="20" s="1"/>
  <c r="Z270" i="20"/>
  <c r="Z385" i="20" l="1"/>
  <c r="Z412" i="20"/>
  <c r="Z413" i="20" s="1"/>
  <c r="AK29" i="12"/>
  <c r="Z169" i="20"/>
  <c r="AA383" i="20"/>
  <c r="Z232" i="20" l="1"/>
  <c r="Z231" i="20"/>
  <c r="AA169" i="20"/>
  <c r="AL29" i="12"/>
  <c r="AB383" i="20"/>
  <c r="AB169" i="20" l="1"/>
  <c r="AC383" i="20"/>
  <c r="Z290" i="20"/>
  <c r="Z235" i="20"/>
  <c r="Z293" i="20" l="1"/>
  <c r="AC387" i="20" l="1"/>
  <c r="AC416" i="20" s="1"/>
  <c r="AC270" i="20"/>
  <c r="AF270" i="20" s="1"/>
  <c r="AC386" i="20"/>
  <c r="AC415" i="20" s="1"/>
  <c r="AO33" i="12"/>
  <c r="AF416" i="20" l="1"/>
  <c r="AF387" i="20"/>
  <c r="AF386" i="20"/>
  <c r="AC384" i="20"/>
  <c r="AC412" i="20" s="1"/>
  <c r="AL67" i="12"/>
  <c r="AO32" i="12"/>
  <c r="AM29" i="12"/>
  <c r="AD383" i="20" l="1"/>
  <c r="AN29" i="12"/>
  <c r="AP29" i="12" s="1"/>
  <c r="AC169" i="20"/>
  <c r="AC385" i="20"/>
  <c r="AF385" i="20" s="1"/>
  <c r="AF384" i="20"/>
  <c r="AC231" i="20" l="1"/>
  <c r="AC413" i="20"/>
  <c r="AD169" i="20"/>
  <c r="AE383" i="20"/>
  <c r="AG383" i="20" l="1"/>
  <c r="AE169" i="20"/>
  <c r="AC232" i="20"/>
  <c r="AC290" i="20"/>
  <c r="AC235" i="20" l="1"/>
  <c r="AC293" i="20"/>
  <c r="AF169" i="20"/>
  <c r="AO31" i="12" l="1"/>
  <c r="AG387" i="20" l="1"/>
  <c r="AG416" i="20" s="1"/>
  <c r="AG270" i="20"/>
  <c r="AG385" i="20" l="1"/>
  <c r="AQ29" i="12" l="1"/>
  <c r="AG384" i="20" l="1"/>
  <c r="AH383" i="20" l="1"/>
  <c r="AG169" i="20"/>
  <c r="AG386" i="20"/>
  <c r="AH387" i="20" l="1"/>
  <c r="AH416" i="20" s="1"/>
  <c r="AH270" i="20" l="1"/>
  <c r="AH385" i="20" l="1"/>
  <c r="AR29" i="12" l="1"/>
  <c r="AH384" i="20" l="1"/>
  <c r="AI383" i="20" l="1"/>
  <c r="AH169" i="20"/>
  <c r="AH386" i="20"/>
  <c r="AI270" i="20" l="1"/>
  <c r="AI387" i="20"/>
  <c r="AI416" i="20" s="1"/>
  <c r="AI385" i="20" l="1"/>
  <c r="AS29" i="12" l="1"/>
  <c r="AI384" i="20" l="1"/>
  <c r="AI169" i="20" l="1"/>
  <c r="AJ383" i="20"/>
  <c r="AI386" i="20"/>
  <c r="AJ387" i="20" l="1"/>
  <c r="AJ416" i="20" s="1"/>
  <c r="AJ270" i="20"/>
  <c r="AJ385" i="20" l="1"/>
  <c r="AT29" i="12" l="1"/>
  <c r="AJ384" i="20" l="1"/>
  <c r="AJ386" i="20" l="1"/>
  <c r="AJ169" i="20"/>
  <c r="AK383" i="20"/>
  <c r="AK385" i="20" l="1"/>
  <c r="AU29" i="12" l="1"/>
  <c r="AK270" i="20"/>
  <c r="AK387" i="20"/>
  <c r="AK416" i="20" s="1"/>
  <c r="AK384" i="20"/>
  <c r="AK386" i="20" l="1"/>
  <c r="AK169" i="20"/>
  <c r="AL383" i="20"/>
  <c r="AL385" i="20" l="1"/>
  <c r="AV29" i="12" l="1"/>
  <c r="AL384" i="20"/>
  <c r="AL270" i="20" l="1"/>
  <c r="AL387" i="20"/>
  <c r="AL416" i="20" s="1"/>
  <c r="AM383" i="20"/>
  <c r="AL169" i="20"/>
  <c r="AL386" i="20"/>
  <c r="AM385" i="20" l="1"/>
  <c r="AW29" i="12" l="1"/>
  <c r="AM384" i="20"/>
  <c r="AM386" i="20" l="1"/>
  <c r="AN383" i="20"/>
  <c r="AM169" i="20"/>
  <c r="AN385" i="20" l="1"/>
  <c r="AN384" i="20" l="1"/>
  <c r="AX29" i="12"/>
  <c r="AN386" i="20"/>
  <c r="AY29" i="12" l="1"/>
  <c r="AN169" i="20"/>
  <c r="AO383" i="20"/>
  <c r="AZ29" i="12" l="1"/>
  <c r="AP383" i="20"/>
  <c r="AO169" i="20"/>
  <c r="BA29" i="12" l="1"/>
  <c r="AP169" i="20"/>
  <c r="AQ383" i="20"/>
  <c r="BB29" i="12" l="1"/>
  <c r="AQ169" i="20"/>
  <c r="BC29" i="12" l="1"/>
  <c r="BD29" i="12" l="1"/>
  <c r="BE29" i="12" l="1"/>
  <c r="BF29" i="12" l="1"/>
  <c r="BG29" i="12" l="1"/>
  <c r="BH29" i="12" l="1"/>
  <c r="BI29" i="12" l="1"/>
  <c r="BJ29" i="12" l="1"/>
  <c r="BK29" i="12" l="1"/>
  <c r="BL29" i="12" l="1"/>
  <c r="BM29" i="12" l="1"/>
  <c r="BN29" i="12" l="1"/>
  <c r="BO29" i="12" l="1"/>
  <c r="BP29" i="12" l="1"/>
  <c r="BQ29" i="12" l="1"/>
  <c r="AH360" i="20"/>
  <c r="AH361" i="20"/>
  <c r="AR8" i="12"/>
  <c r="AR10" i="12" s="1"/>
  <c r="AR11" i="12" s="1"/>
  <c r="AI359" i="20" l="1"/>
  <c r="AI361" i="20" l="1"/>
  <c r="AI360" i="20" l="1"/>
  <c r="AS8" i="12"/>
  <c r="AJ359" i="20" l="1"/>
  <c r="AS10" i="12"/>
  <c r="AJ361" i="20" l="1"/>
  <c r="AS11" i="12"/>
  <c r="AJ360" i="20" l="1"/>
  <c r="AT8" i="12"/>
  <c r="AK359" i="20" l="1"/>
  <c r="AT10" i="12"/>
  <c r="AK361" i="20" l="1"/>
  <c r="AT11" i="12"/>
  <c r="AK360" i="20" l="1"/>
  <c r="AU8" i="12"/>
  <c r="AL359" i="20" l="1"/>
  <c r="AU10" i="12"/>
  <c r="AL361" i="20" l="1"/>
  <c r="AU11" i="12"/>
  <c r="AL360" i="20" l="1"/>
  <c r="AV8" i="12"/>
  <c r="AM359" i="20" l="1"/>
  <c r="AV10" i="12"/>
  <c r="AM361" i="20" l="1"/>
  <c r="AV11" i="12"/>
  <c r="AM360" i="20" l="1"/>
  <c r="AW8" i="12"/>
  <c r="AN359" i="20" l="1"/>
  <c r="AW10" i="12"/>
  <c r="AN361" i="20" l="1"/>
  <c r="AW11" i="12"/>
  <c r="AN360" i="20" l="1"/>
  <c r="AX8" i="12"/>
  <c r="AO359" i="20" l="1"/>
  <c r="AX10" i="12"/>
  <c r="AX11" i="12" l="1"/>
  <c r="AO361" i="20"/>
  <c r="AO360" i="20" l="1"/>
  <c r="AY8" i="12"/>
  <c r="AP359" i="20" l="1"/>
  <c r="AY10" i="12"/>
  <c r="AP361" i="20" l="1"/>
  <c r="AY11" i="12"/>
  <c r="AP360" i="20" l="1"/>
  <c r="AZ8" i="12"/>
  <c r="AQ359" i="20" l="1"/>
  <c r="AZ10" i="12"/>
  <c r="AQ361" i="20" l="1"/>
  <c r="AZ11" i="12"/>
  <c r="AQ360" i="20" l="1"/>
  <c r="BA8" i="12"/>
  <c r="BA10" i="12" l="1"/>
  <c r="BA11" i="12" l="1"/>
  <c r="BB8" i="12" l="1"/>
  <c r="BB10" i="12" l="1"/>
  <c r="BB11" i="12" l="1"/>
  <c r="BC8" i="12" l="1"/>
  <c r="BC10" i="12" l="1"/>
  <c r="BC11" i="12" l="1"/>
  <c r="BD8" i="12" l="1"/>
  <c r="BD10" i="12" l="1"/>
  <c r="BD11" i="12" l="1"/>
  <c r="BE8" i="12" l="1"/>
  <c r="BE10" i="12" l="1"/>
  <c r="BE11" i="12" l="1"/>
  <c r="BF8" i="12" l="1"/>
  <c r="BF10" i="12" l="1"/>
  <c r="BF11" i="12" l="1"/>
  <c r="BG8" i="12" l="1"/>
  <c r="BG10" i="12" l="1"/>
  <c r="BG11" i="12" l="1"/>
  <c r="BH8" i="12" l="1"/>
  <c r="BH10" i="12" l="1"/>
  <c r="BH11" i="12" l="1"/>
  <c r="BH68" i="12"/>
  <c r="BH67" i="12" l="1"/>
  <c r="BI8" i="12"/>
  <c r="BH69" i="12" l="1"/>
  <c r="BI10" i="12"/>
  <c r="BI68" i="12" l="1"/>
  <c r="BI11" i="12"/>
  <c r="BI67" i="12" l="1"/>
  <c r="BJ8" i="12"/>
  <c r="BJ10" i="12" l="1"/>
  <c r="BI69" i="12"/>
  <c r="BJ68" i="12" l="1"/>
  <c r="BJ11" i="12"/>
  <c r="BJ67" i="12" l="1"/>
  <c r="BK8" i="12"/>
  <c r="BJ69" i="12" l="1"/>
  <c r="BK10" i="12"/>
  <c r="BK68" i="12" l="1"/>
  <c r="BK11" i="12"/>
  <c r="BK67" i="12" l="1"/>
  <c r="BL8" i="12"/>
  <c r="BL10" i="12" l="1"/>
  <c r="BK69" i="12"/>
  <c r="BL11" i="12" l="1"/>
  <c r="BL68" i="12"/>
  <c r="BL67" i="12" l="1"/>
  <c r="BM8" i="12"/>
  <c r="BM10" i="12" l="1"/>
  <c r="BL69" i="12"/>
  <c r="BM68" i="12" l="1"/>
  <c r="BM11" i="12"/>
  <c r="BM67" i="12" l="1"/>
  <c r="BN8" i="12"/>
  <c r="BN10" i="12" l="1"/>
  <c r="BM69" i="12"/>
  <c r="BN68" i="12" l="1"/>
  <c r="BN11" i="12"/>
  <c r="BN67" i="12" l="1"/>
  <c r="BO8" i="12"/>
  <c r="BO10" i="12" l="1"/>
  <c r="BN69" i="12"/>
  <c r="BO68" i="12" l="1"/>
  <c r="BO11" i="12"/>
  <c r="BO67" i="12" l="1"/>
  <c r="BP8" i="12"/>
  <c r="BP10" i="12" l="1"/>
  <c r="BO69" i="12"/>
  <c r="BP11" i="12" l="1"/>
  <c r="BP68" i="12"/>
  <c r="BP67" i="12" l="1"/>
  <c r="BQ8" i="12"/>
  <c r="BQ10" i="12" l="1"/>
  <c r="BP69" i="12"/>
  <c r="BQ68" i="12" l="1"/>
  <c r="BQ11" i="12"/>
  <c r="BQ67" i="12" s="1"/>
  <c r="BQ69" i="12" l="1"/>
  <c r="AU44" i="13"/>
  <c r="AU457" i="13" s="1"/>
  <c r="AS44" i="13"/>
  <c r="AS457" i="13" s="1"/>
  <c r="AX25" i="13"/>
  <c r="Q44" i="13"/>
  <c r="Q457" i="13" s="1"/>
  <c r="T44" i="13"/>
  <c r="T457" i="13" s="1"/>
  <c r="Z32" i="13"/>
  <c r="Z43" i="13" s="1"/>
  <c r="Z449" i="13" s="1"/>
  <c r="AM449" i="21" s="1"/>
  <c r="AC32" i="13"/>
  <c r="AC43" i="13" s="1"/>
  <c r="AC449" i="13" s="1"/>
  <c r="AP449" i="21" s="1"/>
  <c r="X32" i="13"/>
  <c r="X43" i="13" s="1"/>
  <c r="X449" i="13" s="1"/>
  <c r="AK449" i="21" s="1"/>
  <c r="AE407" i="20" l="1"/>
  <c r="AE406" i="20" s="1"/>
  <c r="AB44" i="13"/>
  <c r="AB457" i="13" s="1"/>
  <c r="W44" i="13"/>
  <c r="W457" i="13" s="1"/>
  <c r="W32" i="13"/>
  <c r="W43" i="13" s="1"/>
  <c r="W449" i="13" s="1"/>
  <c r="AJ449" i="21" s="1"/>
  <c r="Y407" i="20"/>
  <c r="V44" i="13"/>
  <c r="V457" i="13" s="1"/>
  <c r="V32" i="13"/>
  <c r="V43" i="13" s="1"/>
  <c r="V449" i="13" s="1"/>
  <c r="AI449" i="21" s="1"/>
  <c r="AB32" i="13"/>
  <c r="AB43" i="13" s="1"/>
  <c r="AB449" i="13" s="1"/>
  <c r="AO449" i="21" s="1"/>
  <c r="AA44" i="13"/>
  <c r="AA457" i="13" s="1"/>
  <c r="AA32" i="13"/>
  <c r="AA43" i="13" s="1"/>
  <c r="AA449" i="13" s="1"/>
  <c r="AN449" i="21" s="1"/>
  <c r="AD44" i="13"/>
  <c r="AD457" i="13" s="1"/>
  <c r="AD32" i="13"/>
  <c r="AD43" i="13" s="1"/>
  <c r="AD449" i="13" s="1"/>
  <c r="AQ449" i="21" s="1"/>
  <c r="AB407" i="20"/>
  <c r="Z44" i="13"/>
  <c r="Z457" i="13" s="1"/>
  <c r="Y32" i="13"/>
  <c r="Y43" i="13" s="1"/>
  <c r="Y449" i="13" s="1"/>
  <c r="AL449" i="21" s="1"/>
  <c r="X44" i="13"/>
  <c r="X457" i="13" s="1"/>
  <c r="U44" i="13"/>
  <c r="U457" i="13" s="1"/>
  <c r="U32" i="13"/>
  <c r="U43" i="13" s="1"/>
  <c r="U449" i="13" s="1"/>
  <c r="AH449" i="21" s="1"/>
  <c r="P44" i="13"/>
  <c r="P457" i="13" s="1"/>
  <c r="P32" i="13"/>
  <c r="P43" i="13" s="1"/>
  <c r="P449" i="13" s="1"/>
  <c r="AC449" i="21" s="1"/>
  <c r="AC44" i="13"/>
  <c r="AC457" i="13" s="1"/>
  <c r="Y44" i="13"/>
  <c r="Y457" i="13" s="1"/>
  <c r="R407" i="20"/>
  <c r="O44" i="13"/>
  <c r="O457" i="13" s="1"/>
  <c r="O32" i="13"/>
  <c r="O43" i="13" s="1"/>
  <c r="O449" i="13" s="1"/>
  <c r="AB449" i="21" s="1"/>
  <c r="N44" i="13"/>
  <c r="N457" i="13" s="1"/>
  <c r="N32" i="13"/>
  <c r="N43" i="13" s="1"/>
  <c r="N449" i="13" s="1"/>
  <c r="AA449" i="21" s="1"/>
  <c r="T32" i="13"/>
  <c r="T43" i="13" s="1"/>
  <c r="T449" i="13" s="1"/>
  <c r="AG449" i="21" s="1"/>
  <c r="Q32" i="13"/>
  <c r="Q43" i="13" s="1"/>
  <c r="Q449" i="13" s="1"/>
  <c r="AD449" i="21" s="1"/>
  <c r="M44" i="13"/>
  <c r="M457" i="13" s="1"/>
  <c r="M32" i="13"/>
  <c r="M43" i="13" s="1"/>
  <c r="M449" i="13" s="1"/>
  <c r="Z449" i="21" s="1"/>
  <c r="AW44" i="13"/>
  <c r="AW457" i="13" s="1"/>
  <c r="AW32" i="13"/>
  <c r="AW43" i="13" s="1"/>
  <c r="AW449" i="13" s="1"/>
  <c r="AY25" i="13"/>
  <c r="AY32" i="13"/>
  <c r="AY43" i="13" s="1"/>
  <c r="AY449" i="13" s="1"/>
  <c r="AY44" i="13"/>
  <c r="AY457" i="13" s="1"/>
  <c r="AV32" i="13"/>
  <c r="AV43" i="13" s="1"/>
  <c r="AV449" i="13" s="1"/>
  <c r="AX32" i="13"/>
  <c r="AX43" i="13" s="1"/>
  <c r="AX449" i="13" s="1"/>
  <c r="AS32" i="13"/>
  <c r="AS43" i="13" s="1"/>
  <c r="AS449" i="13" s="1"/>
  <c r="AX44" i="13"/>
  <c r="AX457" i="13" s="1"/>
  <c r="AT44" i="13"/>
  <c r="AT457" i="13" s="1"/>
  <c r="AT32" i="13"/>
  <c r="AT43" i="13" s="1"/>
  <c r="AT449" i="13" s="1"/>
  <c r="AU32" i="13"/>
  <c r="AU43" i="13" s="1"/>
  <c r="AU449" i="13" s="1"/>
  <c r="AV44" i="13"/>
  <c r="AV457" i="13" s="1"/>
  <c r="Z571" i="13" l="1"/>
  <c r="M571" i="13"/>
  <c r="N571" i="13"/>
  <c r="O571" i="13"/>
  <c r="AY571" i="13"/>
  <c r="T571" i="13"/>
  <c r="P571" i="13"/>
  <c r="AD571" i="13"/>
  <c r="AA120" i="20"/>
  <c r="AA571" i="13"/>
  <c r="AD120" i="20"/>
  <c r="AB571" i="13"/>
  <c r="W571" i="13"/>
  <c r="Y120" i="20"/>
  <c r="Q571" i="13"/>
  <c r="R406" i="20"/>
  <c r="Y571" i="13"/>
  <c r="AB406" i="20"/>
  <c r="AC571" i="13"/>
  <c r="V571" i="13"/>
  <c r="Y406" i="20"/>
  <c r="X571" i="13"/>
  <c r="W120" i="20" l="1"/>
  <c r="R120" i="20"/>
  <c r="Y201" i="20"/>
  <c r="AE94" i="3"/>
  <c r="X120" i="20"/>
  <c r="AC120" i="20"/>
  <c r="AD201" i="20"/>
  <c r="AJ94" i="3"/>
  <c r="AB120" i="20"/>
  <c r="AA201" i="20"/>
  <c r="AG94" i="3"/>
  <c r="AE120" i="20"/>
  <c r="V120" i="20"/>
  <c r="Q120" i="20"/>
  <c r="U120" i="20"/>
  <c r="O120" i="20"/>
  <c r="N120" i="20"/>
  <c r="Z120" i="20"/>
  <c r="P120" i="20"/>
  <c r="P201" i="20" l="1"/>
  <c r="V94" i="3"/>
  <c r="Z201" i="20"/>
  <c r="AF94" i="3"/>
  <c r="N201" i="20"/>
  <c r="T94" i="3"/>
  <c r="O201" i="20"/>
  <c r="U94" i="3"/>
  <c r="U201" i="20"/>
  <c r="AA94" i="3"/>
  <c r="AB201" i="20"/>
  <c r="AH94" i="3"/>
  <c r="AJ225" i="3"/>
  <c r="X201" i="20"/>
  <c r="AD94" i="3"/>
  <c r="AE225" i="3"/>
  <c r="W201" i="20"/>
  <c r="AC94" i="3"/>
  <c r="Q201" i="20"/>
  <c r="W94" i="3"/>
  <c r="V201" i="20"/>
  <c r="AB94" i="3"/>
  <c r="AE201" i="20"/>
  <c r="AK94" i="3"/>
  <c r="AG225" i="3"/>
  <c r="AC201" i="20"/>
  <c r="AI94" i="3"/>
  <c r="R201" i="20"/>
  <c r="X94" i="3"/>
  <c r="X225" i="3" l="1"/>
  <c r="AI225" i="3"/>
  <c r="AB225" i="3"/>
  <c r="AC225" i="3"/>
  <c r="AD225" i="3"/>
  <c r="T225" i="3"/>
  <c r="AK225" i="3"/>
  <c r="W225" i="3"/>
  <c r="AH225" i="3"/>
  <c r="AA225" i="3"/>
  <c r="U225" i="3"/>
  <c r="AF225" i="3"/>
  <c r="V225" i="3"/>
  <c r="AI44" i="13"/>
  <c r="AI457" i="13" s="1"/>
  <c r="AJ44" i="13"/>
  <c r="AJ457" i="13" s="1"/>
  <c r="AM44" i="13"/>
  <c r="AM457" i="13" s="1"/>
  <c r="AO44" i="13"/>
  <c r="AO457" i="13" s="1"/>
  <c r="R32" i="13"/>
  <c r="S32" i="13" l="1"/>
  <c r="AE32" i="13" s="1"/>
  <c r="V407" i="20"/>
  <c r="AR32" i="13"/>
  <c r="AR43" i="13" s="1"/>
  <c r="AR449" i="13" s="1"/>
  <c r="AR44" i="13"/>
  <c r="AR457" i="13" s="1"/>
  <c r="L43" i="13"/>
  <c r="R23" i="13"/>
  <c r="O407" i="20"/>
  <c r="L27" i="13"/>
  <c r="AQ32" i="13"/>
  <c r="AQ43" i="13" s="1"/>
  <c r="AQ449" i="13" s="1"/>
  <c r="AQ44" i="13"/>
  <c r="AQ457" i="13" s="1"/>
  <c r="AO407" i="20"/>
  <c r="AO406" i="20" s="1"/>
  <c r="AN32" i="13"/>
  <c r="AN43" i="13" s="1"/>
  <c r="AN449" i="13" s="1"/>
  <c r="AN44" i="13"/>
  <c r="AN457" i="13" s="1"/>
  <c r="AK32" i="13"/>
  <c r="AK43" i="13" s="1"/>
  <c r="AK449" i="13" s="1"/>
  <c r="AL407" i="20"/>
  <c r="AL406" i="20" s="1"/>
  <c r="AK44" i="13"/>
  <c r="AK457" i="13" s="1"/>
  <c r="L44" i="13"/>
  <c r="AP32" i="13"/>
  <c r="AP43" i="13" s="1"/>
  <c r="AP449" i="13" s="1"/>
  <c r="AQ407" i="20"/>
  <c r="AQ406" i="20" s="1"/>
  <c r="AP44" i="13"/>
  <c r="AP457" i="13" s="1"/>
  <c r="AM407" i="20"/>
  <c r="AM406" i="20" s="1"/>
  <c r="AL32" i="13"/>
  <c r="AL43" i="13" s="1"/>
  <c r="AL449" i="13" s="1"/>
  <c r="AL44" i="13"/>
  <c r="AL457" i="13" s="1"/>
  <c r="AH407" i="20"/>
  <c r="AH406" i="20" s="1"/>
  <c r="AG32" i="13"/>
  <c r="AG43" i="13" s="1"/>
  <c r="AG449" i="13" s="1"/>
  <c r="AG44" i="13"/>
  <c r="AG457" i="13" s="1"/>
  <c r="AP407" i="20"/>
  <c r="AP406" i="20" s="1"/>
  <c r="AO32" i="13"/>
  <c r="AO43" i="13" s="1"/>
  <c r="AO449" i="13" s="1"/>
  <c r="AM32" i="13"/>
  <c r="AM43" i="13" s="1"/>
  <c r="AM449" i="13" s="1"/>
  <c r="AN407" i="20"/>
  <c r="AN406" i="20" s="1"/>
  <c r="AI407" i="20"/>
  <c r="AI406" i="20" s="1"/>
  <c r="AH32" i="13"/>
  <c r="AH43" i="13" s="1"/>
  <c r="AH449" i="13" s="1"/>
  <c r="AH44" i="13"/>
  <c r="AH457" i="13" s="1"/>
  <c r="S43" i="13"/>
  <c r="AF32" i="13"/>
  <c r="AF43" i="13" s="1"/>
  <c r="AF449" i="13" s="1"/>
  <c r="AG407" i="20"/>
  <c r="AG406" i="20" s="1"/>
  <c r="AF44" i="13"/>
  <c r="AF457" i="13" s="1"/>
  <c r="AK407" i="20"/>
  <c r="AK406" i="20" s="1"/>
  <c r="AJ32" i="13"/>
  <c r="AJ43" i="13" s="1"/>
  <c r="AJ449" i="13" s="1"/>
  <c r="AI32" i="13"/>
  <c r="AI43" i="13" s="1"/>
  <c r="AI449" i="13" s="1"/>
  <c r="AJ407" i="20"/>
  <c r="AJ406" i="20" s="1"/>
  <c r="AE23" i="13"/>
  <c r="S44" i="13"/>
  <c r="AF407" i="20" l="1"/>
  <c r="V406" i="20"/>
  <c r="AF406" i="20" s="1"/>
  <c r="S407" i="20"/>
  <c r="O406" i="20"/>
  <c r="S406" i="20" s="1"/>
  <c r="R43" i="13"/>
  <c r="L449" i="13"/>
  <c r="AE44" i="13"/>
  <c r="S457" i="13"/>
  <c r="AE457" i="13" s="1"/>
  <c r="AE43" i="13"/>
  <c r="S449" i="13"/>
  <c r="R44" i="13"/>
  <c r="L457" i="13"/>
  <c r="R457" i="13" s="1"/>
  <c r="M27" i="13"/>
  <c r="AE449" i="13" l="1"/>
  <c r="AF449" i="21"/>
  <c r="R449" i="13"/>
  <c r="Y449" i="21"/>
  <c r="N27" i="13"/>
  <c r="S571" i="13"/>
  <c r="L571" i="13"/>
  <c r="AR449" i="21" l="1"/>
  <c r="T120" i="20"/>
  <c r="O27" i="13"/>
  <c r="AE449" i="21"/>
  <c r="M120" i="20"/>
  <c r="S120" i="20" l="1"/>
  <c r="M201" i="20"/>
  <c r="S201" i="20" s="1"/>
  <c r="S94" i="3"/>
  <c r="P27" i="13"/>
  <c r="T201" i="20"/>
  <c r="AF201" i="20" s="1"/>
  <c r="AF120" i="20"/>
  <c r="Z94" i="3"/>
  <c r="AL94" i="3" l="1"/>
  <c r="Z225" i="3"/>
  <c r="AL225" i="3" s="1"/>
  <c r="C18" i="32"/>
  <c r="D18" i="32"/>
  <c r="Q27" i="13"/>
  <c r="S225" i="3"/>
  <c r="Y225" i="3" s="1"/>
  <c r="Y94" i="3"/>
  <c r="S27" i="13" l="1"/>
  <c r="T27" i="13" l="1"/>
  <c r="U27" i="13" l="1"/>
  <c r="V27" i="13" l="1"/>
  <c r="W27" i="13" l="1"/>
  <c r="X27" i="13" l="1"/>
  <c r="Y27" i="13" l="1"/>
  <c r="Z27" i="13" l="1"/>
  <c r="AA27" i="13" l="1"/>
  <c r="AB27" i="13" l="1"/>
  <c r="AC27" i="13" l="1"/>
  <c r="AD27" i="13" l="1"/>
  <c r="AF27" i="13" l="1"/>
  <c r="AG27" i="13" l="1"/>
  <c r="AH27" i="13" l="1"/>
  <c r="AI27" i="13" l="1"/>
  <c r="AJ27" i="13" l="1"/>
  <c r="AK27" i="13" l="1"/>
  <c r="AL27" i="13" l="1"/>
  <c r="AM27" i="13" l="1"/>
  <c r="AN27" i="13" l="1"/>
  <c r="AO27" i="13" l="1"/>
  <c r="AP27" i="13" l="1"/>
  <c r="AQ27" i="13" l="1"/>
  <c r="AR27" i="13" l="1"/>
  <c r="AS27" i="13" l="1"/>
  <c r="AT27" i="13" s="1"/>
  <c r="AU27" i="13" s="1"/>
  <c r="AV27" i="13" s="1"/>
  <c r="AW27" i="13" s="1"/>
  <c r="AX27" i="13" s="1"/>
  <c r="AY27" i="13" s="1"/>
  <c r="AZ27" i="13" s="1"/>
  <c r="BA27" i="13" s="1"/>
  <c r="BB27" i="13" s="1"/>
  <c r="BC27" i="13" s="1"/>
  <c r="BD27" i="13" s="1"/>
  <c r="BE27" i="13" s="1"/>
  <c r="BF27" i="13" s="1"/>
  <c r="BG27" i="13" s="1"/>
  <c r="BH27" i="13" s="1"/>
  <c r="BI27" i="13" s="1"/>
  <c r="BJ27" i="13" s="1"/>
  <c r="E145" i="20"/>
  <c r="E164" i="20" s="1"/>
  <c r="M144" i="3" l="1"/>
  <c r="M142" i="3" l="1"/>
  <c r="N64" i="12" l="1"/>
  <c r="N70" i="12" s="1"/>
  <c r="E170" i="20"/>
  <c r="E171" i="20" s="1"/>
  <c r="P15" i="12"/>
  <c r="P16" i="12" s="1"/>
  <c r="E188" i="20" l="1"/>
  <c r="E190" i="20" s="1"/>
  <c r="Q15" i="12"/>
  <c r="Q16" i="12" s="1"/>
  <c r="P68" i="12"/>
  <c r="G365" i="20"/>
  <c r="P64" i="12"/>
  <c r="P70" i="12" s="1"/>
  <c r="P69" i="12" l="1"/>
  <c r="P105" i="12"/>
  <c r="S365" i="20"/>
  <c r="G411" i="20"/>
  <c r="S411" i="20" s="1"/>
  <c r="G170" i="20"/>
  <c r="G171" i="20" s="1"/>
  <c r="R15" i="12"/>
  <c r="R16" i="12" s="1"/>
  <c r="Q68" i="12"/>
  <c r="H365" i="20"/>
  <c r="H411" i="20" s="1"/>
  <c r="Q64" i="12"/>
  <c r="Q70" i="12" s="1"/>
  <c r="Q69" i="12" l="1"/>
  <c r="Q105" i="12"/>
  <c r="Q110" i="12" s="1"/>
  <c r="Q160" i="12" s="1"/>
  <c r="P110" i="12"/>
  <c r="P160" i="12" s="1"/>
  <c r="P156" i="12"/>
  <c r="G177" i="20" s="1"/>
  <c r="H170" i="20"/>
  <c r="H171" i="20" s="1"/>
  <c r="I365" i="20"/>
  <c r="I411" i="20" s="1"/>
  <c r="R64" i="12"/>
  <c r="R68" i="12" l="1"/>
  <c r="Q156" i="12"/>
  <c r="H177" i="20" s="1"/>
  <c r="Q575" i="12"/>
  <c r="Q457" i="12"/>
  <c r="T457" i="21" s="1"/>
  <c r="R105" i="12" l="1"/>
  <c r="P575" i="12"/>
  <c r="P457" i="12"/>
  <c r="S457" i="21" s="1"/>
  <c r="Q571" i="12"/>
  <c r="Q576" i="12" s="1"/>
  <c r="R110" i="12" l="1"/>
  <c r="R160" i="12" s="1"/>
  <c r="H13" i="13"/>
  <c r="R10" i="13"/>
  <c r="H110" i="20"/>
  <c r="P571" i="12"/>
  <c r="H8" i="13"/>
  <c r="R5" i="13"/>
  <c r="H15" i="13" l="1"/>
  <c r="R8" i="13"/>
  <c r="P576" i="12"/>
  <c r="N103" i="3"/>
  <c r="H305" i="20"/>
  <c r="H313" i="20" s="1"/>
  <c r="H315" i="20" s="1"/>
  <c r="H321" i="20"/>
  <c r="H327" i="20" s="1"/>
  <c r="H329" i="20" s="1"/>
  <c r="G110" i="20"/>
  <c r="H16" i="13"/>
  <c r="R16" i="13" s="1"/>
  <c r="R13" i="13"/>
  <c r="R457" i="12" l="1"/>
  <c r="U457" i="21" s="1"/>
  <c r="R575" i="12"/>
  <c r="G321" i="20"/>
  <c r="G327" i="20" s="1"/>
  <c r="G329" i="20" s="1"/>
  <c r="M103" i="3"/>
  <c r="G305" i="20"/>
  <c r="G313" i="20" s="1"/>
  <c r="G315" i="20" s="1"/>
  <c r="N108" i="3"/>
  <c r="N115" i="3"/>
  <c r="N117" i="3" s="1"/>
  <c r="N233" i="3"/>
  <c r="R15" i="13"/>
  <c r="H45" i="13"/>
  <c r="I200" i="20"/>
  <c r="S200" i="20" s="1"/>
  <c r="H17" i="13"/>
  <c r="R571" i="12" l="1"/>
  <c r="I17" i="13"/>
  <c r="I138" i="20"/>
  <c r="H451" i="13"/>
  <c r="R45" i="13"/>
  <c r="N238" i="3"/>
  <c r="N246" i="3"/>
  <c r="N248" i="3" s="1"/>
  <c r="M115" i="3"/>
  <c r="M117" i="3" s="1"/>
  <c r="M233" i="3"/>
  <c r="M108" i="3"/>
  <c r="R451" i="13" l="1"/>
  <c r="U451" i="21"/>
  <c r="R576" i="12"/>
  <c r="I110" i="20"/>
  <c r="M246" i="3"/>
  <c r="M248" i="3" s="1"/>
  <c r="M238" i="3"/>
  <c r="H571" i="13"/>
  <c r="R571" i="13" s="1"/>
  <c r="J138" i="20"/>
  <c r="J17" i="13"/>
  <c r="I252" i="20"/>
  <c r="I321" i="20" l="1"/>
  <c r="I327" i="20" s="1"/>
  <c r="I329" i="20" s="1"/>
  <c r="I305" i="20"/>
  <c r="I313" i="20" s="1"/>
  <c r="I315" i="20" s="1"/>
  <c r="O103" i="3"/>
  <c r="K17" i="13"/>
  <c r="K138" i="20"/>
  <c r="I125" i="20"/>
  <c r="AE451" i="21"/>
  <c r="I274" i="20"/>
  <c r="J252" i="20"/>
  <c r="O233" i="3" l="1"/>
  <c r="O108" i="3"/>
  <c r="O115" i="3"/>
  <c r="O117" i="3" s="1"/>
  <c r="J274" i="20"/>
  <c r="K252" i="20"/>
  <c r="O100" i="3"/>
  <c r="S125" i="20"/>
  <c r="L138" i="20"/>
  <c r="L17" i="13"/>
  <c r="O238" i="3" l="1"/>
  <c r="O246" i="3"/>
  <c r="O248" i="3" s="1"/>
  <c r="L252" i="20"/>
  <c r="M138" i="20"/>
  <c r="M17" i="13"/>
  <c r="O230" i="3"/>
  <c r="Y230" i="3" s="1"/>
  <c r="Y100" i="3"/>
  <c r="K274" i="20"/>
  <c r="U13" i="13" l="1"/>
  <c r="AE10" i="13"/>
  <c r="M252" i="20"/>
  <c r="U8" i="13"/>
  <c r="AE5" i="13"/>
  <c r="N138" i="20"/>
  <c r="N17" i="13"/>
  <c r="L274" i="20"/>
  <c r="N252" i="20" l="1"/>
  <c r="U15" i="13"/>
  <c r="AE8" i="13"/>
  <c r="M274" i="20"/>
  <c r="O17" i="13"/>
  <c r="O138" i="20"/>
  <c r="U16" i="13"/>
  <c r="AE16" i="13" s="1"/>
  <c r="AE13" i="13"/>
  <c r="P138" i="20" l="1"/>
  <c r="P17" i="13"/>
  <c r="O252" i="20"/>
  <c r="V200" i="20"/>
  <c r="AF200" i="20" s="1"/>
  <c r="U45" i="13"/>
  <c r="AE15" i="13"/>
  <c r="N274" i="20"/>
  <c r="O274" i="20" l="1"/>
  <c r="Q17" i="13"/>
  <c r="Q138" i="20"/>
  <c r="U451" i="13"/>
  <c r="AE45" i="13"/>
  <c r="P252" i="20"/>
  <c r="AE451" i="13" l="1"/>
  <c r="AH451" i="21"/>
  <c r="P274" i="20"/>
  <c r="U571" i="13"/>
  <c r="AE571" i="13" s="1"/>
  <c r="R138" i="20"/>
  <c r="S17" i="13"/>
  <c r="Q252" i="20"/>
  <c r="Q274" i="20" l="1"/>
  <c r="R252" i="20"/>
  <c r="S252" i="20" s="1"/>
  <c r="S138" i="20"/>
  <c r="V125" i="20"/>
  <c r="AR451" i="21"/>
  <c r="T17" i="13"/>
  <c r="T138" i="20"/>
  <c r="T252" i="20" l="1"/>
  <c r="U17" i="13"/>
  <c r="U138" i="20"/>
  <c r="AF125" i="20"/>
  <c r="AB100" i="3"/>
  <c r="R274" i="20"/>
  <c r="S274" i="20" s="1"/>
  <c r="U252" i="20" l="1"/>
  <c r="U274" i="20" s="1"/>
  <c r="T274" i="20"/>
  <c r="AL100" i="3"/>
  <c r="AB230" i="3"/>
  <c r="AL230" i="3" s="1"/>
  <c r="V138" i="20"/>
  <c r="V17" i="13"/>
  <c r="AF13" i="13"/>
  <c r="AF16" i="13" s="1"/>
  <c r="AF8" i="13"/>
  <c r="AF15" i="13" s="1"/>
  <c r="AG200" i="20" l="1"/>
  <c r="AF45" i="13"/>
  <c r="AF451" i="13" s="1"/>
  <c r="AS451" i="21" s="1"/>
  <c r="V252" i="20"/>
  <c r="W138" i="20"/>
  <c r="W17" i="13"/>
  <c r="X17" i="13" l="1"/>
  <c r="X138" i="20"/>
  <c r="V274" i="20"/>
  <c r="AG125" i="20"/>
  <c r="AF571" i="13"/>
  <c r="W252" i="20"/>
  <c r="W274" i="20" l="1"/>
  <c r="X252" i="20"/>
  <c r="AM100" i="3"/>
  <c r="AM230" i="3" s="1"/>
  <c r="Y138" i="20"/>
  <c r="Y17" i="13"/>
  <c r="Y252" i="20" l="1"/>
  <c r="X274" i="20"/>
  <c r="Z17" i="13"/>
  <c r="Z138" i="20"/>
  <c r="Z252" i="20" l="1"/>
  <c r="AA138" i="20"/>
  <c r="AA17" i="13"/>
  <c r="Y274" i="20"/>
  <c r="AA252" i="20" l="1"/>
  <c r="AB17" i="13"/>
  <c r="AB138" i="20"/>
  <c r="Z274" i="20"/>
  <c r="AB252" i="20" l="1"/>
  <c r="AA274" i="20"/>
  <c r="AC138" i="20"/>
  <c r="AC17" i="13"/>
  <c r="AD138" i="20" l="1"/>
  <c r="AD17" i="13"/>
  <c r="AC252" i="20"/>
  <c r="AB274" i="20"/>
  <c r="AG8" i="13"/>
  <c r="AG15" i="13" s="1"/>
  <c r="AG13" i="13"/>
  <c r="AG16" i="13" s="1"/>
  <c r="AH200" i="20" l="1"/>
  <c r="AG45" i="13"/>
  <c r="AG451" i="13" s="1"/>
  <c r="AT451" i="21" s="1"/>
  <c r="AC274" i="20"/>
  <c r="AF17" i="13"/>
  <c r="AE138" i="20"/>
  <c r="AD252" i="20"/>
  <c r="AG138" i="20" l="1"/>
  <c r="AG17" i="13"/>
  <c r="AH125" i="20"/>
  <c r="AG571" i="13"/>
  <c r="AD274" i="20"/>
  <c r="AF138" i="20"/>
  <c r="AE252" i="20"/>
  <c r="AF252" i="20" s="1"/>
  <c r="AE274" i="20" l="1"/>
  <c r="AF274" i="20" s="1"/>
  <c r="AG252" i="20"/>
  <c r="AN100" i="3"/>
  <c r="AN230" i="3" s="1"/>
  <c r="AH138" i="20"/>
  <c r="AH252" i="20" l="1"/>
  <c r="AG274" i="20"/>
  <c r="AH274" i="20" l="1"/>
  <c r="AH13" i="13" l="1"/>
  <c r="AH16" i="13" s="1"/>
  <c r="AH8" i="13"/>
  <c r="AH15" i="13" s="1"/>
  <c r="AI200" i="20" l="1"/>
  <c r="AH45" i="13"/>
  <c r="AH451" i="13" s="1"/>
  <c r="AU451" i="21" s="1"/>
  <c r="AH17" i="13"/>
  <c r="AI125" i="20" l="1"/>
  <c r="AH571" i="13"/>
  <c r="AI138" i="20"/>
  <c r="AI252" i="20" l="1"/>
  <c r="AO100" i="3"/>
  <c r="AO230" i="3" s="1"/>
  <c r="AI274" i="20" l="1"/>
  <c r="AI8" i="13" l="1"/>
  <c r="AI15" i="13" s="1"/>
  <c r="AI13" i="13"/>
  <c r="AI16" i="13" s="1"/>
  <c r="AJ200" i="20" l="1"/>
  <c r="AI45" i="13"/>
  <c r="AI451" i="13" s="1"/>
  <c r="AV451" i="21" s="1"/>
  <c r="AI17" i="13"/>
  <c r="AJ125" i="20" l="1"/>
  <c r="AI571" i="13"/>
  <c r="AJ138" i="20"/>
  <c r="AJ252" i="20" l="1"/>
  <c r="AP100" i="3"/>
  <c r="AP230" i="3" s="1"/>
  <c r="AJ274" i="20" l="1"/>
  <c r="AJ13" i="13" l="1"/>
  <c r="AJ16" i="13" s="1"/>
  <c r="AJ8" i="13"/>
  <c r="AJ15" i="13" s="1"/>
  <c r="AK200" i="20" l="1"/>
  <c r="AJ45" i="13"/>
  <c r="AJ451" i="13" s="1"/>
  <c r="AW451" i="21" s="1"/>
  <c r="AJ17" i="13"/>
  <c r="AK125" i="20" l="1"/>
  <c r="AJ571" i="13"/>
  <c r="AK138" i="20"/>
  <c r="AK252" i="20" l="1"/>
  <c r="AQ100" i="3"/>
  <c r="AQ230" i="3" s="1"/>
  <c r="AK274" i="20" l="1"/>
  <c r="AK13" i="13" l="1"/>
  <c r="AK16" i="13" s="1"/>
  <c r="AK8" i="13" l="1"/>
  <c r="AK15" i="13" s="1"/>
  <c r="AL200" i="20" l="1"/>
  <c r="AK45" i="13"/>
  <c r="AK451" i="13" s="1"/>
  <c r="AX451" i="21" s="1"/>
  <c r="AK17" i="13"/>
  <c r="AL138" i="20" l="1"/>
  <c r="AL125" i="20"/>
  <c r="AK571" i="13"/>
  <c r="AL252" i="20" l="1"/>
  <c r="AR100" i="3"/>
  <c r="AR230" i="3" s="1"/>
  <c r="AL274" i="20" l="1"/>
  <c r="AL13" i="13" l="1"/>
  <c r="AL16" i="13" s="1"/>
  <c r="AL8" i="13"/>
  <c r="AL15" i="13" s="1"/>
  <c r="AM200" i="20" l="1"/>
  <c r="AL45" i="13"/>
  <c r="AL451" i="13" s="1"/>
  <c r="AY451" i="21" s="1"/>
  <c r="AL17" i="13"/>
  <c r="AM125" i="20" l="1"/>
  <c r="AL571" i="13"/>
  <c r="AM138" i="20"/>
  <c r="AM252" i="20" l="1"/>
  <c r="AS100" i="3"/>
  <c r="AS230" i="3" s="1"/>
  <c r="AM274" i="20" l="1"/>
  <c r="AM13" i="13" l="1"/>
  <c r="AM16" i="13" s="1"/>
  <c r="AM8" i="13" l="1"/>
  <c r="AM15" i="13" s="1"/>
  <c r="AN200" i="20" l="1"/>
  <c r="AM45" i="13"/>
  <c r="AM451" i="13" s="1"/>
  <c r="AZ451" i="21" s="1"/>
  <c r="AM17" i="13"/>
  <c r="AN138" i="20" l="1"/>
  <c r="AN125" i="20"/>
  <c r="AM571" i="13"/>
  <c r="AT100" i="3" l="1"/>
  <c r="AT230" i="3" s="1"/>
  <c r="AN252" i="20"/>
  <c r="AN274" i="20" l="1"/>
  <c r="AN13" i="13" l="1"/>
  <c r="AN16" i="13" s="1"/>
  <c r="AN8" i="13"/>
  <c r="AN15" i="13" s="1"/>
  <c r="AO200" i="20" l="1"/>
  <c r="AN45" i="13"/>
  <c r="AN451" i="13" s="1"/>
  <c r="BA451" i="21" s="1"/>
  <c r="AN17" i="13"/>
  <c r="AO125" i="20" l="1"/>
  <c r="AN571" i="13"/>
  <c r="AO138" i="20"/>
  <c r="AO252" i="20" l="1"/>
  <c r="AU100" i="3"/>
  <c r="AU230" i="3" s="1"/>
  <c r="AO274" i="20" l="1"/>
  <c r="AO13" i="13" l="1"/>
  <c r="AO16" i="13" s="1"/>
  <c r="AO8" i="13" l="1"/>
  <c r="AO15" i="13" s="1"/>
  <c r="AP200" i="20" l="1"/>
  <c r="AO45" i="13"/>
  <c r="AO451" i="13" s="1"/>
  <c r="BB451" i="21" s="1"/>
  <c r="AO17" i="13"/>
  <c r="AP125" i="20" l="1"/>
  <c r="AO571" i="13"/>
  <c r="AP138" i="20"/>
  <c r="AP252" i="20" l="1"/>
  <c r="AV100" i="3"/>
  <c r="AV230" i="3" s="1"/>
  <c r="AP274" i="20" l="1"/>
  <c r="AP13" i="13" l="1"/>
  <c r="AP16" i="13" s="1"/>
  <c r="AP8" i="13"/>
  <c r="AP15" i="13" s="1"/>
  <c r="AQ200" i="20" l="1"/>
  <c r="AP45" i="13"/>
  <c r="AP451" i="13" s="1"/>
  <c r="BC451" i="21" s="1"/>
  <c r="AP17" i="13"/>
  <c r="AQ125" i="20" l="1"/>
  <c r="AP571" i="13"/>
  <c r="AQ138" i="20"/>
  <c r="AQ252" i="20" l="1"/>
  <c r="AW100" i="3"/>
  <c r="AW230" i="3" s="1"/>
  <c r="AQ274" i="20" l="1"/>
  <c r="AQ13" i="13" l="1"/>
  <c r="AQ16" i="13" s="1"/>
  <c r="AQ8" i="13" l="1"/>
  <c r="AQ15" i="13" s="1"/>
  <c r="AQ45" i="13" l="1"/>
  <c r="AQ451" i="13" s="1"/>
  <c r="AQ17" i="13"/>
  <c r="AQ571" i="13" l="1"/>
  <c r="AR13" i="13" l="1"/>
  <c r="AR16" i="13" s="1"/>
  <c r="AR8" i="13"/>
  <c r="AR15" i="13" s="1"/>
  <c r="AR45" i="13" l="1"/>
  <c r="AR451" i="13" s="1"/>
  <c r="AR17" i="13"/>
  <c r="AR571" i="13" l="1"/>
  <c r="AS13" i="13" l="1"/>
  <c r="AS16" i="13" s="1"/>
  <c r="AS8" i="13" l="1"/>
  <c r="AS15" i="13" s="1"/>
  <c r="AS45" i="13" l="1"/>
  <c r="AS451" i="13" s="1"/>
  <c r="AS571" i="13" s="1"/>
  <c r="AS17" i="13"/>
  <c r="AT13" i="13" l="1"/>
  <c r="AT16" i="13" s="1"/>
  <c r="AT8" i="13"/>
  <c r="AT15" i="13" s="1"/>
  <c r="AT45" i="13" l="1"/>
  <c r="AT451" i="13" s="1"/>
  <c r="AT571" i="13" s="1"/>
  <c r="AT17" i="13"/>
  <c r="AU13" i="13" l="1"/>
  <c r="AU16" i="13" s="1"/>
  <c r="AU8" i="13" l="1"/>
  <c r="AU15" i="13" s="1"/>
  <c r="AU45" i="13" l="1"/>
  <c r="AU451" i="13" s="1"/>
  <c r="AU571" i="13" s="1"/>
  <c r="AU17" i="13"/>
  <c r="AV13" i="13" l="1"/>
  <c r="AV16" i="13" s="1"/>
  <c r="AV8" i="13"/>
  <c r="AV15" i="13" s="1"/>
  <c r="AV45" i="13" l="1"/>
  <c r="AV451" i="13" s="1"/>
  <c r="AV571" i="13" s="1"/>
  <c r="AV17" i="13"/>
  <c r="AW8" i="13" l="1"/>
  <c r="AW15" i="13" s="1"/>
  <c r="AW13" i="13"/>
  <c r="AW16" i="13" s="1"/>
  <c r="AW45" i="13" l="1"/>
  <c r="AW451" i="13" s="1"/>
  <c r="AW571" i="13" s="1"/>
  <c r="AW17" i="13"/>
  <c r="BC67" i="12" l="1"/>
  <c r="BD67" i="12"/>
  <c r="BE67" i="12"/>
  <c r="BF67" i="12"/>
  <c r="BG67" i="12"/>
  <c r="BB67" i="12" l="1"/>
  <c r="AQ366" i="20"/>
  <c r="AQ412" i="20" s="1"/>
  <c r="AQ231" i="20" s="1"/>
  <c r="S91" i="27" s="1"/>
  <c r="AZ67" i="12"/>
  <c r="AO366" i="20"/>
  <c r="AO412" i="20" s="1"/>
  <c r="AO231" i="20" s="1"/>
  <c r="Q91" i="27" s="1"/>
  <c r="AX67" i="12"/>
  <c r="AM366" i="20"/>
  <c r="AM412" i="20" s="1"/>
  <c r="AM231" i="20" s="1"/>
  <c r="AV67" i="12"/>
  <c r="AK366" i="20"/>
  <c r="AK412" i="20" s="1"/>
  <c r="AK231" i="20" s="1"/>
  <c r="AT67" i="12"/>
  <c r="AI366" i="20"/>
  <c r="AI412" i="20" s="1"/>
  <c r="AI231" i="20" s="1"/>
  <c r="AR67" i="12"/>
  <c r="AG366" i="20"/>
  <c r="AG412" i="20" s="1"/>
  <c r="AG231" i="20" s="1"/>
  <c r="I91" i="27" s="1"/>
  <c r="AP67" i="12"/>
  <c r="BA67" i="12"/>
  <c r="AP366" i="20"/>
  <c r="AP412" i="20" s="1"/>
  <c r="AP231" i="20" s="1"/>
  <c r="AY67" i="12"/>
  <c r="AN366" i="20"/>
  <c r="AN412" i="20" s="1"/>
  <c r="AN231" i="20" s="1"/>
  <c r="AW67" i="12"/>
  <c r="AL366" i="20"/>
  <c r="AL412" i="20" s="1"/>
  <c r="AL231" i="20" s="1"/>
  <c r="AU67" i="12"/>
  <c r="AJ366" i="20"/>
  <c r="AJ412" i="20" s="1"/>
  <c r="AJ231" i="20" s="1"/>
  <c r="AS67" i="12"/>
  <c r="AH366" i="20"/>
  <c r="AH412" i="20" s="1"/>
  <c r="AH231" i="20" s="1"/>
  <c r="J91" i="27" s="1"/>
  <c r="AQ67" i="12"/>
  <c r="Y366" i="20" l="1"/>
  <c r="Y412" i="20" s="1"/>
  <c r="Y231" i="20" s="1"/>
  <c r="Y290" i="20" s="1"/>
  <c r="Y293" i="20" s="1"/>
  <c r="AH67" i="12"/>
  <c r="V366" i="20"/>
  <c r="AE67" i="12"/>
  <c r="I366" i="20"/>
  <c r="R67" i="12"/>
  <c r="S15" i="12"/>
  <c r="S16" i="12" s="1"/>
  <c r="R366" i="20"/>
  <c r="R412" i="20" s="1"/>
  <c r="R231" i="20" s="1"/>
  <c r="R290" i="20" s="1"/>
  <c r="R293" i="20" s="1"/>
  <c r="AA67" i="12"/>
  <c r="AG290" i="20"/>
  <c r="AG293" i="20" s="1"/>
  <c r="I56" i="27"/>
  <c r="AI290" i="20"/>
  <c r="AI293" i="20" s="1"/>
  <c r="K91" i="27"/>
  <c r="K56" i="27"/>
  <c r="AE366" i="20"/>
  <c r="AE412" i="20" s="1"/>
  <c r="AE231" i="20" s="1"/>
  <c r="AE290" i="20" s="1"/>
  <c r="AE293" i="20" s="1"/>
  <c r="AN67" i="12"/>
  <c r="AB366" i="20"/>
  <c r="AB412" i="20" s="1"/>
  <c r="AB231" i="20" s="1"/>
  <c r="AB290" i="20" s="1"/>
  <c r="AB293" i="20" s="1"/>
  <c r="AK67" i="12"/>
  <c r="J56" i="27"/>
  <c r="AH290" i="20"/>
  <c r="AH293" i="20" s="1"/>
  <c r="L56" i="27"/>
  <c r="AJ290" i="20"/>
  <c r="AJ293" i="20" s="1"/>
  <c r="L91" i="27"/>
  <c r="AL290" i="20"/>
  <c r="AL293" i="20" s="1"/>
  <c r="N91" i="27"/>
  <c r="N56" i="27"/>
  <c r="AN290" i="20"/>
  <c r="AN293" i="20" s="1"/>
  <c r="P91" i="27"/>
  <c r="P56" i="27"/>
  <c r="R56" i="27"/>
  <c r="AP290" i="20"/>
  <c r="AP293" i="20" s="1"/>
  <c r="R91" i="27"/>
  <c r="O366" i="20"/>
  <c r="O412" i="20" s="1"/>
  <c r="O231" i="20" s="1"/>
  <c r="X67" i="12"/>
  <c r="L366" i="20"/>
  <c r="L412" i="20" s="1"/>
  <c r="L231" i="20" s="1"/>
  <c r="U67" i="12"/>
  <c r="AK290" i="20"/>
  <c r="AK293" i="20" s="1"/>
  <c r="M91" i="27"/>
  <c r="M56" i="27"/>
  <c r="O56" i="27"/>
  <c r="AM290" i="20"/>
  <c r="AM293" i="20" s="1"/>
  <c r="O91" i="27"/>
  <c r="AO290" i="20"/>
  <c r="AO293" i="20" s="1"/>
  <c r="Q56" i="27"/>
  <c r="AQ290" i="20"/>
  <c r="AQ293" i="20" s="1"/>
  <c r="S56" i="27"/>
  <c r="BG68" i="12" l="1"/>
  <c r="BG69" i="12" s="1"/>
  <c r="BE68" i="12"/>
  <c r="BE69" i="12" s="1"/>
  <c r="BC68" i="12"/>
  <c r="BC69" i="12" s="1"/>
  <c r="BA68" i="12"/>
  <c r="AP368" i="20"/>
  <c r="AP415" i="20" s="1"/>
  <c r="AP413" i="20" s="1"/>
  <c r="AP232" i="20" s="1"/>
  <c r="AP367" i="20"/>
  <c r="AY68" i="12"/>
  <c r="AN368" i="20"/>
  <c r="AN415" i="20" s="1"/>
  <c r="AN413" i="20" s="1"/>
  <c r="AN232" i="20" s="1"/>
  <c r="AN367" i="20"/>
  <c r="AW68" i="12"/>
  <c r="AL368" i="20"/>
  <c r="AL415" i="20" s="1"/>
  <c r="AL413" i="20" s="1"/>
  <c r="AL232" i="20" s="1"/>
  <c r="AL367" i="20"/>
  <c r="AU68" i="12"/>
  <c r="AJ368" i="20"/>
  <c r="AJ415" i="20" s="1"/>
  <c r="AJ413" i="20" s="1"/>
  <c r="AJ232" i="20" s="1"/>
  <c r="AJ367" i="20"/>
  <c r="AS68" i="12"/>
  <c r="AH368" i="20"/>
  <c r="AH415" i="20" s="1"/>
  <c r="AH413" i="20" s="1"/>
  <c r="AH232" i="20" s="1"/>
  <c r="AH367" i="20"/>
  <c r="AQ68" i="12"/>
  <c r="L290" i="20"/>
  <c r="L293" i="20" s="1"/>
  <c r="O290" i="20"/>
  <c r="O293" i="20" s="1"/>
  <c r="S68" i="12"/>
  <c r="T15" i="12"/>
  <c r="T16" i="12" s="1"/>
  <c r="I170" i="20"/>
  <c r="I171" i="20" s="1"/>
  <c r="J365" i="20"/>
  <c r="J411" i="20" s="1"/>
  <c r="S64" i="12"/>
  <c r="S70" i="12" s="1"/>
  <c r="S366" i="20"/>
  <c r="I412" i="20"/>
  <c r="AO67" i="12"/>
  <c r="BF68" i="12"/>
  <c r="BF69" i="12" s="1"/>
  <c r="BD68" i="12"/>
  <c r="BD69" i="12" s="1"/>
  <c r="BB68" i="12"/>
  <c r="AQ368" i="20"/>
  <c r="AQ415" i="20" s="1"/>
  <c r="AQ413" i="20" s="1"/>
  <c r="AQ232" i="20" s="1"/>
  <c r="AQ367" i="20"/>
  <c r="AZ68" i="12"/>
  <c r="AO368" i="20"/>
  <c r="AO415" i="20" s="1"/>
  <c r="AO413" i="20" s="1"/>
  <c r="AO232" i="20" s="1"/>
  <c r="AO367" i="20"/>
  <c r="AX68" i="12"/>
  <c r="AM368" i="20"/>
  <c r="AM415" i="20" s="1"/>
  <c r="AM413" i="20" s="1"/>
  <c r="AM232" i="20" s="1"/>
  <c r="AM367" i="20"/>
  <c r="AV68" i="12"/>
  <c r="AK368" i="20"/>
  <c r="AK415" i="20" s="1"/>
  <c r="AK413" i="20" s="1"/>
  <c r="AK232" i="20" s="1"/>
  <c r="AK367" i="20"/>
  <c r="AT68" i="12"/>
  <c r="AI368" i="20"/>
  <c r="AI415" i="20" s="1"/>
  <c r="AI413" i="20" s="1"/>
  <c r="AI232" i="20" s="1"/>
  <c r="AI367" i="20"/>
  <c r="AR68" i="12"/>
  <c r="AG368" i="20"/>
  <c r="AG415" i="20" s="1"/>
  <c r="AG367" i="20"/>
  <c r="AP68" i="12"/>
  <c r="I368" i="20"/>
  <c r="R156" i="12"/>
  <c r="I177" i="20" s="1"/>
  <c r="R69" i="12"/>
  <c r="AB67" i="12"/>
  <c r="R70" i="12"/>
  <c r="AF366" i="20"/>
  <c r="V412" i="20"/>
  <c r="AX8" i="13"/>
  <c r="AX15" i="13" s="1"/>
  <c r="AG413" i="20" l="1"/>
  <c r="AG232" i="20" s="1"/>
  <c r="K57" i="27"/>
  <c r="K59" i="27" s="1"/>
  <c r="AI235" i="20"/>
  <c r="O57" i="27"/>
  <c r="O59" i="27" s="1"/>
  <c r="AM235" i="20"/>
  <c r="S57" i="27"/>
  <c r="S59" i="27" s="1"/>
  <c r="AQ235" i="20"/>
  <c r="J57" i="27"/>
  <c r="J59" i="27" s="1"/>
  <c r="AH235" i="20"/>
  <c r="N57" i="27"/>
  <c r="N59" i="27" s="1"/>
  <c r="AL235" i="20"/>
  <c r="R57" i="27"/>
  <c r="R59" i="27" s="1"/>
  <c r="AP235" i="20"/>
  <c r="M57" i="27"/>
  <c r="M59" i="27" s="1"/>
  <c r="AK235" i="20"/>
  <c r="Q57" i="27"/>
  <c r="Q59" i="27" s="1"/>
  <c r="AO235" i="20"/>
  <c r="L57" i="27"/>
  <c r="L59" i="27" s="1"/>
  <c r="AJ235" i="20"/>
  <c r="P57" i="27"/>
  <c r="P59" i="27" s="1"/>
  <c r="AN235" i="20"/>
  <c r="AX13" i="13"/>
  <c r="AX16" i="13" s="1"/>
  <c r="AX17" i="13" s="1"/>
  <c r="AY17" i="13" s="1"/>
  <c r="AZ17" i="13" s="1"/>
  <c r="BA17" i="13" s="1"/>
  <c r="BB17" i="13" s="1"/>
  <c r="BC17" i="13" s="1"/>
  <c r="BD17" i="13" s="1"/>
  <c r="BE17" i="13" s="1"/>
  <c r="BF17" i="13" s="1"/>
  <c r="BG17" i="13" s="1"/>
  <c r="BH17" i="13" s="1"/>
  <c r="BI17" i="13" s="1"/>
  <c r="BJ17" i="13" s="1"/>
  <c r="V231" i="20"/>
  <c r="AF412" i="20"/>
  <c r="I415" i="20"/>
  <c r="I367" i="20"/>
  <c r="AR105" i="12"/>
  <c r="AR110" i="12" s="1"/>
  <c r="AR160" i="12" s="1"/>
  <c r="AR69" i="12"/>
  <c r="AV105" i="12"/>
  <c r="AV110" i="12" s="1"/>
  <c r="AV160" i="12" s="1"/>
  <c r="AV69" i="12"/>
  <c r="AZ105" i="12"/>
  <c r="AZ110" i="12" s="1"/>
  <c r="AZ160" i="12" s="1"/>
  <c r="AZ69" i="12"/>
  <c r="T68" i="12"/>
  <c r="K365" i="20"/>
  <c r="K411" i="20" s="1"/>
  <c r="J170" i="20"/>
  <c r="J171" i="20" s="1"/>
  <c r="U15" i="12"/>
  <c r="U16" i="12" s="1"/>
  <c r="T64" i="12"/>
  <c r="T70" i="12" s="1"/>
  <c r="AQ105" i="12"/>
  <c r="AQ110" i="12" s="1"/>
  <c r="AQ160" i="12" s="1"/>
  <c r="AQ69" i="12"/>
  <c r="AU105" i="12"/>
  <c r="AU110" i="12" s="1"/>
  <c r="AU160" i="12" s="1"/>
  <c r="AU69" i="12"/>
  <c r="AY105" i="12"/>
  <c r="AY110" i="12" s="1"/>
  <c r="AY160" i="12" s="1"/>
  <c r="AY69" i="12"/>
  <c r="AX45" i="13"/>
  <c r="AX451" i="13" s="1"/>
  <c r="AX571" i="13" s="1"/>
  <c r="AP105" i="12"/>
  <c r="AP110" i="12" s="1"/>
  <c r="AP160" i="12" s="1"/>
  <c r="AP69" i="12"/>
  <c r="AT105" i="12"/>
  <c r="AT110" i="12" s="1"/>
  <c r="AT160" i="12" s="1"/>
  <c r="AT69" i="12"/>
  <c r="AX105" i="12"/>
  <c r="AX69" i="12"/>
  <c r="BB105" i="12"/>
  <c r="BB110" i="12" s="1"/>
  <c r="BB160" i="12" s="1"/>
  <c r="BB69" i="12"/>
  <c r="I231" i="20"/>
  <c r="S412" i="20"/>
  <c r="S105" i="12"/>
  <c r="S69" i="12"/>
  <c r="AS105" i="12"/>
  <c r="AS110" i="12" s="1"/>
  <c r="AS160" i="12" s="1"/>
  <c r="AS69" i="12"/>
  <c r="AW105" i="12"/>
  <c r="AW110" i="12" s="1"/>
  <c r="AW160" i="12" s="1"/>
  <c r="AW69" i="12"/>
  <c r="BA105" i="12"/>
  <c r="BA110" i="12" s="1"/>
  <c r="BA160" i="12" s="1"/>
  <c r="BA69" i="12"/>
  <c r="I57" i="27" l="1"/>
  <c r="I59" i="27" s="1"/>
  <c r="AG235" i="20"/>
  <c r="S110" i="12"/>
  <c r="S160" i="12" s="1"/>
  <c r="S156" i="12"/>
  <c r="J177" i="20" s="1"/>
  <c r="T105" i="12"/>
  <c r="T110" i="12" s="1"/>
  <c r="T160" i="12" s="1"/>
  <c r="T69" i="12"/>
  <c r="AZ457" i="12"/>
  <c r="BC457" i="21" s="1"/>
  <c r="AZ575" i="12"/>
  <c r="AV457" i="12"/>
  <c r="AY457" i="21" s="1"/>
  <c r="AV575" i="12"/>
  <c r="AR575" i="12"/>
  <c r="AR457" i="12"/>
  <c r="AU457" i="21" s="1"/>
  <c r="BA457" i="12"/>
  <c r="BA575" i="12"/>
  <c r="AW457" i="12"/>
  <c r="AZ457" i="21" s="1"/>
  <c r="AW575" i="12"/>
  <c r="AS575" i="12"/>
  <c r="AS457" i="12"/>
  <c r="AV457" i="21" s="1"/>
  <c r="I290" i="20"/>
  <c r="S231" i="20"/>
  <c r="BB575" i="12"/>
  <c r="BB457" i="12"/>
  <c r="AX110" i="12"/>
  <c r="AX160" i="12" s="1"/>
  <c r="AT575" i="12"/>
  <c r="AT457" i="12"/>
  <c r="AW457" i="21" s="1"/>
  <c r="AP457" i="12"/>
  <c r="AS457" i="21" s="1"/>
  <c r="AP575" i="12"/>
  <c r="AY457" i="12"/>
  <c r="BB457" i="21" s="1"/>
  <c r="AY575" i="12"/>
  <c r="AU575" i="12"/>
  <c r="AU457" i="12"/>
  <c r="AX457" i="21" s="1"/>
  <c r="AQ457" i="12"/>
  <c r="AT457" i="21" s="1"/>
  <c r="AQ575" i="12"/>
  <c r="V15" i="12"/>
  <c r="V16" i="12" s="1"/>
  <c r="K170" i="20"/>
  <c r="K171" i="20" s="1"/>
  <c r="L365" i="20"/>
  <c r="L411" i="20" s="1"/>
  <c r="U64" i="12"/>
  <c r="U70" i="12" s="1"/>
  <c r="I413" i="20"/>
  <c r="V290" i="20"/>
  <c r="AF231" i="20"/>
  <c r="G56" i="27" l="1"/>
  <c r="G91" i="27"/>
  <c r="H91" i="27"/>
  <c r="H56" i="27"/>
  <c r="V293" i="20"/>
  <c r="AF290" i="20"/>
  <c r="AF293" i="20" s="1"/>
  <c r="I232" i="20"/>
  <c r="V68" i="12"/>
  <c r="L170" i="20"/>
  <c r="L171" i="20" s="1"/>
  <c r="W15" i="12"/>
  <c r="W16" i="12" s="1"/>
  <c r="M365" i="20"/>
  <c r="M411" i="20" s="1"/>
  <c r="V64" i="12"/>
  <c r="V70" i="12" s="1"/>
  <c r="AU571" i="12"/>
  <c r="AU576" i="12" s="1"/>
  <c r="AL110" i="20"/>
  <c r="AT571" i="12"/>
  <c r="AT576" i="12" s="1"/>
  <c r="AK110" i="20"/>
  <c r="AX575" i="12"/>
  <c r="AX457" i="12"/>
  <c r="BA457" i="21" s="1"/>
  <c r="BB571" i="12"/>
  <c r="BB576" i="12" s="1"/>
  <c r="I293" i="20"/>
  <c r="S290" i="20"/>
  <c r="S293" i="20" s="1"/>
  <c r="AW571" i="12"/>
  <c r="AW576" i="12" s="1"/>
  <c r="AN110" i="20"/>
  <c r="BA571" i="12"/>
  <c r="BA576" i="12" s="1"/>
  <c r="AV571" i="12"/>
  <c r="AV576" i="12" s="1"/>
  <c r="AM110" i="20"/>
  <c r="AZ571" i="12"/>
  <c r="AZ576" i="12" s="1"/>
  <c r="AQ110" i="20"/>
  <c r="T457" i="12"/>
  <c r="W457" i="21" s="1"/>
  <c r="T575" i="12"/>
  <c r="L368" i="20"/>
  <c r="U68" i="12"/>
  <c r="AQ571" i="12"/>
  <c r="AQ576" i="12" s="1"/>
  <c r="AH110" i="20"/>
  <c r="AY571" i="12"/>
  <c r="AY576" i="12" s="1"/>
  <c r="AP110" i="20"/>
  <c r="AP571" i="12"/>
  <c r="AP576" i="12" s="1"/>
  <c r="AG110" i="20"/>
  <c r="AS571" i="12"/>
  <c r="AS576" i="12" s="1"/>
  <c r="AJ110" i="20"/>
  <c r="AR571" i="12"/>
  <c r="AR576" i="12" s="1"/>
  <c r="AI110" i="20"/>
  <c r="T156" i="12"/>
  <c r="K177" i="20" s="1"/>
  <c r="S575" i="12" l="1"/>
  <c r="S457" i="12"/>
  <c r="V457" i="21" s="1"/>
  <c r="I235" i="20"/>
  <c r="AI321" i="20"/>
  <c r="AI327" i="20" s="1"/>
  <c r="AI329" i="20" s="1"/>
  <c r="K87" i="27"/>
  <c r="K90" i="27" s="1"/>
  <c r="K92" i="27" s="1"/>
  <c r="AO103" i="3"/>
  <c r="K78" i="27"/>
  <c r="K80" i="27" s="1"/>
  <c r="AI305" i="20"/>
  <c r="G14" i="32"/>
  <c r="K40" i="27"/>
  <c r="R78" i="27"/>
  <c r="R80" i="27" s="1"/>
  <c r="AP321" i="20"/>
  <c r="AP327" i="20" s="1"/>
  <c r="AP329" i="20" s="1"/>
  <c r="AV103" i="3"/>
  <c r="N14" i="32"/>
  <c r="R87" i="27"/>
  <c r="R90" i="27" s="1"/>
  <c r="R92" i="27" s="1"/>
  <c r="AP305" i="20"/>
  <c r="R40" i="27"/>
  <c r="U105" i="12"/>
  <c r="U156" i="12" s="1"/>
  <c r="L177" i="20" s="1"/>
  <c r="U69" i="12"/>
  <c r="L415" i="20"/>
  <c r="L367" i="20"/>
  <c r="T571" i="12"/>
  <c r="T576" i="12" s="1"/>
  <c r="L87" i="27"/>
  <c r="L90" i="27" s="1"/>
  <c r="L92" i="27" s="1"/>
  <c r="AJ305" i="20"/>
  <c r="AP103" i="3"/>
  <c r="L40" i="27"/>
  <c r="L78" i="27"/>
  <c r="L80" i="27" s="1"/>
  <c r="AJ321" i="20"/>
  <c r="AJ327" i="20" s="1"/>
  <c r="AJ329" i="20" s="1"/>
  <c r="H14" i="32"/>
  <c r="AG321" i="20"/>
  <c r="AG327" i="20" s="1"/>
  <c r="AG329" i="20" s="1"/>
  <c r="AG305" i="20"/>
  <c r="I40" i="27"/>
  <c r="E14" i="32"/>
  <c r="I78" i="27"/>
  <c r="I80" i="27" s="1"/>
  <c r="I87" i="27"/>
  <c r="I90" i="27" s="1"/>
  <c r="I92" i="27" s="1"/>
  <c r="AM103" i="3"/>
  <c r="J78" i="27"/>
  <c r="J80" i="27" s="1"/>
  <c r="AH321" i="20"/>
  <c r="AH327" i="20" s="1"/>
  <c r="AH329" i="20" s="1"/>
  <c r="J87" i="27"/>
  <c r="J90" i="27" s="1"/>
  <c r="J92" i="27" s="1"/>
  <c r="F14" i="32"/>
  <c r="AH305" i="20"/>
  <c r="AN103" i="3"/>
  <c r="J40" i="27"/>
  <c r="S87" i="27"/>
  <c r="S90" i="27" s="1"/>
  <c r="S92" i="27" s="1"/>
  <c r="AQ305" i="20"/>
  <c r="S40" i="27"/>
  <c r="O14" i="32"/>
  <c r="S78" i="27"/>
  <c r="S80" i="27" s="1"/>
  <c r="AQ321" i="20"/>
  <c r="AQ327" i="20" s="1"/>
  <c r="AQ329" i="20" s="1"/>
  <c r="AW103" i="3"/>
  <c r="O78" i="27"/>
  <c r="O80" i="27" s="1"/>
  <c r="AM321" i="20"/>
  <c r="AM327" i="20" s="1"/>
  <c r="AM329" i="20" s="1"/>
  <c r="O87" i="27"/>
  <c r="O90" i="27" s="1"/>
  <c r="O92" i="27" s="1"/>
  <c r="AM305" i="20"/>
  <c r="AS103" i="3"/>
  <c r="K14" i="32"/>
  <c r="O40" i="27"/>
  <c r="P78" i="27"/>
  <c r="P80" i="27" s="1"/>
  <c r="P87" i="27"/>
  <c r="P90" i="27" s="1"/>
  <c r="P92" i="27" s="1"/>
  <c r="AT103" i="3"/>
  <c r="P40" i="27"/>
  <c r="AN305" i="20"/>
  <c r="AN321" i="20"/>
  <c r="AN327" i="20" s="1"/>
  <c r="AN329" i="20" s="1"/>
  <c r="L14" i="32"/>
  <c r="AX571" i="12"/>
  <c r="AX576" i="12" s="1"/>
  <c r="AO110" i="20"/>
  <c r="M87" i="27"/>
  <c r="M90" i="27" s="1"/>
  <c r="M92" i="27" s="1"/>
  <c r="M78" i="27"/>
  <c r="M80" i="27" s="1"/>
  <c r="AQ103" i="3"/>
  <c r="I14" i="32"/>
  <c r="AK321" i="20"/>
  <c r="AK327" i="20" s="1"/>
  <c r="AK329" i="20" s="1"/>
  <c r="AK305" i="20"/>
  <c r="M40" i="27"/>
  <c r="AL321" i="20"/>
  <c r="AL327" i="20" s="1"/>
  <c r="AL329" i="20" s="1"/>
  <c r="N78" i="27"/>
  <c r="N80" i="27" s="1"/>
  <c r="AR103" i="3"/>
  <c r="N40" i="27"/>
  <c r="N87" i="27"/>
  <c r="N90" i="27" s="1"/>
  <c r="N92" i="27" s="1"/>
  <c r="AL305" i="20"/>
  <c r="J14" i="32"/>
  <c r="W68" i="12"/>
  <c r="N365" i="20"/>
  <c r="N411" i="20" s="1"/>
  <c r="M170" i="20"/>
  <c r="M171" i="20" s="1"/>
  <c r="X15" i="12"/>
  <c r="X16" i="12" s="1"/>
  <c r="W64" i="12"/>
  <c r="W70" i="12" s="1"/>
  <c r="V105" i="12"/>
  <c r="V110" i="12" s="1"/>
  <c r="V160" i="12" s="1"/>
  <c r="V69" i="12"/>
  <c r="S571" i="12" l="1"/>
  <c r="L413" i="20"/>
  <c r="U110" i="12"/>
  <c r="U160" i="12" s="1"/>
  <c r="O365" i="20"/>
  <c r="O411" i="20" s="1"/>
  <c r="N170" i="20"/>
  <c r="N171" i="20" s="1"/>
  <c r="Y15" i="12"/>
  <c r="Y16" i="12" s="1"/>
  <c r="X64" i="12"/>
  <c r="X70" i="12" s="1"/>
  <c r="W105" i="12"/>
  <c r="W110" i="12" s="1"/>
  <c r="W160" i="12" s="1"/>
  <c r="W69" i="12"/>
  <c r="AR115" i="3"/>
  <c r="AR117" i="3" s="1"/>
  <c r="AR108" i="3"/>
  <c r="AR233" i="3"/>
  <c r="AQ115" i="3"/>
  <c r="AQ117" i="3" s="1"/>
  <c r="AQ108" i="3"/>
  <c r="AQ233" i="3"/>
  <c r="AN313" i="20"/>
  <c r="AN315" i="20" s="1"/>
  <c r="P70" i="27"/>
  <c r="P73" i="27" s="1"/>
  <c r="AT115" i="3"/>
  <c r="AT117" i="3" s="1"/>
  <c r="AT108" i="3"/>
  <c r="AT233" i="3"/>
  <c r="O70" i="27"/>
  <c r="O73" i="27" s="1"/>
  <c r="AM313" i="20"/>
  <c r="AM315" i="20" s="1"/>
  <c r="AW115" i="3"/>
  <c r="AW117" i="3" s="1"/>
  <c r="AW233" i="3"/>
  <c r="AW108" i="3"/>
  <c r="AH313" i="20"/>
  <c r="AH315" i="20" s="1"/>
  <c r="J70" i="27"/>
  <c r="J73" i="27" s="1"/>
  <c r="AM108" i="3"/>
  <c r="AM115" i="3"/>
  <c r="AM117" i="3" s="1"/>
  <c r="AM233" i="3"/>
  <c r="AP115" i="3"/>
  <c r="AP117" i="3" s="1"/>
  <c r="AP233" i="3"/>
  <c r="AP108" i="3"/>
  <c r="K110" i="20"/>
  <c r="R70" i="27"/>
  <c r="R73" i="27" s="1"/>
  <c r="AP313" i="20"/>
  <c r="AP315" i="20" s="1"/>
  <c r="AI313" i="20"/>
  <c r="AI315" i="20" s="1"/>
  <c r="K70" i="27"/>
  <c r="K73" i="27" s="1"/>
  <c r="V457" i="12"/>
  <c r="Y457" i="21" s="1"/>
  <c r="V575" i="12"/>
  <c r="AL313" i="20"/>
  <c r="AL315" i="20" s="1"/>
  <c r="N70" i="27"/>
  <c r="N73" i="27" s="1"/>
  <c r="AK313" i="20"/>
  <c r="AK315" i="20" s="1"/>
  <c r="M70" i="27"/>
  <c r="M73" i="27" s="1"/>
  <c r="AO321" i="20"/>
  <c r="AO327" i="20" s="1"/>
  <c r="AO329" i="20" s="1"/>
  <c r="AO305" i="20"/>
  <c r="Q40" i="27"/>
  <c r="M14" i="32"/>
  <c r="Q78" i="27"/>
  <c r="Q80" i="27" s="1"/>
  <c r="Q87" i="27"/>
  <c r="Q90" i="27" s="1"/>
  <c r="Q92" i="27" s="1"/>
  <c r="AU103" i="3"/>
  <c r="AS108" i="3"/>
  <c r="AS115" i="3"/>
  <c r="AS117" i="3" s="1"/>
  <c r="AS233" i="3"/>
  <c r="AQ313" i="20"/>
  <c r="AQ315" i="20" s="1"/>
  <c r="S70" i="27"/>
  <c r="S73" i="27" s="1"/>
  <c r="AN115" i="3"/>
  <c r="AN117" i="3" s="1"/>
  <c r="AN108" i="3"/>
  <c r="AN233" i="3"/>
  <c r="I70" i="27"/>
  <c r="I73" i="27" s="1"/>
  <c r="AG313" i="20"/>
  <c r="AG315" i="20" s="1"/>
  <c r="AJ313" i="20"/>
  <c r="AJ315" i="20" s="1"/>
  <c r="L70" i="27"/>
  <c r="L73" i="27" s="1"/>
  <c r="V156" i="12"/>
  <c r="M177" i="20" s="1"/>
  <c r="AV108" i="3"/>
  <c r="AV115" i="3"/>
  <c r="AV117" i="3" s="1"/>
  <c r="AV233" i="3"/>
  <c r="AO233" i="3"/>
  <c r="AO115" i="3"/>
  <c r="AO117" i="3" s="1"/>
  <c r="AO108" i="3"/>
  <c r="L232" i="20" l="1"/>
  <c r="J110" i="20"/>
  <c r="S576" i="12"/>
  <c r="AV238" i="3"/>
  <c r="AV246" i="3"/>
  <c r="AV248" i="3" s="1"/>
  <c r="AO238" i="3"/>
  <c r="AO246" i="3"/>
  <c r="AO248" i="3" s="1"/>
  <c r="W156" i="12"/>
  <c r="N177" i="20" s="1"/>
  <c r="AN238" i="3"/>
  <c r="AN246" i="3"/>
  <c r="AN248" i="3" s="1"/>
  <c r="AS246" i="3"/>
  <c r="AS248" i="3" s="1"/>
  <c r="AS238" i="3"/>
  <c r="Q70" i="27"/>
  <c r="Q73" i="27" s="1"/>
  <c r="AO313" i="20"/>
  <c r="AO315" i="20" s="1"/>
  <c r="V571" i="12"/>
  <c r="V576" i="12" s="1"/>
  <c r="K305" i="20"/>
  <c r="K313" i="20" s="1"/>
  <c r="K315" i="20" s="1"/>
  <c r="Q103" i="3"/>
  <c r="K321" i="20"/>
  <c r="K327" i="20" s="1"/>
  <c r="K329" i="20" s="1"/>
  <c r="AT238" i="3"/>
  <c r="AT246" i="3"/>
  <c r="AT248" i="3" s="1"/>
  <c r="AQ238" i="3"/>
  <c r="AQ246" i="3"/>
  <c r="AQ248" i="3" s="1"/>
  <c r="W457" i="12"/>
  <c r="Z457" i="21" s="1"/>
  <c r="W575" i="12"/>
  <c r="O170" i="20"/>
  <c r="O171" i="20" s="1"/>
  <c r="Z15" i="12"/>
  <c r="Z16" i="12" s="1"/>
  <c r="Y68" i="12"/>
  <c r="P365" i="20"/>
  <c r="P411" i="20" s="1"/>
  <c r="Y64" i="12"/>
  <c r="Y70" i="12" s="1"/>
  <c r="AU233" i="3"/>
  <c r="AU115" i="3"/>
  <c r="AU117" i="3" s="1"/>
  <c r="AU108" i="3"/>
  <c r="AP238" i="3"/>
  <c r="AP246" i="3"/>
  <c r="AP248" i="3" s="1"/>
  <c r="AM246" i="3"/>
  <c r="AM248" i="3" s="1"/>
  <c r="AM238" i="3"/>
  <c r="AW246" i="3"/>
  <c r="AW248" i="3" s="1"/>
  <c r="AW238" i="3"/>
  <c r="AR238" i="3"/>
  <c r="AR246" i="3"/>
  <c r="AR248" i="3" s="1"/>
  <c r="O368" i="20"/>
  <c r="X68" i="12"/>
  <c r="P103" i="3" l="1"/>
  <c r="J321" i="20"/>
  <c r="J327" i="20" s="1"/>
  <c r="J329" i="20" s="1"/>
  <c r="J305" i="20"/>
  <c r="J313" i="20" s="1"/>
  <c r="J315" i="20" s="1"/>
  <c r="L235" i="20"/>
  <c r="U457" i="12"/>
  <c r="X457" i="21" s="1"/>
  <c r="U575" i="12"/>
  <c r="X69" i="12"/>
  <c r="X105" i="12"/>
  <c r="X110" i="12" s="1"/>
  <c r="X160" i="12" s="1"/>
  <c r="AU246" i="3"/>
  <c r="AU248" i="3" s="1"/>
  <c r="AU238" i="3"/>
  <c r="Y105" i="12"/>
  <c r="Y110" i="12" s="1"/>
  <c r="Y160" i="12" s="1"/>
  <c r="Y69" i="12"/>
  <c r="W571" i="12"/>
  <c r="W576" i="12" s="1"/>
  <c r="Q233" i="3"/>
  <c r="Q115" i="3"/>
  <c r="Q117" i="3" s="1"/>
  <c r="Q108" i="3"/>
  <c r="O367" i="20"/>
  <c r="O415" i="20"/>
  <c r="Z68" i="12"/>
  <c r="AA15" i="12"/>
  <c r="AA16" i="12" s="1"/>
  <c r="P170" i="20"/>
  <c r="P171" i="20" s="1"/>
  <c r="Q365" i="20"/>
  <c r="Q411" i="20" s="1"/>
  <c r="Z64" i="12"/>
  <c r="Z70" i="12" s="1"/>
  <c r="M110" i="20"/>
  <c r="X156" i="12"/>
  <c r="O177" i="20" s="1"/>
  <c r="X575" i="12" l="1"/>
  <c r="U571" i="12"/>
  <c r="P108" i="3"/>
  <c r="P233" i="3"/>
  <c r="P115" i="3"/>
  <c r="P117" i="3" s="1"/>
  <c r="O413" i="20"/>
  <c r="Z105" i="12"/>
  <c r="Z110" i="12" s="1"/>
  <c r="Z160" i="12" s="1"/>
  <c r="Z69" i="12"/>
  <c r="N110" i="20"/>
  <c r="Y156" i="12"/>
  <c r="P177" i="20" s="1"/>
  <c r="M305" i="20"/>
  <c r="M313" i="20" s="1"/>
  <c r="M315" i="20" s="1"/>
  <c r="S103" i="3"/>
  <c r="M321" i="20"/>
  <c r="M327" i="20" s="1"/>
  <c r="M329" i="20" s="1"/>
  <c r="Q170" i="20"/>
  <c r="Q171" i="20" s="1"/>
  <c r="R365" i="20"/>
  <c r="R411" i="20" s="1"/>
  <c r="AC15" i="12"/>
  <c r="AC16" i="12" s="1"/>
  <c r="AA64" i="12"/>
  <c r="AA70" i="12" s="1"/>
  <c r="Q238" i="3"/>
  <c r="Q246" i="3"/>
  <c r="Q248" i="3" s="1"/>
  <c r="Y575" i="12"/>
  <c r="Y457" i="12"/>
  <c r="AB457" i="21" s="1"/>
  <c r="X457" i="12" l="1"/>
  <c r="AA457" i="21" s="1"/>
  <c r="L110" i="20"/>
  <c r="O232" i="20"/>
  <c r="P246" i="3"/>
  <c r="P248" i="3" s="1"/>
  <c r="P238" i="3"/>
  <c r="U576" i="12"/>
  <c r="Y571" i="12"/>
  <c r="Y576" i="12" s="1"/>
  <c r="AC68" i="12"/>
  <c r="AD15" i="12"/>
  <c r="AD16" i="12" s="1"/>
  <c r="R170" i="20"/>
  <c r="T365" i="20"/>
  <c r="AC64" i="12"/>
  <c r="AC70" i="12" s="1"/>
  <c r="S115" i="3"/>
  <c r="S117" i="3" s="1"/>
  <c r="S108" i="3"/>
  <c r="S233" i="3"/>
  <c r="X571" i="12"/>
  <c r="X576" i="12" s="1"/>
  <c r="R368" i="20"/>
  <c r="S368" i="20" s="1"/>
  <c r="AA68" i="12"/>
  <c r="AB68" i="12" s="1"/>
  <c r="Z156" i="12"/>
  <c r="Q177" i="20" s="1"/>
  <c r="N305" i="20"/>
  <c r="N313" i="20" s="1"/>
  <c r="N315" i="20" s="1"/>
  <c r="N321" i="20"/>
  <c r="N327" i="20" s="1"/>
  <c r="N329" i="20" s="1"/>
  <c r="T103" i="3"/>
  <c r="Z457" i="12"/>
  <c r="AC457" i="21" s="1"/>
  <c r="Z575" i="12"/>
  <c r="O235" i="20" l="1"/>
  <c r="L321" i="20"/>
  <c r="L327" i="20" s="1"/>
  <c r="L329" i="20" s="1"/>
  <c r="L305" i="20"/>
  <c r="L313" i="20" s="1"/>
  <c r="L315" i="20" s="1"/>
  <c r="R103" i="3"/>
  <c r="Z571" i="12"/>
  <c r="Z576" i="12" s="1"/>
  <c r="R367" i="20"/>
  <c r="S367" i="20" s="1"/>
  <c r="R415" i="20"/>
  <c r="O110" i="20"/>
  <c r="S246" i="3"/>
  <c r="S248" i="3" s="1"/>
  <c r="S238" i="3"/>
  <c r="S170" i="20"/>
  <c r="R171" i="20"/>
  <c r="AC69" i="12"/>
  <c r="AC105" i="12"/>
  <c r="P110" i="20"/>
  <c r="T115" i="3"/>
  <c r="T117" i="3" s="1"/>
  <c r="T233" i="3"/>
  <c r="T108" i="3"/>
  <c r="AA105" i="12"/>
  <c r="AA69" i="12"/>
  <c r="AB69" i="12" s="1"/>
  <c r="AF365" i="20"/>
  <c r="T411" i="20"/>
  <c r="AF411" i="20" s="1"/>
  <c r="T170" i="20"/>
  <c r="T171" i="20" s="1"/>
  <c r="U365" i="20"/>
  <c r="U411" i="20" s="1"/>
  <c r="AD68" i="12"/>
  <c r="AE15" i="12"/>
  <c r="AE16" i="12" s="1"/>
  <c r="AD64" i="12"/>
  <c r="AD70" i="12" s="1"/>
  <c r="AA110" i="12" l="1"/>
  <c r="AA160" i="12" s="1"/>
  <c r="AB105" i="12"/>
  <c r="R233" i="3"/>
  <c r="R108" i="3"/>
  <c r="R115" i="3"/>
  <c r="R117" i="3" s="1"/>
  <c r="R413" i="20"/>
  <c r="S415" i="20"/>
  <c r="U170" i="20"/>
  <c r="U171" i="20" s="1"/>
  <c r="V365" i="20"/>
  <c r="V411" i="20" s="1"/>
  <c r="AF15" i="12"/>
  <c r="AF16" i="12" s="1"/>
  <c r="AE64" i="12"/>
  <c r="AE70" i="12" s="1"/>
  <c r="AC110" i="12"/>
  <c r="AC160" i="12" s="1"/>
  <c r="G17" i="27"/>
  <c r="S171" i="20"/>
  <c r="Q110" i="20"/>
  <c r="AD105" i="12"/>
  <c r="AD110" i="12" s="1"/>
  <c r="AD160" i="12" s="1"/>
  <c r="AD69" i="12"/>
  <c r="T238" i="3"/>
  <c r="T246" i="3"/>
  <c r="T248" i="3" s="1"/>
  <c r="P321" i="20"/>
  <c r="P327" i="20" s="1"/>
  <c r="P329" i="20" s="1"/>
  <c r="P305" i="20"/>
  <c r="P313" i="20" s="1"/>
  <c r="P315" i="20" s="1"/>
  <c r="V103" i="3"/>
  <c r="O305" i="20"/>
  <c r="O313" i="20" s="1"/>
  <c r="O315" i="20" s="1"/>
  <c r="O321" i="20"/>
  <c r="O327" i="20" s="1"/>
  <c r="O329" i="20" s="1"/>
  <c r="U103" i="3"/>
  <c r="AA156" i="12"/>
  <c r="R177" i="20" s="1"/>
  <c r="AB110" i="12" l="1"/>
  <c r="R232" i="20"/>
  <c r="S413" i="20"/>
  <c r="R246" i="3"/>
  <c r="R248" i="3" s="1"/>
  <c r="R238" i="3"/>
  <c r="AC156" i="12"/>
  <c r="T177" i="20" s="1"/>
  <c r="V368" i="20"/>
  <c r="AE68" i="12"/>
  <c r="U108" i="3"/>
  <c r="U233" i="3"/>
  <c r="U115" i="3"/>
  <c r="U117" i="3" s="1"/>
  <c r="V233" i="3"/>
  <c r="V115" i="3"/>
  <c r="V117" i="3" s="1"/>
  <c r="V108" i="3"/>
  <c r="AD575" i="12"/>
  <c r="AD457" i="12"/>
  <c r="AG457" i="21" s="1"/>
  <c r="Q321" i="20"/>
  <c r="Q327" i="20" s="1"/>
  <c r="Q329" i="20" s="1"/>
  <c r="W103" i="3"/>
  <c r="Q305" i="20"/>
  <c r="Q313" i="20" s="1"/>
  <c r="Q315" i="20" s="1"/>
  <c r="V170" i="20"/>
  <c r="V171" i="20" s="1"/>
  <c r="W365" i="20"/>
  <c r="W411" i="20" s="1"/>
  <c r="AF68" i="12"/>
  <c r="AG15" i="12"/>
  <c r="AG16" i="12" s="1"/>
  <c r="AF64" i="12"/>
  <c r="AF70" i="12" s="1"/>
  <c r="R235" i="20" l="1"/>
  <c r="S232" i="20"/>
  <c r="G57" i="27" s="1"/>
  <c r="G59" i="27" s="1"/>
  <c r="AB160" i="12"/>
  <c r="AB575" i="12" s="1"/>
  <c r="AA457" i="12"/>
  <c r="AA575" i="12"/>
  <c r="AG68" i="12"/>
  <c r="AH15" i="12"/>
  <c r="AH16" i="12" s="1"/>
  <c r="W170" i="20"/>
  <c r="W171" i="20" s="1"/>
  <c r="X365" i="20"/>
  <c r="X411" i="20" s="1"/>
  <c r="AG64" i="12"/>
  <c r="AG70" i="12" s="1"/>
  <c r="AF69" i="12"/>
  <c r="AF105" i="12"/>
  <c r="AF110" i="12" s="1"/>
  <c r="AF160" i="12" s="1"/>
  <c r="AC575" i="12"/>
  <c r="AC457" i="12"/>
  <c r="AF457" i="21" s="1"/>
  <c r="W108" i="3"/>
  <c r="W233" i="3"/>
  <c r="W115" i="3"/>
  <c r="W117" i="3" s="1"/>
  <c r="AD571" i="12"/>
  <c r="AD576" i="12" s="1"/>
  <c r="U238" i="3"/>
  <c r="U246" i="3"/>
  <c r="U248" i="3" s="1"/>
  <c r="AE105" i="12"/>
  <c r="AE69" i="12"/>
  <c r="S177" i="20"/>
  <c r="V238" i="3"/>
  <c r="V246" i="3"/>
  <c r="V248" i="3" s="1"/>
  <c r="V367" i="20"/>
  <c r="V415" i="20"/>
  <c r="AD156" i="12"/>
  <c r="U177" i="20" s="1"/>
  <c r="AB457" i="12" l="1"/>
  <c r="AD457" i="21"/>
  <c r="AA571" i="12"/>
  <c r="AE110" i="12"/>
  <c r="AE160" i="12" s="1"/>
  <c r="S235" i="20"/>
  <c r="AE156" i="12"/>
  <c r="V177" i="20" s="1"/>
  <c r="AI15" i="12"/>
  <c r="AI16" i="12" s="1"/>
  <c r="X170" i="20"/>
  <c r="X171" i="20" s="1"/>
  <c r="Y365" i="20"/>
  <c r="Y411" i="20" s="1"/>
  <c r="AH64" i="12"/>
  <c r="AH70" i="12" s="1"/>
  <c r="V413" i="20"/>
  <c r="U110" i="20"/>
  <c r="W246" i="3"/>
  <c r="W248" i="3" s="1"/>
  <c r="W238" i="3"/>
  <c r="AC571" i="12"/>
  <c r="AF575" i="12"/>
  <c r="AF457" i="12"/>
  <c r="AI457" i="21" s="1"/>
  <c r="AG69" i="12"/>
  <c r="AG105" i="12"/>
  <c r="AG110" i="12" s="1"/>
  <c r="AG160" i="12" s="1"/>
  <c r="AA576" i="12" l="1"/>
  <c r="AB571" i="12"/>
  <c r="AB576" i="12" s="1"/>
  <c r="AE457" i="21"/>
  <c r="R110" i="20"/>
  <c r="U321" i="20"/>
  <c r="U327" i="20" s="1"/>
  <c r="U329" i="20" s="1"/>
  <c r="AA103" i="3"/>
  <c r="U305" i="20"/>
  <c r="U313" i="20" s="1"/>
  <c r="U315" i="20" s="1"/>
  <c r="Y170" i="20"/>
  <c r="Y171" i="20" s="1"/>
  <c r="AJ15" i="12"/>
  <c r="AJ16" i="12" s="1"/>
  <c r="AI68" i="12"/>
  <c r="Z365" i="20"/>
  <c r="Z411" i="20" s="1"/>
  <c r="AI64" i="12"/>
  <c r="AI70" i="12" s="1"/>
  <c r="AG575" i="12"/>
  <c r="AG457" i="12"/>
  <c r="AJ457" i="21" s="1"/>
  <c r="AF571" i="12"/>
  <c r="AF576" i="12" s="1"/>
  <c r="T110" i="20"/>
  <c r="AC576" i="12"/>
  <c r="V232" i="20"/>
  <c r="Y368" i="20"/>
  <c r="AH68" i="12"/>
  <c r="AF156" i="12"/>
  <c r="W177" i="20" s="1"/>
  <c r="S110" i="20" l="1"/>
  <c r="R305" i="20"/>
  <c r="R313" i="20" s="1"/>
  <c r="R315" i="20" s="1"/>
  <c r="R321" i="20"/>
  <c r="R327" i="20" s="1"/>
  <c r="R329" i="20" s="1"/>
  <c r="X103" i="3"/>
  <c r="AE457" i="12"/>
  <c r="AH457" i="21" s="1"/>
  <c r="AE575" i="12"/>
  <c r="V235" i="20"/>
  <c r="AG156" i="12"/>
  <c r="X177" i="20" s="1"/>
  <c r="AH105" i="12"/>
  <c r="AH69" i="12"/>
  <c r="AJ68" i="12"/>
  <c r="AK15" i="12"/>
  <c r="AK16" i="12" s="1"/>
  <c r="Z170" i="20"/>
  <c r="Z171" i="20" s="1"/>
  <c r="AA365" i="20"/>
  <c r="AA411" i="20" s="1"/>
  <c r="AJ64" i="12"/>
  <c r="AJ70" i="12" s="1"/>
  <c r="AA108" i="3"/>
  <c r="AA115" i="3"/>
  <c r="AA117" i="3" s="1"/>
  <c r="AA233" i="3"/>
  <c r="Y367" i="20"/>
  <c r="Y415" i="20"/>
  <c r="T305" i="20"/>
  <c r="T313" i="20" s="1"/>
  <c r="T315" i="20" s="1"/>
  <c r="Z103" i="3"/>
  <c r="T321" i="20"/>
  <c r="T327" i="20" s="1"/>
  <c r="T329" i="20" s="1"/>
  <c r="W110" i="20"/>
  <c r="AG571" i="12"/>
  <c r="AG576" i="12" s="1"/>
  <c r="AI105" i="12"/>
  <c r="AI110" i="12" s="1"/>
  <c r="AI160" i="12" s="1"/>
  <c r="AI69" i="12"/>
  <c r="AE571" i="12" l="1"/>
  <c r="G87" i="27"/>
  <c r="G90" i="27" s="1"/>
  <c r="G92" i="27" s="1"/>
  <c r="G40" i="27"/>
  <c r="S321" i="20"/>
  <c r="S327" i="20" s="1"/>
  <c r="S329" i="20" s="1"/>
  <c r="G78" i="27"/>
  <c r="G80" i="27" s="1"/>
  <c r="S305" i="20"/>
  <c r="C14" i="32"/>
  <c r="Y413" i="20"/>
  <c r="AH110" i="12"/>
  <c r="AH160" i="12" s="1"/>
  <c r="Y103" i="3"/>
  <c r="X108" i="3"/>
  <c r="X233" i="3"/>
  <c r="X115" i="3"/>
  <c r="X117" i="3" s="1"/>
  <c r="AI457" i="12"/>
  <c r="AL457" i="21" s="1"/>
  <c r="AI575" i="12"/>
  <c r="W305" i="20"/>
  <c r="W313" i="20" s="1"/>
  <c r="W315" i="20" s="1"/>
  <c r="AC103" i="3"/>
  <c r="W321" i="20"/>
  <c r="W327" i="20" s="1"/>
  <c r="W329" i="20" s="1"/>
  <c r="Z115" i="3"/>
  <c r="Z117" i="3" s="1"/>
  <c r="Z108" i="3"/>
  <c r="Z233" i="3"/>
  <c r="AJ105" i="12"/>
  <c r="AJ110" i="12" s="1"/>
  <c r="AJ160" i="12" s="1"/>
  <c r="AJ69" i="12"/>
  <c r="X110" i="20"/>
  <c r="AA238" i="3"/>
  <c r="AA246" i="3"/>
  <c r="AA248" i="3" s="1"/>
  <c r="AL15" i="12"/>
  <c r="AL16" i="12" s="1"/>
  <c r="AA170" i="20"/>
  <c r="AA171" i="20" s="1"/>
  <c r="AB365" i="20"/>
  <c r="AB411" i="20" s="1"/>
  <c r="AK64" i="12"/>
  <c r="AK70" i="12" s="1"/>
  <c r="AH156" i="12"/>
  <c r="Y177" i="20" s="1"/>
  <c r="Y233" i="3" l="1"/>
  <c r="X246" i="3"/>
  <c r="X248" i="3" s="1"/>
  <c r="X238" i="3"/>
  <c r="Y108" i="3"/>
  <c r="Y115" i="3"/>
  <c r="Y117" i="3" s="1"/>
  <c r="V110" i="20"/>
  <c r="Y232" i="20"/>
  <c r="G70" i="27"/>
  <c r="G73" i="27" s="1"/>
  <c r="S313" i="20"/>
  <c r="S315" i="20" s="1"/>
  <c r="AE576" i="12"/>
  <c r="AI156" i="12"/>
  <c r="Z177" i="20" s="1"/>
  <c r="AB170" i="20"/>
  <c r="AB171" i="20" s="1"/>
  <c r="AC365" i="20"/>
  <c r="AC411" i="20" s="1"/>
  <c r="AL68" i="12"/>
  <c r="AM15" i="12"/>
  <c r="AM16" i="12" s="1"/>
  <c r="AL64" i="12"/>
  <c r="AL70" i="12" s="1"/>
  <c r="AB368" i="20"/>
  <c r="AK68" i="12"/>
  <c r="X305" i="20"/>
  <c r="X313" i="20" s="1"/>
  <c r="X315" i="20" s="1"/>
  <c r="X321" i="20"/>
  <c r="X327" i="20" s="1"/>
  <c r="X329" i="20" s="1"/>
  <c r="AD103" i="3"/>
  <c r="AJ457" i="12"/>
  <c r="AM457" i="21" s="1"/>
  <c r="AJ575" i="12"/>
  <c r="Z246" i="3"/>
  <c r="Z248" i="3" s="1"/>
  <c r="Z238" i="3"/>
  <c r="AC115" i="3"/>
  <c r="AC117" i="3" s="1"/>
  <c r="AC108" i="3"/>
  <c r="AC233" i="3"/>
  <c r="AI571" i="12"/>
  <c r="AI576" i="12" s="1"/>
  <c r="AB103" i="3" l="1"/>
  <c r="V321" i="20"/>
  <c r="V327" i="20" s="1"/>
  <c r="V329" i="20" s="1"/>
  <c r="V305" i="20"/>
  <c r="V313" i="20" s="1"/>
  <c r="V315" i="20" s="1"/>
  <c r="Y235" i="20"/>
  <c r="AH457" i="12"/>
  <c r="AK457" i="21" s="1"/>
  <c r="AH575" i="12"/>
  <c r="Y246" i="3"/>
  <c r="Y248" i="3" s="1"/>
  <c r="Y238" i="3"/>
  <c r="Z110" i="20"/>
  <c r="AC246" i="3"/>
  <c r="AC248" i="3" s="1"/>
  <c r="AC238" i="3"/>
  <c r="AD115" i="3"/>
  <c r="AD117" i="3" s="1"/>
  <c r="AD233" i="3"/>
  <c r="AD108" i="3"/>
  <c r="AK105" i="12"/>
  <c r="AK110" i="12" s="1"/>
  <c r="AK160" i="12" s="1"/>
  <c r="AK69" i="12"/>
  <c r="AC170" i="20"/>
  <c r="AC171" i="20" s="1"/>
  <c r="AD365" i="20"/>
  <c r="AD411" i="20" s="1"/>
  <c r="AM68" i="12"/>
  <c r="AN15" i="12"/>
  <c r="AN16" i="12" s="1"/>
  <c r="AM64" i="12"/>
  <c r="AM70" i="12" s="1"/>
  <c r="AJ571" i="12"/>
  <c r="AJ576" i="12" s="1"/>
  <c r="AB367" i="20"/>
  <c r="AB415" i="20"/>
  <c r="AL105" i="12"/>
  <c r="AL110" i="12" s="1"/>
  <c r="AL160" i="12" s="1"/>
  <c r="AL69" i="12"/>
  <c r="AJ156" i="12"/>
  <c r="AA177" i="20" s="1"/>
  <c r="AK575" i="12" l="1"/>
  <c r="AB413" i="20"/>
  <c r="AH571" i="12"/>
  <c r="AB115" i="3"/>
  <c r="AB117" i="3" s="1"/>
  <c r="AB233" i="3"/>
  <c r="AB108" i="3"/>
  <c r="AK156" i="12"/>
  <c r="AB177" i="20" s="1"/>
  <c r="AL575" i="12"/>
  <c r="AL457" i="12"/>
  <c r="AO457" i="21" s="1"/>
  <c r="AD170" i="20"/>
  <c r="AD171" i="20" s="1"/>
  <c r="AP15" i="12"/>
  <c r="AE365" i="20"/>
  <c r="AE411" i="20" s="1"/>
  <c r="AN64" i="12"/>
  <c r="AN70" i="12" s="1"/>
  <c r="AD246" i="3"/>
  <c r="AD248" i="3" s="1"/>
  <c r="AD238" i="3"/>
  <c r="AA110" i="20"/>
  <c r="AM105" i="12"/>
  <c r="AM110" i="12" s="1"/>
  <c r="AM160" i="12" s="1"/>
  <c r="AM69" i="12"/>
  <c r="AF103" i="3"/>
  <c r="Z305" i="20"/>
  <c r="Z313" i="20" s="1"/>
  <c r="Z315" i="20" s="1"/>
  <c r="Z321" i="20"/>
  <c r="Z327" i="20" s="1"/>
  <c r="Z329" i="20" s="1"/>
  <c r="AK457" i="12" l="1"/>
  <c r="AN457" i="21" s="1"/>
  <c r="AB246" i="3"/>
  <c r="AB248" i="3" s="1"/>
  <c r="AB238" i="3"/>
  <c r="Y110" i="20"/>
  <c r="AH576" i="12"/>
  <c r="AB232" i="20"/>
  <c r="AF115" i="3"/>
  <c r="AF117" i="3" s="1"/>
  <c r="AF108" i="3"/>
  <c r="AF233" i="3"/>
  <c r="AM457" i="12"/>
  <c r="AP457" i="21" s="1"/>
  <c r="AM575" i="12"/>
  <c r="AA305" i="20"/>
  <c r="AA313" i="20" s="1"/>
  <c r="AA315" i="20" s="1"/>
  <c r="AA321" i="20"/>
  <c r="AA327" i="20" s="1"/>
  <c r="AA329" i="20" s="1"/>
  <c r="AG103" i="3"/>
  <c r="AK571" i="12"/>
  <c r="AK576" i="12" s="1"/>
  <c r="AQ15" i="12"/>
  <c r="AG365" i="20"/>
  <c r="AG411" i="20" s="1"/>
  <c r="AE170" i="20"/>
  <c r="AP64" i="12"/>
  <c r="AP70" i="12" s="1"/>
  <c r="AL571" i="12"/>
  <c r="AL576" i="12" s="1"/>
  <c r="AE368" i="20"/>
  <c r="AF368" i="20" s="1"/>
  <c r="AN68" i="12"/>
  <c r="AO68" i="12" s="1"/>
  <c r="AL156" i="12"/>
  <c r="AC177" i="20" s="1"/>
  <c r="AB235" i="20" l="1"/>
  <c r="Y305" i="20"/>
  <c r="Y313" i="20" s="1"/>
  <c r="Y315" i="20" s="1"/>
  <c r="Y321" i="20"/>
  <c r="Y327" i="20" s="1"/>
  <c r="Y329" i="20" s="1"/>
  <c r="AE103" i="3"/>
  <c r="AN105" i="12"/>
  <c r="AN69" i="12"/>
  <c r="AO69" i="12" s="1"/>
  <c r="AM156" i="12"/>
  <c r="AD177" i="20" s="1"/>
  <c r="AE367" i="20"/>
  <c r="AF367" i="20" s="1"/>
  <c r="AE415" i="20"/>
  <c r="AC110" i="20"/>
  <c r="AM571" i="12"/>
  <c r="AM576" i="12" s="1"/>
  <c r="AF170" i="20"/>
  <c r="AE171" i="20"/>
  <c r="AG170" i="20"/>
  <c r="AG171" i="20" s="1"/>
  <c r="I17" i="27" s="1"/>
  <c r="AH365" i="20"/>
  <c r="AH411" i="20" s="1"/>
  <c r="AR15" i="12"/>
  <c r="AQ64" i="12"/>
  <c r="AQ70" i="12" s="1"/>
  <c r="AB110" i="20"/>
  <c r="AG115" i="3"/>
  <c r="AG117" i="3" s="1"/>
  <c r="AG108" i="3"/>
  <c r="AG233" i="3"/>
  <c r="AF238" i="3"/>
  <c r="AF246" i="3"/>
  <c r="AF248" i="3" s="1"/>
  <c r="AE413" i="20" l="1"/>
  <c r="AF415" i="20"/>
  <c r="AE115" i="3"/>
  <c r="AE117" i="3" s="1"/>
  <c r="AE233" i="3"/>
  <c r="AE108" i="3"/>
  <c r="AN110" i="12"/>
  <c r="AN160" i="12" s="1"/>
  <c r="AO105" i="12"/>
  <c r="AF171" i="20"/>
  <c r="H17" i="27"/>
  <c r="AD110" i="20"/>
  <c r="AG238" i="3"/>
  <c r="AG246" i="3"/>
  <c r="AG248" i="3" s="1"/>
  <c r="AB305" i="20"/>
  <c r="AB313" i="20" s="1"/>
  <c r="AB315" i="20" s="1"/>
  <c r="AB321" i="20"/>
  <c r="AB327" i="20" s="1"/>
  <c r="AB329" i="20" s="1"/>
  <c r="AH103" i="3"/>
  <c r="AS15" i="12"/>
  <c r="AI365" i="20"/>
  <c r="AI411" i="20" s="1"/>
  <c r="AR64" i="12"/>
  <c r="AR70" i="12" s="1"/>
  <c r="AH170" i="20"/>
  <c r="AH171" i="20" s="1"/>
  <c r="J17" i="27" s="1"/>
  <c r="AC321" i="20"/>
  <c r="AC327" i="20" s="1"/>
  <c r="AC329" i="20" s="1"/>
  <c r="AC305" i="20"/>
  <c r="AC313" i="20" s="1"/>
  <c r="AC315" i="20" s="1"/>
  <c r="AI103" i="3"/>
  <c r="AN156" i="12"/>
  <c r="AE177" i="20" s="1"/>
  <c r="AO110" i="12" l="1"/>
  <c r="AE246" i="3"/>
  <c r="AE248" i="3" s="1"/>
  <c r="AE238" i="3"/>
  <c r="AE232" i="20"/>
  <c r="AF413" i="20"/>
  <c r="AP156" i="12"/>
  <c r="AG177" i="20" s="1"/>
  <c r="AH108" i="3"/>
  <c r="AH115" i="3"/>
  <c r="AH117" i="3" s="1"/>
  <c r="AH233" i="3"/>
  <c r="AI233" i="3"/>
  <c r="AI108" i="3"/>
  <c r="AI115" i="3"/>
  <c r="AI117" i="3" s="1"/>
  <c r="AT15" i="12"/>
  <c r="AJ365" i="20"/>
  <c r="AJ411" i="20" s="1"/>
  <c r="AI170" i="20"/>
  <c r="AI171" i="20" s="1"/>
  <c r="K17" i="27" s="1"/>
  <c r="AS64" i="12"/>
  <c r="AS70" i="12" s="1"/>
  <c r="AD305" i="20"/>
  <c r="AD313" i="20" s="1"/>
  <c r="AD315" i="20" s="1"/>
  <c r="AD321" i="20"/>
  <c r="AD327" i="20" s="1"/>
  <c r="AD329" i="20" s="1"/>
  <c r="AJ103" i="3"/>
  <c r="AE235" i="20" l="1"/>
  <c r="AF235" i="20" s="1"/>
  <c r="AF232" i="20"/>
  <c r="H57" i="27" s="1"/>
  <c r="H59" i="27" s="1"/>
  <c r="AO160" i="12"/>
  <c r="AO575" i="12" s="1"/>
  <c r="AN457" i="12"/>
  <c r="AN575" i="12"/>
  <c r="AK365" i="20"/>
  <c r="AK411" i="20" s="1"/>
  <c r="AT64" i="12"/>
  <c r="AT70" i="12" s="1"/>
  <c r="AJ170" i="20"/>
  <c r="AJ171" i="20" s="1"/>
  <c r="L17" i="27" s="1"/>
  <c r="AU15" i="12"/>
  <c r="AJ115" i="3"/>
  <c r="AJ117" i="3" s="1"/>
  <c r="AJ233" i="3"/>
  <c r="AJ108" i="3"/>
  <c r="AI246" i="3"/>
  <c r="AI248" i="3" s="1"/>
  <c r="AI238" i="3"/>
  <c r="AH246" i="3"/>
  <c r="AH248" i="3" s="1"/>
  <c r="AH238" i="3"/>
  <c r="AF177" i="20"/>
  <c r="AQ156" i="12"/>
  <c r="AH177" i="20" s="1"/>
  <c r="AO457" i="12" l="1"/>
  <c r="AQ457" i="21"/>
  <c r="AN571" i="12"/>
  <c r="AR156" i="12"/>
  <c r="AI177" i="20" s="1"/>
  <c r="AJ246" i="3"/>
  <c r="AJ248" i="3" s="1"/>
  <c r="AJ238" i="3"/>
  <c r="AV15" i="12"/>
  <c r="AL365" i="20"/>
  <c r="AL411" i="20" s="1"/>
  <c r="AU64" i="12"/>
  <c r="AU70" i="12" s="1"/>
  <c r="AK170" i="20"/>
  <c r="AK171" i="20" s="1"/>
  <c r="M17" i="27" s="1"/>
  <c r="AR457" i="21" l="1"/>
  <c r="AE110" i="20"/>
  <c r="AN576" i="12"/>
  <c r="AO571" i="12"/>
  <c r="AO576" i="12" s="1"/>
  <c r="AW15" i="12"/>
  <c r="AM365" i="20"/>
  <c r="AM411" i="20" s="1"/>
  <c r="AL170" i="20"/>
  <c r="AL171" i="20" s="1"/>
  <c r="N17" i="27" s="1"/>
  <c r="AV64" i="12"/>
  <c r="AV70" i="12" s="1"/>
  <c r="AS156" i="12"/>
  <c r="AJ177" i="20" s="1"/>
  <c r="AF110" i="20" l="1"/>
  <c r="AE305" i="20"/>
  <c r="AE313" i="20" s="1"/>
  <c r="AE315" i="20" s="1"/>
  <c r="AE321" i="20"/>
  <c r="AE327" i="20" s="1"/>
  <c r="AE329" i="20" s="1"/>
  <c r="AK103" i="3"/>
  <c r="AT156" i="12"/>
  <c r="AK177" i="20" s="1"/>
  <c r="AN365" i="20"/>
  <c r="AN411" i="20" s="1"/>
  <c r="AX15" i="12"/>
  <c r="AM170" i="20"/>
  <c r="AM171" i="20" s="1"/>
  <c r="O17" i="27" s="1"/>
  <c r="AW64" i="12"/>
  <c r="AW70" i="12" s="1"/>
  <c r="AL103" i="3" l="1"/>
  <c r="AK108" i="3"/>
  <c r="AK115" i="3"/>
  <c r="AK117" i="3" s="1"/>
  <c r="AK233" i="3"/>
  <c r="AF321" i="20"/>
  <c r="AF327" i="20" s="1"/>
  <c r="AF329" i="20" s="1"/>
  <c r="H40" i="27"/>
  <c r="D14" i="32"/>
  <c r="H87" i="27"/>
  <c r="H90" i="27" s="1"/>
  <c r="H92" i="27" s="1"/>
  <c r="AF305" i="20"/>
  <c r="H78" i="27"/>
  <c r="H80" i="27" s="1"/>
  <c r="AY15" i="12"/>
  <c r="AO365" i="20"/>
  <c r="AO411" i="20" s="1"/>
  <c r="AN170" i="20"/>
  <c r="AN171" i="20" s="1"/>
  <c r="P17" i="27" s="1"/>
  <c r="AX64" i="12"/>
  <c r="AX70" i="12" s="1"/>
  <c r="AU156" i="12"/>
  <c r="AL177" i="20" s="1"/>
  <c r="H70" i="27" l="1"/>
  <c r="H73" i="27" s="1"/>
  <c r="AF313" i="20"/>
  <c r="AF315" i="20" s="1"/>
  <c r="AL233" i="3"/>
  <c r="AK238" i="3"/>
  <c r="AK246" i="3"/>
  <c r="AK248" i="3" s="1"/>
  <c r="AL115" i="3"/>
  <c r="AL117" i="3" s="1"/>
  <c r="AL108" i="3"/>
  <c r="AV156" i="12"/>
  <c r="AM177" i="20" s="1"/>
  <c r="AZ15" i="12"/>
  <c r="AP365" i="20"/>
  <c r="AP411" i="20" s="1"/>
  <c r="AY64" i="12"/>
  <c r="AY70" i="12" s="1"/>
  <c r="AO170" i="20"/>
  <c r="AO171" i="20" s="1"/>
  <c r="Q17" i="27" s="1"/>
  <c r="AL238" i="3" l="1"/>
  <c r="AL246" i="3"/>
  <c r="AL248" i="3" s="1"/>
  <c r="AQ365" i="20"/>
  <c r="AQ411" i="20" s="1"/>
  <c r="BA15" i="12"/>
  <c r="AZ64" i="12"/>
  <c r="AZ70" i="12" s="1"/>
  <c r="AP170" i="20"/>
  <c r="AP171" i="20" s="1"/>
  <c r="R17" i="27" s="1"/>
  <c r="AW156" i="12"/>
  <c r="AN177" i="20" s="1"/>
  <c r="BB15" i="12" l="1"/>
  <c r="BA64" i="12"/>
  <c r="BA70" i="12" s="1"/>
  <c r="AQ170" i="20"/>
  <c r="AQ171" i="20" s="1"/>
  <c r="S17" i="27" s="1"/>
  <c r="AX156" i="12"/>
  <c r="AO177" i="20" s="1"/>
  <c r="AY156" i="12" l="1"/>
  <c r="AP177" i="20" s="1"/>
  <c r="BC15" i="12"/>
  <c r="BB64" i="12"/>
  <c r="BB70" i="12" s="1"/>
  <c r="BD15" i="12" l="1"/>
  <c r="BC64" i="12"/>
  <c r="BC70" i="12" s="1"/>
  <c r="AZ156" i="12"/>
  <c r="AQ177" i="20" s="1"/>
  <c r="BA156" i="12" l="1"/>
  <c r="BE15" i="12"/>
  <c r="BD64" i="12"/>
  <c r="BD70" i="12" s="1"/>
  <c r="BF15" i="12" l="1"/>
  <c r="BE64" i="12"/>
  <c r="BE70" i="12" s="1"/>
  <c r="BB156" i="12"/>
  <c r="BG15" i="12" l="1"/>
  <c r="BF64" i="12"/>
  <c r="BF70" i="12" s="1"/>
  <c r="BH15" i="12" l="1"/>
  <c r="BG64" i="12"/>
  <c r="BG70" i="12" s="1"/>
  <c r="BI15" i="12" l="1"/>
  <c r="BH64" i="12"/>
  <c r="BH70" i="12" s="1"/>
  <c r="BJ15" i="12" l="1"/>
  <c r="BI64" i="12"/>
  <c r="BI70" i="12" s="1"/>
  <c r="BK15" i="12" l="1"/>
  <c r="BJ64" i="12"/>
  <c r="BJ70" i="12" s="1"/>
  <c r="BL15" i="12" l="1"/>
  <c r="BK64" i="12"/>
  <c r="BK70" i="12" s="1"/>
  <c r="BM15" i="12" l="1"/>
  <c r="BL64" i="12"/>
  <c r="BL70" i="12" s="1"/>
  <c r="BN15" i="12" l="1"/>
  <c r="BM64" i="12"/>
  <c r="BM70" i="12" s="1"/>
  <c r="BO15" i="12" l="1"/>
  <c r="BN64" i="12"/>
  <c r="BN70" i="12" s="1"/>
  <c r="BP15" i="12" l="1"/>
  <c r="BO64" i="12"/>
  <c r="BO70" i="12" s="1"/>
  <c r="BQ15" i="12" l="1"/>
  <c r="BQ64" i="12" s="1"/>
  <c r="BQ70" i="12" s="1"/>
  <c r="BP64" i="12"/>
  <c r="BP70" i="12" s="1"/>
  <c r="W31" i="3" l="1"/>
  <c r="X31" i="3" l="1"/>
  <c r="Z31" i="3" l="1"/>
  <c r="AA31" i="3" l="1"/>
  <c r="AB31" i="3" l="1"/>
  <c r="AC31" i="3" l="1"/>
  <c r="AD31" i="3" l="1"/>
  <c r="AE31" i="3" l="1"/>
  <c r="AF31" i="3" l="1"/>
  <c r="AG31" i="3" l="1"/>
  <c r="AH31" i="3" l="1"/>
  <c r="AI31" i="3" l="1"/>
  <c r="AJ31" i="3" l="1"/>
  <c r="AK31" i="3" l="1"/>
  <c r="AM31" i="3" l="1"/>
  <c r="AN31" i="3" l="1"/>
  <c r="AO31" i="3" l="1"/>
  <c r="AP31" i="3" l="1"/>
  <c r="AQ31" i="3" l="1"/>
  <c r="AR31" i="3" l="1"/>
  <c r="AS31" i="3" l="1"/>
  <c r="AT31" i="3" l="1"/>
  <c r="AU31" i="3" l="1"/>
  <c r="AV31" i="3" l="1"/>
  <c r="AW31" i="3" l="1"/>
  <c r="AM20" i="5" l="1"/>
  <c r="AN63" i="8"/>
  <c r="Z61" i="8"/>
  <c r="M20" i="5"/>
  <c r="N63" i="8"/>
  <c r="O20" i="5"/>
  <c r="P63" i="8"/>
  <c r="Q20" i="5"/>
  <c r="R63" i="8"/>
  <c r="T63" i="8"/>
  <c r="S20" i="5"/>
  <c r="V63" i="8"/>
  <c r="U20" i="5"/>
  <c r="W20" i="5"/>
  <c r="X63" i="8"/>
  <c r="AM61" i="8"/>
  <c r="Z20" i="5"/>
  <c r="AA63" i="8"/>
  <c r="AB20" i="5"/>
  <c r="AC63" i="8"/>
  <c r="AE63" i="8"/>
  <c r="AD20" i="5"/>
  <c r="AF20" i="5"/>
  <c r="AG63" i="8"/>
  <c r="AI63" i="8"/>
  <c r="AH20" i="5"/>
  <c r="AJ20" i="5"/>
  <c r="AK63" i="8"/>
  <c r="N20" i="5"/>
  <c r="O63" i="8"/>
  <c r="P20" i="5"/>
  <c r="Q63" i="8"/>
  <c r="R20" i="5"/>
  <c r="S63" i="8"/>
  <c r="T20" i="5"/>
  <c r="U63" i="8"/>
  <c r="W63" i="8"/>
  <c r="V20" i="5"/>
  <c r="Y63" i="8"/>
  <c r="X20" i="5"/>
  <c r="AA20" i="5"/>
  <c r="AB63" i="8"/>
  <c r="AC20" i="5"/>
  <c r="AD63" i="8"/>
  <c r="AF63" i="8"/>
  <c r="AE20" i="5"/>
  <c r="AG20" i="5"/>
  <c r="AH63" i="8"/>
  <c r="AI20" i="5"/>
  <c r="AJ63" i="8"/>
  <c r="AK20" i="5"/>
  <c r="AL63" i="8"/>
  <c r="AF65" i="8" l="1"/>
  <c r="AE19" i="5" s="1"/>
  <c r="AF145" i="8"/>
  <c r="Y145" i="8"/>
  <c r="Y65" i="8"/>
  <c r="X19" i="5" s="1"/>
  <c r="W145" i="8"/>
  <c r="W65" i="8"/>
  <c r="V19" i="5" s="1"/>
  <c r="AI145" i="8"/>
  <c r="AI65" i="8"/>
  <c r="AH19" i="5" s="1"/>
  <c r="AE145" i="8"/>
  <c r="AE65" i="8"/>
  <c r="AD19" i="5" s="1"/>
  <c r="AL20" i="5"/>
  <c r="X145" i="8"/>
  <c r="X65" i="8"/>
  <c r="W19" i="5" s="1"/>
  <c r="R145" i="8"/>
  <c r="R65" i="8"/>
  <c r="Q19" i="5" s="1"/>
  <c r="P145" i="8"/>
  <c r="P65" i="8"/>
  <c r="O19" i="5" s="1"/>
  <c r="N65" i="8"/>
  <c r="N145" i="8"/>
  <c r="Z63" i="8"/>
  <c r="AL65" i="8"/>
  <c r="AK19" i="5" s="1"/>
  <c r="AL145" i="8"/>
  <c r="AJ145" i="8"/>
  <c r="AJ65" i="8"/>
  <c r="AI19" i="5" s="1"/>
  <c r="AH65" i="8"/>
  <c r="AG19" i="5" s="1"/>
  <c r="AH145" i="8"/>
  <c r="AD145" i="8"/>
  <c r="AD65" i="8"/>
  <c r="AC19" i="5" s="1"/>
  <c r="AB145" i="8"/>
  <c r="AB65" i="8"/>
  <c r="AA19" i="5" s="1"/>
  <c r="U145" i="8"/>
  <c r="U65" i="8"/>
  <c r="T19" i="5" s="1"/>
  <c r="S145" i="8"/>
  <c r="S65" i="8"/>
  <c r="R19" i="5" s="1"/>
  <c r="Q145" i="8"/>
  <c r="Q65" i="8"/>
  <c r="P19" i="5" s="1"/>
  <c r="O65" i="8"/>
  <c r="N19" i="5" s="1"/>
  <c r="O145" i="8"/>
  <c r="AK145" i="8"/>
  <c r="AK65" i="8"/>
  <c r="AJ19" i="5" s="1"/>
  <c r="AG65" i="8"/>
  <c r="AF19" i="5" s="1"/>
  <c r="AG145" i="8"/>
  <c r="AC65" i="8"/>
  <c r="AB19" i="5" s="1"/>
  <c r="AC145" i="8"/>
  <c r="AM63" i="8"/>
  <c r="AA145" i="8"/>
  <c r="AA65" i="8"/>
  <c r="V145" i="8"/>
  <c r="V65" i="8"/>
  <c r="U19" i="5" s="1"/>
  <c r="T145" i="8"/>
  <c r="T65" i="8"/>
  <c r="S19" i="5" s="1"/>
  <c r="Y20" i="5"/>
  <c r="AN145" i="8"/>
  <c r="AN65" i="8"/>
  <c r="AD146" i="8" l="1"/>
  <c r="AD516" i="8" s="1"/>
  <c r="AC11" i="5"/>
  <c r="U146" i="8"/>
  <c r="U516" i="8" s="1"/>
  <c r="T11" i="5"/>
  <c r="AG146" i="8"/>
  <c r="AG516" i="8" s="1"/>
  <c r="AF11" i="5"/>
  <c r="X146" i="8"/>
  <c r="X516" i="8" s="1"/>
  <c r="W11" i="5"/>
  <c r="P146" i="8"/>
  <c r="P516" i="8" s="1"/>
  <c r="O11" i="5"/>
  <c r="S146" i="8"/>
  <c r="S516" i="8" s="1"/>
  <c r="R11" i="5"/>
  <c r="AB146" i="8"/>
  <c r="AB516" i="8" s="1"/>
  <c r="AA11" i="5"/>
  <c r="O146" i="8"/>
  <c r="O516" i="8" s="1"/>
  <c r="N11" i="5"/>
  <c r="AE146" i="8"/>
  <c r="AE516" i="8" s="1"/>
  <c r="AD11" i="5"/>
  <c r="V146" i="8"/>
  <c r="V516" i="8" s="1"/>
  <c r="U11" i="5"/>
  <c r="N146" i="8"/>
  <c r="Z66" i="8"/>
  <c r="M11" i="5"/>
  <c r="Q146" i="8"/>
  <c r="Q516" i="8" s="1"/>
  <c r="P11" i="5"/>
  <c r="AM19" i="5"/>
  <c r="T515" i="8"/>
  <c r="Y515" i="21" s="1"/>
  <c r="V515" i="8"/>
  <c r="AA515" i="21" s="1"/>
  <c r="AA515" i="8"/>
  <c r="AF515" i="21" s="1"/>
  <c r="AM145" i="8"/>
  <c r="AC515" i="8"/>
  <c r="AH515" i="21" s="1"/>
  <c r="AG148" i="8"/>
  <c r="AG515" i="8"/>
  <c r="AL515" i="21" s="1"/>
  <c r="O515" i="8"/>
  <c r="T515" i="21" s="1"/>
  <c r="AH515" i="8"/>
  <c r="AM515" i="21" s="1"/>
  <c r="AL515" i="8"/>
  <c r="AQ515" i="21" s="1"/>
  <c r="Z65" i="8"/>
  <c r="M19" i="5"/>
  <c r="Y19" i="5" s="1"/>
  <c r="P515" i="8"/>
  <c r="U515" i="21" s="1"/>
  <c r="P148" i="8"/>
  <c r="R515" i="8"/>
  <c r="W515" i="21" s="1"/>
  <c r="X515" i="8"/>
  <c r="AC515" i="21" s="1"/>
  <c r="X148" i="8"/>
  <c r="AF515" i="8"/>
  <c r="AK515" i="21" s="1"/>
  <c r="AL146" i="8"/>
  <c r="AL516" i="8" s="1"/>
  <c r="AK11" i="5"/>
  <c r="Y146" i="8"/>
  <c r="Y516" i="8" s="1"/>
  <c r="X11" i="5"/>
  <c r="AK146" i="8"/>
  <c r="AK516" i="8" s="1"/>
  <c r="AJ11" i="5"/>
  <c r="AC146" i="8"/>
  <c r="AC516" i="8" s="1"/>
  <c r="AB11" i="5"/>
  <c r="T146" i="8"/>
  <c r="T516" i="8" s="1"/>
  <c r="S11" i="5"/>
  <c r="AJ146" i="8"/>
  <c r="AJ516" i="8" s="1"/>
  <c r="AI11" i="5"/>
  <c r="AF146" i="8"/>
  <c r="AF516" i="8" s="1"/>
  <c r="AE11" i="5"/>
  <c r="W146" i="8"/>
  <c r="W516" i="8" s="1"/>
  <c r="V11" i="5"/>
  <c r="AI146" i="8"/>
  <c r="AI516" i="8" s="1"/>
  <c r="AH11" i="5"/>
  <c r="AA146" i="8"/>
  <c r="AM66" i="8"/>
  <c r="Z11" i="5"/>
  <c r="R146" i="8"/>
  <c r="R516" i="8" s="1"/>
  <c r="Q11" i="5"/>
  <c r="AH146" i="8"/>
  <c r="AH516" i="8" s="1"/>
  <c r="AG11" i="5"/>
  <c r="AN515" i="8"/>
  <c r="AS515" i="21" s="1"/>
  <c r="AN148" i="8"/>
  <c r="Z19" i="5"/>
  <c r="AL19" i="5" s="1"/>
  <c r="AM65" i="8"/>
  <c r="AK515" i="8"/>
  <c r="AP515" i="21" s="1"/>
  <c r="AK148" i="8"/>
  <c r="Q148" i="8"/>
  <c r="Q515" i="8"/>
  <c r="V515" i="21" s="1"/>
  <c r="S515" i="8"/>
  <c r="X515" i="21" s="1"/>
  <c r="S148" i="8"/>
  <c r="U515" i="8"/>
  <c r="Z515" i="21" s="1"/>
  <c r="U148" i="8"/>
  <c r="AB515" i="8"/>
  <c r="AG515" i="21" s="1"/>
  <c r="AB148" i="8"/>
  <c r="AD148" i="8"/>
  <c r="AD515" i="8"/>
  <c r="AI515" i="21" s="1"/>
  <c r="AJ515" i="8"/>
  <c r="AO515" i="21" s="1"/>
  <c r="N515" i="8"/>
  <c r="S515" i="21" s="1"/>
  <c r="N148" i="8"/>
  <c r="Z145" i="8"/>
  <c r="AE515" i="8"/>
  <c r="AJ515" i="21" s="1"/>
  <c r="AE148" i="8"/>
  <c r="AI515" i="8"/>
  <c r="AN515" i="21" s="1"/>
  <c r="W515" i="8"/>
  <c r="AB515" i="21" s="1"/>
  <c r="Y515" i="8"/>
  <c r="AD515" i="21" s="1"/>
  <c r="Y148" i="8"/>
  <c r="W148" i="8" l="1"/>
  <c r="AI148" i="8"/>
  <c r="Z515" i="8"/>
  <c r="AJ148" i="8"/>
  <c r="AM515" i="8"/>
  <c r="O148" i="8"/>
  <c r="V148" i="8"/>
  <c r="R148" i="8"/>
  <c r="AH21" i="5"/>
  <c r="V21" i="5"/>
  <c r="AE21" i="5"/>
  <c r="AI21" i="5"/>
  <c r="S21" i="5"/>
  <c r="AB21" i="5"/>
  <c r="AJ21" i="5"/>
  <c r="X21" i="5"/>
  <c r="AK21" i="5"/>
  <c r="AF148" i="8"/>
  <c r="U21" i="5"/>
  <c r="AD21" i="5"/>
  <c r="N21" i="5"/>
  <c r="AA21" i="5"/>
  <c r="R21" i="5"/>
  <c r="O21" i="5"/>
  <c r="W21" i="5"/>
  <c r="AF21" i="5"/>
  <c r="T21" i="5"/>
  <c r="AC21" i="5"/>
  <c r="AG21" i="5"/>
  <c r="Q21" i="5"/>
  <c r="Z21" i="5"/>
  <c r="AL11" i="5"/>
  <c r="AA516" i="8"/>
  <c r="AM516" i="8" s="1"/>
  <c r="AM146" i="8"/>
  <c r="AL148" i="8"/>
  <c r="AH148" i="8"/>
  <c r="AC148" i="8"/>
  <c r="AA148" i="8"/>
  <c r="T148" i="8"/>
  <c r="P21" i="5"/>
  <c r="M21" i="5"/>
  <c r="Y11" i="5"/>
  <c r="N516" i="8"/>
  <c r="Z516" i="8" s="1"/>
  <c r="Z146" i="8"/>
  <c r="Y21" i="5" l="1"/>
  <c r="AM148" i="8"/>
  <c r="AL21" i="5"/>
  <c r="Z148" i="8"/>
  <c r="AE515" i="21"/>
  <c r="AR515" i="21"/>
  <c r="AN10" i="3" l="1"/>
  <c r="AH10" i="20" s="1"/>
  <c r="AN9" i="3"/>
  <c r="AN8" i="3"/>
  <c r="AM10" i="3"/>
  <c r="AG10" i="20" s="1"/>
  <c r="AM9" i="3"/>
  <c r="AM8" i="3"/>
  <c r="AK10" i="3"/>
  <c r="AE10" i="20" s="1"/>
  <c r="AJ10" i="3"/>
  <c r="AD10" i="20" s="1"/>
  <c r="AI10" i="3"/>
  <c r="AC10" i="20" s="1"/>
  <c r="AH10" i="3"/>
  <c r="AB10" i="20" s="1"/>
  <c r="AG10" i="3"/>
  <c r="AA10" i="20" s="1"/>
  <c r="AF10" i="3"/>
  <c r="Z10" i="20" s="1"/>
  <c r="AE10" i="3"/>
  <c r="Y10" i="20" s="1"/>
  <c r="AD10" i="3"/>
  <c r="X10" i="20" s="1"/>
  <c r="AC10" i="3"/>
  <c r="W10" i="20" s="1"/>
  <c r="AB10" i="3"/>
  <c r="V10" i="20" s="1"/>
  <c r="AA10" i="3"/>
  <c r="U10" i="20" s="1"/>
  <c r="AK9" i="3"/>
  <c r="AJ9" i="3"/>
  <c r="AI9" i="3"/>
  <c r="AH9" i="3"/>
  <c r="AG9" i="3"/>
  <c r="AF9" i="3"/>
  <c r="AE9" i="3"/>
  <c r="AD9" i="3"/>
  <c r="AC9" i="3"/>
  <c r="AB9" i="3"/>
  <c r="AA9" i="3"/>
  <c r="X10" i="3"/>
  <c r="R10" i="20" s="1"/>
  <c r="W10" i="3"/>
  <c r="Q10" i="20" s="1"/>
  <c r="V10" i="3"/>
  <c r="P10" i="20" s="1"/>
  <c r="U10" i="3"/>
  <c r="O10" i="20" s="1"/>
  <c r="T10" i="3"/>
  <c r="N10" i="20" s="1"/>
  <c r="S10" i="3"/>
  <c r="M10" i="20" s="1"/>
  <c r="R10" i="3"/>
  <c r="L10" i="20" s="1"/>
  <c r="Q10" i="3"/>
  <c r="K10" i="20" s="1"/>
  <c r="P10" i="3"/>
  <c r="J10" i="20" s="1"/>
  <c r="O10" i="3"/>
  <c r="I10" i="20" s="1"/>
  <c r="N10" i="3"/>
  <c r="H10" i="20" s="1"/>
  <c r="X9" i="3"/>
  <c r="W9" i="3"/>
  <c r="V9" i="3"/>
  <c r="U9" i="3"/>
  <c r="T9" i="3"/>
  <c r="S9" i="3"/>
  <c r="R9" i="3"/>
  <c r="Q9" i="3"/>
  <c r="P9" i="3"/>
  <c r="O9" i="3"/>
  <c r="N9" i="3"/>
  <c r="P11" i="8" l="1"/>
  <c r="O4" i="5" s="1"/>
  <c r="O9" i="5" s="1"/>
  <c r="O7" i="3"/>
  <c r="O3" i="6"/>
  <c r="T11" i="8"/>
  <c r="S4" i="5" s="1"/>
  <c r="S9" i="5" s="1"/>
  <c r="S7" i="3"/>
  <c r="S3" i="6"/>
  <c r="X11" i="8"/>
  <c r="W4" i="5" s="1"/>
  <c r="W9" i="5" s="1"/>
  <c r="W7" i="3"/>
  <c r="W3" i="6"/>
  <c r="O4" i="6"/>
  <c r="O8" i="3"/>
  <c r="S4" i="6"/>
  <c r="S8" i="3"/>
  <c r="U4" i="6"/>
  <c r="U8" i="3"/>
  <c r="W8" i="3"/>
  <c r="W4" i="6"/>
  <c r="Z8" i="8"/>
  <c r="Y9" i="3" s="1"/>
  <c r="M9" i="3"/>
  <c r="O76" i="3"/>
  <c r="O212" i="3" s="1"/>
  <c r="I9" i="20"/>
  <c r="Q76" i="3"/>
  <c r="Q212" i="3" s="1"/>
  <c r="K9" i="20"/>
  <c r="S76" i="3"/>
  <c r="S212" i="3" s="1"/>
  <c r="M9" i="20"/>
  <c r="U76" i="3"/>
  <c r="U212" i="3" s="1"/>
  <c r="O9" i="20"/>
  <c r="W76" i="3"/>
  <c r="W212" i="3" s="1"/>
  <c r="Q9" i="20"/>
  <c r="Z9" i="8"/>
  <c r="Y10" i="3" s="1"/>
  <c r="S10" i="20" s="1"/>
  <c r="M10" i="3"/>
  <c r="G10" i="20" s="1"/>
  <c r="Z7" i="3"/>
  <c r="AM6" i="8"/>
  <c r="AA11" i="8"/>
  <c r="Z4" i="5" s="1"/>
  <c r="Z9" i="5" s="1"/>
  <c r="Z3" i="6"/>
  <c r="AB3" i="6"/>
  <c r="AB7" i="3"/>
  <c r="AC11" i="8"/>
  <c r="AB4" i="5" s="1"/>
  <c r="AB9" i="5" s="1"/>
  <c r="AD3" i="6"/>
  <c r="AD7" i="3"/>
  <c r="AE11" i="8"/>
  <c r="AD4" i="5" s="1"/>
  <c r="AD9" i="5" s="1"/>
  <c r="AF3" i="6"/>
  <c r="AF7" i="3"/>
  <c r="AG11" i="8"/>
  <c r="AF4" i="5" s="1"/>
  <c r="AF9" i="5" s="1"/>
  <c r="AH3" i="6"/>
  <c r="AH7" i="3"/>
  <c r="AI11" i="8"/>
  <c r="AH4" i="5" s="1"/>
  <c r="AH9" i="5" s="1"/>
  <c r="AJ7" i="3"/>
  <c r="AK11" i="8"/>
  <c r="AJ4" i="5" s="1"/>
  <c r="AJ9" i="5" s="1"/>
  <c r="AJ3" i="6"/>
  <c r="AM7" i="8"/>
  <c r="AL8" i="3" s="1"/>
  <c r="Z4" i="6"/>
  <c r="Z8" i="3"/>
  <c r="AB8" i="3"/>
  <c r="AB4" i="6"/>
  <c r="AD8" i="3"/>
  <c r="AD4" i="6"/>
  <c r="AF8" i="3"/>
  <c r="AF4" i="6"/>
  <c r="AH8" i="3"/>
  <c r="AH4" i="6"/>
  <c r="AJ8" i="3"/>
  <c r="AJ4" i="6"/>
  <c r="AM8" i="8"/>
  <c r="Z9" i="3"/>
  <c r="AB76" i="3"/>
  <c r="AB212" i="3" s="1"/>
  <c r="V9" i="20"/>
  <c r="AD76" i="3"/>
  <c r="AD212" i="3" s="1"/>
  <c r="X9" i="20"/>
  <c r="AF76" i="3"/>
  <c r="AF212" i="3" s="1"/>
  <c r="Z9" i="20"/>
  <c r="AH76" i="3"/>
  <c r="AH212" i="3" s="1"/>
  <c r="AB9" i="20"/>
  <c r="AJ76" i="3"/>
  <c r="AJ212" i="3" s="1"/>
  <c r="AD9" i="20"/>
  <c r="AM9" i="8"/>
  <c r="AL10" i="3" s="1"/>
  <c r="AF10" i="20" s="1"/>
  <c r="Z10" i="3"/>
  <c r="T10" i="20" s="1"/>
  <c r="AM7" i="3"/>
  <c r="AN11" i="8"/>
  <c r="AM4" i="5" s="1"/>
  <c r="AM9" i="5" s="1"/>
  <c r="AG8" i="20"/>
  <c r="AM53" i="3"/>
  <c r="AM4" i="6"/>
  <c r="AM49" i="3"/>
  <c r="AM188" i="3" s="1"/>
  <c r="AG40" i="20" s="1"/>
  <c r="AN29" i="18" s="1"/>
  <c r="AM76" i="3"/>
  <c r="AM212" i="3" s="1"/>
  <c r="AG9" i="20"/>
  <c r="AM135" i="3"/>
  <c r="AO11" i="8"/>
  <c r="AN4" i="5" s="1"/>
  <c r="AN9" i="5" s="1"/>
  <c r="AN7" i="3"/>
  <c r="AH8" i="20"/>
  <c r="AN49" i="3"/>
  <c r="AN188" i="3" s="1"/>
  <c r="AH40" i="20" s="1"/>
  <c r="AO29" i="18" s="1"/>
  <c r="AN4" i="6"/>
  <c r="AN53" i="3"/>
  <c r="AH9" i="20"/>
  <c r="AN135" i="3"/>
  <c r="AN76" i="3"/>
  <c r="AN212" i="3" s="1"/>
  <c r="Z6" i="8"/>
  <c r="M7" i="3"/>
  <c r="M3" i="6"/>
  <c r="N11" i="8"/>
  <c r="M4" i="5" s="1"/>
  <c r="M9" i="5" s="1"/>
  <c r="Q7" i="3"/>
  <c r="Q3" i="6"/>
  <c r="R11" i="8"/>
  <c r="Q4" i="5" s="1"/>
  <c r="Q9" i="5" s="1"/>
  <c r="U7" i="3"/>
  <c r="U3" i="6"/>
  <c r="U5" i="6" s="1"/>
  <c r="V11" i="8"/>
  <c r="U4" i="5" s="1"/>
  <c r="U9" i="5" s="1"/>
  <c r="Z7" i="8"/>
  <c r="Y8" i="3" s="1"/>
  <c r="M8" i="3"/>
  <c r="M4" i="6"/>
  <c r="Q4" i="6"/>
  <c r="Q8" i="3"/>
  <c r="N7" i="3"/>
  <c r="N3" i="6"/>
  <c r="O11" i="8"/>
  <c r="N4" i="5" s="1"/>
  <c r="N9" i="5" s="1"/>
  <c r="Q11" i="8"/>
  <c r="P4" i="5" s="1"/>
  <c r="P9" i="5" s="1"/>
  <c r="P3" i="6"/>
  <c r="P7" i="3"/>
  <c r="R3" i="6"/>
  <c r="R7" i="3"/>
  <c r="S11" i="8"/>
  <c r="R4" i="5" s="1"/>
  <c r="R9" i="5" s="1"/>
  <c r="U11" i="8"/>
  <c r="T4" i="5" s="1"/>
  <c r="T9" i="5" s="1"/>
  <c r="T3" i="6"/>
  <c r="T7" i="3"/>
  <c r="V7" i="3"/>
  <c r="V33" i="3" s="1"/>
  <c r="V3" i="6"/>
  <c r="W11" i="8"/>
  <c r="V4" i="5" s="1"/>
  <c r="V9" i="5" s="1"/>
  <c r="Y11" i="8"/>
  <c r="X4" i="5" s="1"/>
  <c r="X9" i="5" s="1"/>
  <c r="X7" i="3"/>
  <c r="X3" i="6"/>
  <c r="X5" i="6" s="1"/>
  <c r="N4" i="6"/>
  <c r="N8" i="3"/>
  <c r="P8" i="3"/>
  <c r="P4" i="6"/>
  <c r="R8" i="3"/>
  <c r="R4" i="6"/>
  <c r="T8" i="3"/>
  <c r="T4" i="6"/>
  <c r="V4" i="6"/>
  <c r="V8" i="3"/>
  <c r="X4" i="6"/>
  <c r="X8" i="3"/>
  <c r="H9" i="20"/>
  <c r="N76" i="3"/>
  <c r="N212" i="3" s="1"/>
  <c r="P76" i="3"/>
  <c r="P212" i="3" s="1"/>
  <c r="J9" i="20"/>
  <c r="R76" i="3"/>
  <c r="R212" i="3" s="1"/>
  <c r="L9" i="20"/>
  <c r="T76" i="3"/>
  <c r="T212" i="3" s="1"/>
  <c r="N9" i="20"/>
  <c r="V76" i="3"/>
  <c r="V212" i="3" s="1"/>
  <c r="P9" i="20"/>
  <c r="X76" i="3"/>
  <c r="X212" i="3" s="1"/>
  <c r="R9" i="20"/>
  <c r="AB11" i="8"/>
  <c r="AA4" i="5" s="1"/>
  <c r="AA9" i="5" s="1"/>
  <c r="AA3" i="6"/>
  <c r="AA7" i="3"/>
  <c r="AC7" i="3"/>
  <c r="AD11" i="8"/>
  <c r="AC4" i="5" s="1"/>
  <c r="AC9" i="5" s="1"/>
  <c r="AC3" i="6"/>
  <c r="AF11" i="8"/>
  <c r="AE4" i="5" s="1"/>
  <c r="AE9" i="5" s="1"/>
  <c r="AE3" i="6"/>
  <c r="AE7" i="3"/>
  <c r="AG7" i="3"/>
  <c r="AH11" i="8"/>
  <c r="AG4" i="5" s="1"/>
  <c r="AG9" i="5" s="1"/>
  <c r="AG3" i="6"/>
  <c r="AI3" i="6"/>
  <c r="AI7" i="3"/>
  <c r="AJ11" i="8"/>
  <c r="AI4" i="5" s="1"/>
  <c r="AI9" i="5" s="1"/>
  <c r="AL11" i="8"/>
  <c r="AK4" i="5" s="1"/>
  <c r="AK9" i="5" s="1"/>
  <c r="AK3" i="6"/>
  <c r="AK7" i="3"/>
  <c r="AA4" i="6"/>
  <c r="AA8" i="3"/>
  <c r="AC4" i="6"/>
  <c r="AC8" i="3"/>
  <c r="AE4" i="6"/>
  <c r="AE8" i="3"/>
  <c r="AG4" i="6"/>
  <c r="AG8" i="3"/>
  <c r="AI4" i="6"/>
  <c r="AI8" i="3"/>
  <c r="AK4" i="6"/>
  <c r="AK8" i="3"/>
  <c r="AA76" i="3"/>
  <c r="AA212" i="3" s="1"/>
  <c r="U9" i="20"/>
  <c r="W9" i="20"/>
  <c r="AC76" i="3"/>
  <c r="AC212" i="3" s="1"/>
  <c r="Y9" i="20"/>
  <c r="AE76" i="3"/>
  <c r="AE212" i="3" s="1"/>
  <c r="AG76" i="3"/>
  <c r="AG212" i="3" s="1"/>
  <c r="AA9" i="20"/>
  <c r="AI76" i="3"/>
  <c r="AI212" i="3" s="1"/>
  <c r="AC9" i="20"/>
  <c r="AK76" i="3"/>
  <c r="AK212" i="3" s="1"/>
  <c r="AE9" i="20"/>
  <c r="AJ5" i="6" l="1"/>
  <c r="V5" i="6"/>
  <c r="AG5" i="6"/>
  <c r="AE5" i="6"/>
  <c r="AC5" i="6"/>
  <c r="AA5" i="6"/>
  <c r="N5" i="6"/>
  <c r="N20" i="6" s="1"/>
  <c r="N26" i="6" s="1"/>
  <c r="AK53" i="3"/>
  <c r="AK49" i="3"/>
  <c r="AK188" i="3" s="1"/>
  <c r="AE40" i="20" s="1"/>
  <c r="AL29" i="18" s="1"/>
  <c r="AE8" i="20"/>
  <c r="AL7" i="18" s="1"/>
  <c r="AC8" i="20"/>
  <c r="AJ7" i="18" s="1"/>
  <c r="AI49" i="3"/>
  <c r="AI188" i="3" s="1"/>
  <c r="AC40" i="20" s="1"/>
  <c r="AJ29" i="18" s="1"/>
  <c r="AI53" i="3"/>
  <c r="AA8" i="20"/>
  <c r="AH7" i="18" s="1"/>
  <c r="AG49" i="3"/>
  <c r="AG188" i="3" s="1"/>
  <c r="AA40" i="20" s="1"/>
  <c r="AH29" i="18" s="1"/>
  <c r="AG53" i="3"/>
  <c r="Y8" i="20"/>
  <c r="AF7" i="18" s="1"/>
  <c r="AE49" i="3"/>
  <c r="AE188" i="3" s="1"/>
  <c r="Y40" i="20" s="1"/>
  <c r="AF29" i="18" s="1"/>
  <c r="AE53" i="3"/>
  <c r="AC53" i="3"/>
  <c r="W8" i="20"/>
  <c r="AD7" i="18" s="1"/>
  <c r="AC49" i="3"/>
  <c r="AC188" i="3" s="1"/>
  <c r="W40" i="20" s="1"/>
  <c r="AD29" i="18" s="1"/>
  <c r="U8" i="20"/>
  <c r="AB7" i="18" s="1"/>
  <c r="AA49" i="3"/>
  <c r="AA188" i="3" s="1"/>
  <c r="U40" i="20" s="1"/>
  <c r="AB29" i="18" s="1"/>
  <c r="AA53" i="3"/>
  <c r="AE7" i="20"/>
  <c r="AK33" i="3"/>
  <c r="AK30" i="3"/>
  <c r="AK169" i="3" s="1"/>
  <c r="AE23" i="20" s="1"/>
  <c r="AL12" i="18" s="1"/>
  <c r="AK12" i="3"/>
  <c r="AE12" i="20" s="1"/>
  <c r="AK5" i="5"/>
  <c r="AK22" i="5" s="1"/>
  <c r="AK24" i="5" s="1"/>
  <c r="AK13" i="5"/>
  <c r="AI12" i="3"/>
  <c r="AC12" i="20" s="1"/>
  <c r="AI30" i="3"/>
  <c r="AI169" i="3" s="1"/>
  <c r="AC23" i="20" s="1"/>
  <c r="AJ12" i="18" s="1"/>
  <c r="AC7" i="20"/>
  <c r="AI33" i="3"/>
  <c r="AG12" i="3"/>
  <c r="AA12" i="20" s="1"/>
  <c r="AG33" i="3"/>
  <c r="AA7" i="20"/>
  <c r="AG30" i="3"/>
  <c r="AG169" i="3" s="1"/>
  <c r="AA23" i="20" s="1"/>
  <c r="AH12" i="18" s="1"/>
  <c r="AC30" i="3"/>
  <c r="AC169" i="3" s="1"/>
  <c r="W23" i="20" s="1"/>
  <c r="AD12" i="18" s="1"/>
  <c r="AC12" i="3"/>
  <c r="W12" i="20" s="1"/>
  <c r="W7" i="20"/>
  <c r="AC33" i="3"/>
  <c r="R8" i="20"/>
  <c r="Y7" i="18" s="1"/>
  <c r="X53" i="3"/>
  <c r="X49" i="3"/>
  <c r="X188" i="3" s="1"/>
  <c r="R40" i="20" s="1"/>
  <c r="Y29" i="18" s="1"/>
  <c r="V49" i="3"/>
  <c r="V188" i="3" s="1"/>
  <c r="P40" i="20" s="1"/>
  <c r="W29" i="18" s="1"/>
  <c r="P8" i="20"/>
  <c r="W7" i="18" s="1"/>
  <c r="V53" i="3"/>
  <c r="N53" i="3"/>
  <c r="H8" i="20"/>
  <c r="O7" i="18" s="1"/>
  <c r="N49" i="3"/>
  <c r="N188" i="3" s="1"/>
  <c r="H40" i="20" s="1"/>
  <c r="O29" i="18" s="1"/>
  <c r="X5" i="5"/>
  <c r="X22" i="5" s="1"/>
  <c r="X24" i="5" s="1"/>
  <c r="X13" i="5"/>
  <c r="T30" i="3"/>
  <c r="T169" i="3" s="1"/>
  <c r="N23" i="20" s="1"/>
  <c r="U12" i="18" s="1"/>
  <c r="T12" i="3"/>
  <c r="N12" i="20" s="1"/>
  <c r="N7" i="20"/>
  <c r="T33" i="3"/>
  <c r="T5" i="5"/>
  <c r="T22" i="5" s="1"/>
  <c r="T24" i="5" s="1"/>
  <c r="T13" i="5"/>
  <c r="R12" i="3"/>
  <c r="L12" i="20" s="1"/>
  <c r="R30" i="3"/>
  <c r="R169" i="3" s="1"/>
  <c r="L23" i="20" s="1"/>
  <c r="S12" i="18" s="1"/>
  <c r="L7" i="20"/>
  <c r="R33" i="3"/>
  <c r="P12" i="3"/>
  <c r="J12" i="20" s="1"/>
  <c r="P30" i="3"/>
  <c r="P169" i="3" s="1"/>
  <c r="J23" i="20" s="1"/>
  <c r="Q12" i="18" s="1"/>
  <c r="J7" i="20"/>
  <c r="P33" i="3"/>
  <c r="P5" i="5"/>
  <c r="P22" i="5" s="1"/>
  <c r="P24" i="5" s="1"/>
  <c r="P13" i="5"/>
  <c r="N19" i="6"/>
  <c r="Q49" i="3"/>
  <c r="Q188" i="3" s="1"/>
  <c r="K40" i="20" s="1"/>
  <c r="R29" i="18" s="1"/>
  <c r="Q53" i="3"/>
  <c r="K8" i="20"/>
  <c r="R7" i="18" s="1"/>
  <c r="Y4" i="6"/>
  <c r="Y49" i="3"/>
  <c r="Y188" i="3" s="1"/>
  <c r="S40" i="20" s="1"/>
  <c r="S8" i="20"/>
  <c r="Q5" i="5"/>
  <c r="Q22" i="5" s="1"/>
  <c r="Q24" i="5" s="1"/>
  <c r="Q13" i="5"/>
  <c r="Q12" i="3"/>
  <c r="K12" i="20" s="1"/>
  <c r="Q30" i="3"/>
  <c r="Q169" i="3" s="1"/>
  <c r="K23" i="20" s="1"/>
  <c r="R12" i="18" s="1"/>
  <c r="K7" i="20"/>
  <c r="Q33" i="3"/>
  <c r="M5" i="6"/>
  <c r="Y3" i="6"/>
  <c r="Y7" i="3"/>
  <c r="Z11" i="8"/>
  <c r="AN192" i="3"/>
  <c r="AN129" i="3"/>
  <c r="AN30" i="3"/>
  <c r="AN169" i="3" s="1"/>
  <c r="AH23" i="20" s="1"/>
  <c r="AO12" i="18" s="1"/>
  <c r="AN3" i="6"/>
  <c r="AN5" i="6" s="1"/>
  <c r="AH7" i="20"/>
  <c r="AN12" i="3"/>
  <c r="AN33" i="3"/>
  <c r="I153" i="27"/>
  <c r="AN7" i="18"/>
  <c r="AM3" i="6"/>
  <c r="AM5" i="6" s="1"/>
  <c r="AM12" i="3"/>
  <c r="AG7" i="20"/>
  <c r="AM30" i="3"/>
  <c r="AM169" i="3" s="1"/>
  <c r="AG23" i="20" s="1"/>
  <c r="AN12" i="18" s="1"/>
  <c r="AM33" i="3"/>
  <c r="AL53" i="5"/>
  <c r="AL9" i="3"/>
  <c r="AD8" i="20"/>
  <c r="AK7" i="18" s="1"/>
  <c r="AJ49" i="3"/>
  <c r="AJ188" i="3" s="1"/>
  <c r="AD40" i="20" s="1"/>
  <c r="AK29" i="18" s="1"/>
  <c r="AJ53" i="3"/>
  <c r="AH49" i="3"/>
  <c r="AH188" i="3" s="1"/>
  <c r="AB40" i="20" s="1"/>
  <c r="AI29" i="18" s="1"/>
  <c r="AH53" i="3"/>
  <c r="AB8" i="20"/>
  <c r="AI7" i="18" s="1"/>
  <c r="Z8" i="20"/>
  <c r="AG7" i="18" s="1"/>
  <c r="AF49" i="3"/>
  <c r="AF188" i="3" s="1"/>
  <c r="Z40" i="20" s="1"/>
  <c r="AG29" i="18" s="1"/>
  <c r="AF53" i="3"/>
  <c r="AD49" i="3"/>
  <c r="AD188" i="3" s="1"/>
  <c r="X40" i="20" s="1"/>
  <c r="AE29" i="18" s="1"/>
  <c r="AD53" i="3"/>
  <c r="X8" i="20"/>
  <c r="AE7" i="18" s="1"/>
  <c r="V8" i="20"/>
  <c r="AC7" i="18" s="1"/>
  <c r="AB49" i="3"/>
  <c r="AB188" i="3" s="1"/>
  <c r="V40" i="20" s="1"/>
  <c r="AC29" i="18" s="1"/>
  <c r="AB53" i="3"/>
  <c r="AL4" i="6"/>
  <c r="AJ12" i="3"/>
  <c r="AD12" i="20" s="1"/>
  <c r="AD7" i="20"/>
  <c r="AJ30" i="3"/>
  <c r="AJ169" i="3" s="1"/>
  <c r="AD23" i="20" s="1"/>
  <c r="AK12" i="18" s="1"/>
  <c r="AJ33" i="3"/>
  <c r="AH30" i="3"/>
  <c r="AH169" i="3" s="1"/>
  <c r="AB23" i="20" s="1"/>
  <c r="AI12" i="18" s="1"/>
  <c r="AH12" i="3"/>
  <c r="AB12" i="20" s="1"/>
  <c r="AB7" i="20"/>
  <c r="AH33" i="3"/>
  <c r="AF5" i="5"/>
  <c r="AF22" i="5" s="1"/>
  <c r="AF24" i="5" s="1"/>
  <c r="AF13" i="5"/>
  <c r="AF5" i="6"/>
  <c r="AD12" i="3"/>
  <c r="X12" i="20" s="1"/>
  <c r="X7" i="20"/>
  <c r="AD30" i="3"/>
  <c r="AD169" i="3" s="1"/>
  <c r="X23" i="20" s="1"/>
  <c r="AE12" i="18" s="1"/>
  <c r="AD33" i="3"/>
  <c r="AB5" i="5"/>
  <c r="AB22" i="5" s="1"/>
  <c r="AB24" i="5" s="1"/>
  <c r="AB13" i="5"/>
  <c r="AB5" i="6"/>
  <c r="Z5" i="5"/>
  <c r="AL4" i="5"/>
  <c r="Z13" i="5"/>
  <c r="T7" i="20"/>
  <c r="Z12" i="3"/>
  <c r="T12" i="20" s="1"/>
  <c r="Z30" i="3"/>
  <c r="Z169" i="3" s="1"/>
  <c r="T23" i="20" s="1"/>
  <c r="AA12" i="18" s="1"/>
  <c r="Z33" i="3"/>
  <c r="Y135" i="3"/>
  <c r="S9" i="20"/>
  <c r="G154" i="27" s="1"/>
  <c r="W49" i="3"/>
  <c r="W188" i="3" s="1"/>
  <c r="Q40" i="20" s="1"/>
  <c r="X29" i="18" s="1"/>
  <c r="Q8" i="20"/>
  <c r="X7" i="18" s="1"/>
  <c r="W53" i="3"/>
  <c r="W30" i="3"/>
  <c r="W169" i="3" s="1"/>
  <c r="Q23" i="20" s="1"/>
  <c r="X12" i="18" s="1"/>
  <c r="W12" i="3"/>
  <c r="Q12" i="20" s="1"/>
  <c r="Q7" i="20"/>
  <c r="W33" i="3"/>
  <c r="S5" i="6"/>
  <c r="S20" i="6" s="1"/>
  <c r="S5" i="5"/>
  <c r="S22" i="5" s="1"/>
  <c r="S24" i="5" s="1"/>
  <c r="S13" i="5"/>
  <c r="I7" i="20"/>
  <c r="O33" i="3"/>
  <c r="O12" i="3"/>
  <c r="I12" i="20" s="1"/>
  <c r="O30" i="3"/>
  <c r="O169" i="3" s="1"/>
  <c r="I23" i="20" s="1"/>
  <c r="P12" i="18" s="1"/>
  <c r="AK5" i="6"/>
  <c r="AI5" i="5"/>
  <c r="AI22" i="5" s="1"/>
  <c r="AI24" i="5" s="1"/>
  <c r="AI13" i="5"/>
  <c r="AI5" i="6"/>
  <c r="AG5" i="5"/>
  <c r="AG22" i="5" s="1"/>
  <c r="AG24" i="5" s="1"/>
  <c r="AG13" i="5"/>
  <c r="AE12" i="3"/>
  <c r="Y12" i="20" s="1"/>
  <c r="AE33" i="3"/>
  <c r="AE30" i="3"/>
  <c r="AE169" i="3" s="1"/>
  <c r="Y23" i="20" s="1"/>
  <c r="AF12" i="18" s="1"/>
  <c r="Y7" i="20"/>
  <c r="AE5" i="5"/>
  <c r="AE22" i="5" s="1"/>
  <c r="AE24" i="5" s="1"/>
  <c r="AE13" i="5"/>
  <c r="AC5" i="5"/>
  <c r="AC22" i="5" s="1"/>
  <c r="AC24" i="5" s="1"/>
  <c r="AC13" i="5"/>
  <c r="AA12" i="3"/>
  <c r="U12" i="20" s="1"/>
  <c r="AA30" i="3"/>
  <c r="AA169" i="3" s="1"/>
  <c r="U23" i="20" s="1"/>
  <c r="AB12" i="18" s="1"/>
  <c r="U7" i="20"/>
  <c r="AA33" i="3"/>
  <c r="AA5" i="5"/>
  <c r="AA22" i="5" s="1"/>
  <c r="AA24" i="5" s="1"/>
  <c r="AA13" i="5"/>
  <c r="N8" i="20"/>
  <c r="U7" i="18" s="1"/>
  <c r="T49" i="3"/>
  <c r="T188" i="3" s="1"/>
  <c r="N40" i="20" s="1"/>
  <c r="U29" i="18" s="1"/>
  <c r="T53" i="3"/>
  <c r="R49" i="3"/>
  <c r="R188" i="3" s="1"/>
  <c r="L40" i="20" s="1"/>
  <c r="S29" i="18" s="1"/>
  <c r="R53" i="3"/>
  <c r="L8" i="20"/>
  <c r="S7" i="18" s="1"/>
  <c r="P49" i="3"/>
  <c r="P188" i="3" s="1"/>
  <c r="J40" i="20" s="1"/>
  <c r="Q29" i="18" s="1"/>
  <c r="P53" i="3"/>
  <c r="J8" i="20"/>
  <c r="Q7" i="18" s="1"/>
  <c r="R7" i="20"/>
  <c r="X30" i="3"/>
  <c r="X169" i="3" s="1"/>
  <c r="R23" i="20" s="1"/>
  <c r="Y12" i="18" s="1"/>
  <c r="X12" i="3"/>
  <c r="R12" i="20" s="1"/>
  <c r="X33" i="3"/>
  <c r="V5" i="5"/>
  <c r="V22" i="5" s="1"/>
  <c r="V24" i="5" s="1"/>
  <c r="V13" i="5"/>
  <c r="V12" i="3"/>
  <c r="P12" i="20" s="1"/>
  <c r="P7" i="20"/>
  <c r="V30" i="3"/>
  <c r="V169" i="3" s="1"/>
  <c r="P23" i="20" s="1"/>
  <c r="W12" i="18" s="1"/>
  <c r="T5" i="6"/>
  <c r="T20" i="6" s="1"/>
  <c r="R5" i="5"/>
  <c r="R22" i="5" s="1"/>
  <c r="R24" i="5" s="1"/>
  <c r="R13" i="5"/>
  <c r="R5" i="6"/>
  <c r="R20" i="6" s="1"/>
  <c r="P5" i="6"/>
  <c r="P20" i="6" s="1"/>
  <c r="N5" i="5"/>
  <c r="N22" i="5" s="1"/>
  <c r="N24" i="5" s="1"/>
  <c r="N13" i="5"/>
  <c r="H7" i="20"/>
  <c r="N33" i="3"/>
  <c r="N12" i="3"/>
  <c r="H12" i="20" s="1"/>
  <c r="N30" i="3"/>
  <c r="N169" i="3" s="1"/>
  <c r="H23" i="20" s="1"/>
  <c r="O12" i="18" s="1"/>
  <c r="G8" i="20"/>
  <c r="Y52" i="3"/>
  <c r="Y51" i="3"/>
  <c r="Y64" i="3"/>
  <c r="M49" i="3"/>
  <c r="M188" i="3" s="1"/>
  <c r="G40" i="20" s="1"/>
  <c r="N29" i="18" s="1"/>
  <c r="Y50" i="3"/>
  <c r="Y58" i="3"/>
  <c r="Y56" i="3"/>
  <c r="M53" i="3"/>
  <c r="Y55" i="3"/>
  <c r="Y54" i="3"/>
  <c r="U5" i="5"/>
  <c r="U22" i="5" s="1"/>
  <c r="U24" i="5" s="1"/>
  <c r="U13" i="5"/>
  <c r="U30" i="3"/>
  <c r="U169" i="3" s="1"/>
  <c r="O23" i="20" s="1"/>
  <c r="V12" i="18" s="1"/>
  <c r="U12" i="3"/>
  <c r="O12" i="20" s="1"/>
  <c r="O7" i="20"/>
  <c r="U33" i="3"/>
  <c r="Q5" i="6"/>
  <c r="Q20" i="6" s="1"/>
  <c r="Y4" i="5"/>
  <c r="M5" i="5"/>
  <c r="M13" i="5"/>
  <c r="M33" i="3"/>
  <c r="G7" i="20"/>
  <c r="M12" i="3"/>
  <c r="G12" i="20" s="1"/>
  <c r="M30" i="3"/>
  <c r="M169" i="3" s="1"/>
  <c r="G23" i="20" s="1"/>
  <c r="N12" i="18" s="1"/>
  <c r="Y32" i="3"/>
  <c r="Y31" i="3"/>
  <c r="Y45" i="3"/>
  <c r="Y38" i="3"/>
  <c r="J154" i="27"/>
  <c r="J153" i="27"/>
  <c r="AO7" i="18"/>
  <c r="AN5" i="5"/>
  <c r="I154" i="27"/>
  <c r="AM192" i="3"/>
  <c r="AM129" i="3"/>
  <c r="AM5" i="5"/>
  <c r="T9" i="20"/>
  <c r="Z76" i="3"/>
  <c r="AL71" i="3"/>
  <c r="AL51" i="3"/>
  <c r="AL56" i="3"/>
  <c r="Z53" i="3"/>
  <c r="AL55" i="3"/>
  <c r="Z49" i="3"/>
  <c r="Z188" i="3" s="1"/>
  <c r="T40" i="20" s="1"/>
  <c r="AA29" i="18" s="1"/>
  <c r="AL64" i="3"/>
  <c r="T8" i="20"/>
  <c r="AL58" i="3"/>
  <c r="AL54" i="3"/>
  <c r="AL50" i="3"/>
  <c r="AL52" i="3"/>
  <c r="AL49" i="3"/>
  <c r="AL188" i="3" s="1"/>
  <c r="AF40" i="20" s="1"/>
  <c r="AF8" i="20"/>
  <c r="AJ5" i="5"/>
  <c r="AJ22" i="5" s="1"/>
  <c r="AJ24" i="5" s="1"/>
  <c r="AJ13" i="5"/>
  <c r="AH5" i="5"/>
  <c r="AH22" i="5" s="1"/>
  <c r="AH24" i="5" s="1"/>
  <c r="AH13" i="5"/>
  <c r="AH5" i="6"/>
  <c r="AF12" i="3"/>
  <c r="Z12" i="20" s="1"/>
  <c r="AF33" i="3"/>
  <c r="AF30" i="3"/>
  <c r="AF169" i="3" s="1"/>
  <c r="Z23" i="20" s="1"/>
  <c r="AG12" i="18" s="1"/>
  <c r="Z7" i="20"/>
  <c r="AD5" i="5"/>
  <c r="AD22" i="5" s="1"/>
  <c r="AD24" i="5" s="1"/>
  <c r="AD13" i="5"/>
  <c r="AD5" i="6"/>
  <c r="V7" i="20"/>
  <c r="AB33" i="3"/>
  <c r="AB12" i="3"/>
  <c r="V12" i="20" s="1"/>
  <c r="AB30" i="3"/>
  <c r="AB169" i="3" s="1"/>
  <c r="V23" i="20" s="1"/>
  <c r="AC12" i="18" s="1"/>
  <c r="Z5" i="6"/>
  <c r="AL3" i="6"/>
  <c r="AM11" i="8"/>
  <c r="AL7" i="3"/>
  <c r="AL32" i="3" s="1"/>
  <c r="M76" i="3"/>
  <c r="G9" i="20"/>
  <c r="U49" i="3"/>
  <c r="U188" i="3" s="1"/>
  <c r="O40" i="20" s="1"/>
  <c r="V29" i="18" s="1"/>
  <c r="U53" i="3"/>
  <c r="O8" i="20"/>
  <c r="V7" i="18" s="1"/>
  <c r="M8" i="20"/>
  <c r="T7" i="18" s="1"/>
  <c r="S49" i="3"/>
  <c r="S188" i="3" s="1"/>
  <c r="M40" i="20" s="1"/>
  <c r="T29" i="18" s="1"/>
  <c r="S53" i="3"/>
  <c r="O53" i="3"/>
  <c r="I8" i="20"/>
  <c r="P7" i="18" s="1"/>
  <c r="O49" i="3"/>
  <c r="O188" i="3" s="1"/>
  <c r="I40" i="20" s="1"/>
  <c r="P29" i="18" s="1"/>
  <c r="W5" i="6"/>
  <c r="W5" i="5"/>
  <c r="W22" i="5" s="1"/>
  <c r="W24" i="5" s="1"/>
  <c r="W13" i="5"/>
  <c r="S12" i="3"/>
  <c r="M12" i="20" s="1"/>
  <c r="S30" i="3"/>
  <c r="S169" i="3" s="1"/>
  <c r="M23" i="20" s="1"/>
  <c r="T12" i="18" s="1"/>
  <c r="M7" i="20"/>
  <c r="S33" i="3"/>
  <c r="O5" i="6"/>
  <c r="O20" i="6" s="1"/>
  <c r="O5" i="5"/>
  <c r="O22" i="5" s="1"/>
  <c r="O24" i="5" s="1"/>
  <c r="O13" i="5"/>
  <c r="O7" i="6" l="1"/>
  <c r="O47" i="5"/>
  <c r="I74" i="20" s="1"/>
  <c r="O19" i="6"/>
  <c r="O26" i="6"/>
  <c r="M340" i="20"/>
  <c r="T6" i="18"/>
  <c r="W47" i="5"/>
  <c r="Q74" i="20" s="1"/>
  <c r="W7" i="6"/>
  <c r="S192" i="3"/>
  <c r="U192" i="3"/>
  <c r="AL5" i="6"/>
  <c r="V340" i="20"/>
  <c r="AC6" i="18"/>
  <c r="AD56" i="5"/>
  <c r="AD57" i="5" s="1"/>
  <c r="AD53" i="5" s="1"/>
  <c r="AD14" i="5"/>
  <c r="AH14" i="5"/>
  <c r="AH56" i="5"/>
  <c r="AH57" i="5" s="1"/>
  <c r="AH53" i="5" s="1"/>
  <c r="AH7" i="6"/>
  <c r="AH47" i="5"/>
  <c r="AB74" i="20" s="1"/>
  <c r="AJ47" i="5"/>
  <c r="AD74" i="20" s="1"/>
  <c r="AJ7" i="6"/>
  <c r="H153" i="27"/>
  <c r="AM7" i="18"/>
  <c r="AF42" i="20"/>
  <c r="AA7" i="18"/>
  <c r="AF41" i="20"/>
  <c r="AF43" i="20"/>
  <c r="AL53" i="3"/>
  <c r="AL129" i="3" s="1"/>
  <c r="Z192" i="3"/>
  <c r="Z212" i="3"/>
  <c r="AL76" i="3"/>
  <c r="AM74" i="3"/>
  <c r="N6" i="18"/>
  <c r="G340" i="20"/>
  <c r="Y13" i="5"/>
  <c r="Y56" i="5" s="1"/>
  <c r="Y57" i="5" s="1"/>
  <c r="Y53" i="5" s="1"/>
  <c r="M14" i="5"/>
  <c r="M56" i="5"/>
  <c r="M57" i="5" s="1"/>
  <c r="M53" i="5" s="1"/>
  <c r="Q19" i="6"/>
  <c r="Q26" i="6"/>
  <c r="V6" i="18"/>
  <c r="O340" i="20"/>
  <c r="Y53" i="3"/>
  <c r="Y129" i="3" s="1"/>
  <c r="M192" i="3"/>
  <c r="N7" i="18"/>
  <c r="S43" i="20"/>
  <c r="S41" i="20"/>
  <c r="S42" i="20"/>
  <c r="O6" i="18"/>
  <c r="H340" i="20"/>
  <c r="P26" i="6"/>
  <c r="P19" i="6"/>
  <c r="R14" i="5"/>
  <c r="R56" i="5"/>
  <c r="R57" i="5" s="1"/>
  <c r="R53" i="5" s="1"/>
  <c r="V68" i="3"/>
  <c r="V109" i="3" s="1"/>
  <c r="V239" i="3" s="1"/>
  <c r="V172" i="3"/>
  <c r="V56" i="5"/>
  <c r="V57" i="5" s="1"/>
  <c r="V53" i="5" s="1"/>
  <c r="V14" i="5"/>
  <c r="V47" i="5"/>
  <c r="P74" i="20" s="1"/>
  <c r="V7" i="6"/>
  <c r="R340" i="20"/>
  <c r="Y6" i="18"/>
  <c r="P192" i="3"/>
  <c r="AA14" i="5"/>
  <c r="AA56" i="5"/>
  <c r="AA57" i="5" s="1"/>
  <c r="AA53" i="5" s="1"/>
  <c r="AA7" i="6"/>
  <c r="AA47" i="5"/>
  <c r="U74" i="20" s="1"/>
  <c r="U340" i="20"/>
  <c r="AB6" i="18"/>
  <c r="AC7" i="6"/>
  <c r="AC47" i="5"/>
  <c r="W74" i="20" s="1"/>
  <c r="AE14" i="5"/>
  <c r="AE56" i="5"/>
  <c r="AE57" i="5" s="1"/>
  <c r="AE53" i="5" s="1"/>
  <c r="AG7" i="6"/>
  <c r="AG47" i="5"/>
  <c r="AA74" i="20" s="1"/>
  <c r="AI47" i="5"/>
  <c r="AC74" i="20" s="1"/>
  <c r="AI7" i="6"/>
  <c r="I340" i="20"/>
  <c r="P6" i="18"/>
  <c r="S26" i="6"/>
  <c r="S19" i="6"/>
  <c r="X6" i="18"/>
  <c r="Q340" i="20"/>
  <c r="AL33" i="3"/>
  <c r="Z68" i="3"/>
  <c r="Z109" i="3" s="1"/>
  <c r="Z172" i="3"/>
  <c r="T340" i="20"/>
  <c r="AA6" i="18"/>
  <c r="AB56" i="5"/>
  <c r="AB57" i="5" s="1"/>
  <c r="AB53" i="5" s="1"/>
  <c r="AB14" i="5"/>
  <c r="AF56" i="5"/>
  <c r="AF57" i="5" s="1"/>
  <c r="AF53" i="5" s="1"/>
  <c r="AF14" i="5"/>
  <c r="AI6" i="18"/>
  <c r="AB340" i="20"/>
  <c r="AB192" i="3"/>
  <c r="AD192" i="3"/>
  <c r="AF192" i="3"/>
  <c r="AH192" i="3"/>
  <c r="AJ192" i="3"/>
  <c r="AM126" i="3"/>
  <c r="AG12" i="20"/>
  <c r="AN128" i="3"/>
  <c r="AN172" i="3"/>
  <c r="AN68" i="3"/>
  <c r="AN109" i="3" s="1"/>
  <c r="AN239" i="3" s="1"/>
  <c r="AH340" i="20"/>
  <c r="F22" i="32"/>
  <c r="AO6" i="18"/>
  <c r="J152" i="27"/>
  <c r="AH44" i="20"/>
  <c r="AO32" i="18" s="1"/>
  <c r="Q68" i="3"/>
  <c r="Q109" i="3" s="1"/>
  <c r="Q239" i="3" s="1"/>
  <c r="Q172" i="3"/>
  <c r="Q56" i="5"/>
  <c r="Q57" i="5" s="1"/>
  <c r="Q53" i="5" s="1"/>
  <c r="Q14" i="5"/>
  <c r="Z7" i="18"/>
  <c r="G153" i="27"/>
  <c r="Q192" i="3"/>
  <c r="P14" i="5"/>
  <c r="P56" i="5"/>
  <c r="P57" i="5" s="1"/>
  <c r="P53" i="5" s="1"/>
  <c r="J340" i="20"/>
  <c r="Q6" i="18"/>
  <c r="L340" i="20"/>
  <c r="S6" i="18"/>
  <c r="T7" i="6"/>
  <c r="T47" i="5"/>
  <c r="N74" i="20" s="1"/>
  <c r="T68" i="3"/>
  <c r="T109" i="3" s="1"/>
  <c r="T239" i="3" s="1"/>
  <c r="T172" i="3"/>
  <c r="V192" i="3"/>
  <c r="X192" i="3"/>
  <c r="W340" i="20"/>
  <c r="AD6" i="18"/>
  <c r="AA340" i="20"/>
  <c r="AH6" i="18"/>
  <c r="AJ6" i="18"/>
  <c r="AC340" i="20"/>
  <c r="AK7" i="6"/>
  <c r="AK47" i="5"/>
  <c r="AE74" i="20" s="1"/>
  <c r="AK68" i="3"/>
  <c r="AK109" i="3" s="1"/>
  <c r="AK239" i="3" s="1"/>
  <c r="AK172" i="3"/>
  <c r="AA192" i="3"/>
  <c r="AE192" i="3"/>
  <c r="AI192" i="3"/>
  <c r="O56" i="5"/>
  <c r="O57" i="5" s="1"/>
  <c r="O53" i="5" s="1"/>
  <c r="O14" i="5"/>
  <c r="S172" i="3"/>
  <c r="S68" i="3"/>
  <c r="S109" i="3" s="1"/>
  <c r="S239" i="3" s="1"/>
  <c r="W14" i="5"/>
  <c r="W56" i="5"/>
  <c r="W57" i="5" s="1"/>
  <c r="W53" i="5" s="1"/>
  <c r="O192" i="3"/>
  <c r="M212" i="3"/>
  <c r="Y76" i="3"/>
  <c r="AL30" i="3"/>
  <c r="AL169" i="3" s="1"/>
  <c r="AF23" i="20" s="1"/>
  <c r="AL12" i="3"/>
  <c r="AF7" i="20"/>
  <c r="AB68" i="3"/>
  <c r="AB109" i="3" s="1"/>
  <c r="AB239" i="3" s="1"/>
  <c r="AB172" i="3"/>
  <c r="AD7" i="6"/>
  <c r="AD47" i="5"/>
  <c r="X74" i="20" s="1"/>
  <c r="Z340" i="20"/>
  <c r="AG6" i="18"/>
  <c r="AF68" i="3"/>
  <c r="AF109" i="3" s="1"/>
  <c r="AF239" i="3" s="1"/>
  <c r="AF172" i="3"/>
  <c r="AJ56" i="5"/>
  <c r="AJ57" i="5" s="1"/>
  <c r="AJ53" i="5" s="1"/>
  <c r="AJ14" i="5"/>
  <c r="AG44" i="20"/>
  <c r="AN32" i="18" s="1"/>
  <c r="Y33" i="3"/>
  <c r="M68" i="3"/>
  <c r="M109" i="3" s="1"/>
  <c r="M172" i="3"/>
  <c r="Y5" i="5"/>
  <c r="M22" i="5"/>
  <c r="M24" i="5" s="1"/>
  <c r="U172" i="3"/>
  <c r="U68" i="3"/>
  <c r="U109" i="3" s="1"/>
  <c r="U239" i="3" s="1"/>
  <c r="U14" i="5"/>
  <c r="U56" i="5"/>
  <c r="U57" i="5" s="1"/>
  <c r="U53" i="5" s="1"/>
  <c r="U47" i="5"/>
  <c r="O74" i="20" s="1"/>
  <c r="U7" i="6"/>
  <c r="N172" i="3"/>
  <c r="N68" i="3"/>
  <c r="N109" i="3" s="1"/>
  <c r="N239" i="3" s="1"/>
  <c r="N14" i="5"/>
  <c r="N56" i="5"/>
  <c r="N57" i="5" s="1"/>
  <c r="N53" i="5" s="1"/>
  <c r="N47" i="5"/>
  <c r="H74" i="20" s="1"/>
  <c r="N7" i="6"/>
  <c r="R19" i="6"/>
  <c r="R26" i="6"/>
  <c r="R47" i="5"/>
  <c r="L74" i="20" s="1"/>
  <c r="R7" i="6"/>
  <c r="T26" i="6"/>
  <c r="T19" i="6"/>
  <c r="P340" i="20"/>
  <c r="W6" i="18"/>
  <c r="X68" i="3"/>
  <c r="X109" i="3" s="1"/>
  <c r="X239" i="3" s="1"/>
  <c r="X172" i="3"/>
  <c r="R192" i="3"/>
  <c r="T192" i="3"/>
  <c r="AA68" i="3"/>
  <c r="AA109" i="3" s="1"/>
  <c r="AA239" i="3" s="1"/>
  <c r="AA172" i="3"/>
  <c r="AC14" i="5"/>
  <c r="AC56" i="5"/>
  <c r="AC57" i="5" s="1"/>
  <c r="AC53" i="5" s="1"/>
  <c r="AE47" i="5"/>
  <c r="Y74" i="20" s="1"/>
  <c r="AE7" i="6"/>
  <c r="Y340" i="20"/>
  <c r="AF6" i="18"/>
  <c r="AE68" i="3"/>
  <c r="AE109" i="3" s="1"/>
  <c r="AE239" i="3" s="1"/>
  <c r="AE172" i="3"/>
  <c r="AG14" i="5"/>
  <c r="AG56" i="5"/>
  <c r="AG57" i="5" s="1"/>
  <c r="AG53" i="5" s="1"/>
  <c r="AI56" i="5"/>
  <c r="AI57" i="5" s="1"/>
  <c r="AI53" i="5" s="1"/>
  <c r="AI14" i="5"/>
  <c r="O68" i="3"/>
  <c r="O109" i="3" s="1"/>
  <c r="O239" i="3" s="1"/>
  <c r="O172" i="3"/>
  <c r="S14" i="5"/>
  <c r="S56" i="5"/>
  <c r="S57" i="5" s="1"/>
  <c r="S53" i="5" s="1"/>
  <c r="S7" i="6"/>
  <c r="S47" i="5"/>
  <c r="M74" i="20" s="1"/>
  <c r="W68" i="3"/>
  <c r="W109" i="3" s="1"/>
  <c r="W239" i="3" s="1"/>
  <c r="W172" i="3"/>
  <c r="W192" i="3"/>
  <c r="AL38" i="3"/>
  <c r="AL45" i="3"/>
  <c r="AL31" i="3"/>
  <c r="Z14" i="5"/>
  <c r="Z56" i="5"/>
  <c r="Z57" i="5" s="1"/>
  <c r="Z53" i="5" s="1"/>
  <c r="AL13" i="5"/>
  <c r="AL56" i="5" s="1"/>
  <c r="AL5" i="5"/>
  <c r="Z22" i="5"/>
  <c r="Z24" i="5" s="1"/>
  <c r="AB7" i="6"/>
  <c r="AB47" i="5"/>
  <c r="V74" i="20" s="1"/>
  <c r="AD68" i="3"/>
  <c r="AD109" i="3" s="1"/>
  <c r="AD239" i="3" s="1"/>
  <c r="AD172" i="3"/>
  <c r="X340" i="20"/>
  <c r="AE6" i="18"/>
  <c r="AF7" i="6"/>
  <c r="AF47" i="5"/>
  <c r="Z74" i="20" s="1"/>
  <c r="AH68" i="3"/>
  <c r="AH109" i="3" s="1"/>
  <c r="AH239" i="3" s="1"/>
  <c r="AH172" i="3"/>
  <c r="AJ172" i="3"/>
  <c r="AJ68" i="3"/>
  <c r="AJ109" i="3" s="1"/>
  <c r="AJ239" i="3" s="1"/>
  <c r="AK6" i="18"/>
  <c r="AD340" i="20"/>
  <c r="AL135" i="3"/>
  <c r="AF9" i="20"/>
  <c r="H154" i="27" s="1"/>
  <c r="AM128" i="3"/>
  <c r="AM68" i="3"/>
  <c r="AM109" i="3" s="1"/>
  <c r="AM239" i="3" s="1"/>
  <c r="AM172" i="3"/>
  <c r="AG340" i="20"/>
  <c r="E22" i="32"/>
  <c r="AN6" i="18"/>
  <c r="I152" i="27"/>
  <c r="AN126" i="3"/>
  <c r="AH12" i="20"/>
  <c r="AN74" i="3"/>
  <c r="S7" i="20"/>
  <c r="Y12" i="3"/>
  <c r="Y30" i="3"/>
  <c r="Y169" i="3" s="1"/>
  <c r="S23" i="20" s="1"/>
  <c r="Y5" i="6"/>
  <c r="M20" i="6"/>
  <c r="K340" i="20"/>
  <c r="R6" i="18"/>
  <c r="Q47" i="5"/>
  <c r="K74" i="20" s="1"/>
  <c r="Q7" i="6"/>
  <c r="N37" i="3"/>
  <c r="N176" i="3" s="1"/>
  <c r="H29" i="20" s="1"/>
  <c r="N57" i="3"/>
  <c r="N196" i="3" s="1"/>
  <c r="H47" i="20" s="1"/>
  <c r="O34" i="18" s="1"/>
  <c r="P47" i="5"/>
  <c r="J74" i="20" s="1"/>
  <c r="P7" i="6"/>
  <c r="P68" i="3"/>
  <c r="P109" i="3" s="1"/>
  <c r="P239" i="3" s="1"/>
  <c r="P172" i="3"/>
  <c r="R68" i="3"/>
  <c r="R109" i="3" s="1"/>
  <c r="R239" i="3" s="1"/>
  <c r="R172" i="3"/>
  <c r="T56" i="5"/>
  <c r="T57" i="5" s="1"/>
  <c r="T53" i="5" s="1"/>
  <c r="T14" i="5"/>
  <c r="N340" i="20"/>
  <c r="U6" i="18"/>
  <c r="X14" i="5"/>
  <c r="X56" i="5"/>
  <c r="X57" i="5" s="1"/>
  <c r="X53" i="5" s="1"/>
  <c r="X7" i="6"/>
  <c r="X47" i="5"/>
  <c r="R74" i="20" s="1"/>
  <c r="N192" i="3"/>
  <c r="AC68" i="3"/>
  <c r="AC109" i="3" s="1"/>
  <c r="AC239" i="3" s="1"/>
  <c r="AC172" i="3"/>
  <c r="AG68" i="3"/>
  <c r="AG109" i="3" s="1"/>
  <c r="AG239" i="3" s="1"/>
  <c r="AG172" i="3"/>
  <c r="AI68" i="3"/>
  <c r="AI109" i="3" s="1"/>
  <c r="AI239" i="3" s="1"/>
  <c r="AI172" i="3"/>
  <c r="AK56" i="5"/>
  <c r="AK57" i="5" s="1"/>
  <c r="AK53" i="5" s="1"/>
  <c r="AK14" i="5"/>
  <c r="AE340" i="20"/>
  <c r="AL6" i="18"/>
  <c r="AC192" i="3"/>
  <c r="AG192" i="3"/>
  <c r="AK192" i="3"/>
  <c r="AK74" i="3" l="1"/>
  <c r="AA44" i="20"/>
  <c r="AH32" i="18" s="1"/>
  <c r="AC74" i="3"/>
  <c r="AL8" i="18"/>
  <c r="AL46" i="18"/>
  <c r="AL48" i="18"/>
  <c r="AK41" i="3"/>
  <c r="AK180" i="3" s="1"/>
  <c r="AE32" i="20" s="1"/>
  <c r="AK61" i="3"/>
  <c r="AK200" i="3" s="1"/>
  <c r="AE50" i="20" s="1"/>
  <c r="AL38" i="18" s="1"/>
  <c r="AK77" i="3"/>
  <c r="AK213" i="3" s="1"/>
  <c r="AE77" i="20" s="1"/>
  <c r="H44" i="20"/>
  <c r="O32" i="18" s="1"/>
  <c r="X14" i="6"/>
  <c r="X15" i="6"/>
  <c r="X33" i="5"/>
  <c r="X16" i="5"/>
  <c r="T16" i="5"/>
  <c r="T33" i="5"/>
  <c r="L26" i="20"/>
  <c r="J26" i="20"/>
  <c r="P14" i="6"/>
  <c r="P15" i="6"/>
  <c r="Q15" i="6"/>
  <c r="Q14" i="6"/>
  <c r="R48" i="18"/>
  <c r="R46" i="18"/>
  <c r="R8" i="18"/>
  <c r="R52" i="18"/>
  <c r="M19" i="6"/>
  <c r="M26" i="6"/>
  <c r="G152" i="27"/>
  <c r="C22" i="32"/>
  <c r="Z6" i="18"/>
  <c r="Z8" i="18" s="1"/>
  <c r="S340" i="20"/>
  <c r="I156" i="27"/>
  <c r="I179" i="27"/>
  <c r="AB26" i="20"/>
  <c r="AE46" i="18"/>
  <c r="AE48" i="18"/>
  <c r="AE8" i="18"/>
  <c r="AB15" i="6"/>
  <c r="AB14" i="6"/>
  <c r="Z7" i="6"/>
  <c r="Z47" i="5"/>
  <c r="T74" i="20" s="1"/>
  <c r="AF74" i="20" s="1"/>
  <c r="H141" i="27" s="1"/>
  <c r="AL14" i="5"/>
  <c r="Z33" i="5"/>
  <c r="Z16" i="5"/>
  <c r="W74" i="3"/>
  <c r="Q26" i="20"/>
  <c r="S61" i="3"/>
  <c r="S200" i="3" s="1"/>
  <c r="M50" i="20" s="1"/>
  <c r="T38" i="18" s="1"/>
  <c r="S77" i="3"/>
  <c r="S213" i="3" s="1"/>
  <c r="M77" i="20" s="1"/>
  <c r="S41" i="3"/>
  <c r="S180" i="3" s="1"/>
  <c r="M32" i="20" s="1"/>
  <c r="I26" i="20"/>
  <c r="AI77" i="3"/>
  <c r="AI213" i="3" s="1"/>
  <c r="AC77" i="20" s="1"/>
  <c r="AI41" i="3"/>
  <c r="AI180" i="3" s="1"/>
  <c r="AC32" i="20" s="1"/>
  <c r="AI61" i="3"/>
  <c r="AI200" i="3" s="1"/>
  <c r="AC50" i="20" s="1"/>
  <c r="AJ38" i="18" s="1"/>
  <c r="AG41" i="3"/>
  <c r="AG180" i="3" s="1"/>
  <c r="AA32" i="20" s="1"/>
  <c r="AG61" i="3"/>
  <c r="AG200" i="3" s="1"/>
  <c r="AA50" i="20" s="1"/>
  <c r="AH38" i="18" s="1"/>
  <c r="AG77" i="3"/>
  <c r="AG213" i="3" s="1"/>
  <c r="AA77" i="20" s="1"/>
  <c r="Y26" i="20"/>
  <c r="AF46" i="18"/>
  <c r="AF48" i="18"/>
  <c r="AF8" i="18"/>
  <c r="AE14" i="6"/>
  <c r="AE16" i="6" s="1"/>
  <c r="AE15" i="6"/>
  <c r="AC16" i="5"/>
  <c r="AC33" i="5"/>
  <c r="N44" i="20"/>
  <c r="U32" i="18" s="1"/>
  <c r="L44" i="20"/>
  <c r="S32" i="18" s="1"/>
  <c r="R26" i="20"/>
  <c r="W52" i="18"/>
  <c r="W48" i="18"/>
  <c r="W8" i="18"/>
  <c r="W46" i="18"/>
  <c r="R37" i="3"/>
  <c r="R57" i="3"/>
  <c r="N16" i="5"/>
  <c r="N33" i="5"/>
  <c r="H26" i="20"/>
  <c r="U16" i="5"/>
  <c r="U33" i="5"/>
  <c r="O26" i="20"/>
  <c r="M7" i="6"/>
  <c r="M47" i="5"/>
  <c r="G74" i="20" s="1"/>
  <c r="S74" i="20" s="1"/>
  <c r="G141" i="27" s="1"/>
  <c r="G26" i="20"/>
  <c r="Y128" i="3"/>
  <c r="Y68" i="3"/>
  <c r="AG71" i="20"/>
  <c r="I137" i="27" s="1"/>
  <c r="I139" i="27" s="1"/>
  <c r="AJ41" i="3"/>
  <c r="AJ180" i="3" s="1"/>
  <c r="AD32" i="20" s="1"/>
  <c r="AJ61" i="3"/>
  <c r="AJ200" i="3" s="1"/>
  <c r="AD50" i="20" s="1"/>
  <c r="AK38" i="18" s="1"/>
  <c r="AJ77" i="3"/>
  <c r="AJ213" i="3" s="1"/>
  <c r="AD77" i="20" s="1"/>
  <c r="AG46" i="18"/>
  <c r="AG8" i="18"/>
  <c r="AG48" i="18"/>
  <c r="AD14" i="6"/>
  <c r="AD15" i="6"/>
  <c r="V26" i="20"/>
  <c r="AF24" i="20"/>
  <c r="H152" i="27"/>
  <c r="AF340" i="20"/>
  <c r="AM6" i="18"/>
  <c r="AM8" i="18" s="1"/>
  <c r="D22" i="32"/>
  <c r="I44" i="20"/>
  <c r="P32" i="18" s="1"/>
  <c r="W61" i="3"/>
  <c r="W200" i="3" s="1"/>
  <c r="Q50" i="20" s="1"/>
  <c r="X38" i="18" s="1"/>
  <c r="W41" i="3"/>
  <c r="W180" i="3" s="1"/>
  <c r="Q32" i="20" s="1"/>
  <c r="W77" i="3"/>
  <c r="W213" i="3" s="1"/>
  <c r="Q77" i="20" s="1"/>
  <c r="O61" i="3"/>
  <c r="O200" i="3" s="1"/>
  <c r="I50" i="20" s="1"/>
  <c r="P38" i="18" s="1"/>
  <c r="O77" i="3"/>
  <c r="O213" i="3" s="1"/>
  <c r="I77" i="20" s="1"/>
  <c r="O41" i="3"/>
  <c r="O180" i="3" s="1"/>
  <c r="I32" i="20" s="1"/>
  <c r="AI74" i="3"/>
  <c r="Y44" i="20"/>
  <c r="AF32" i="18" s="1"/>
  <c r="AA74" i="3"/>
  <c r="AK15" i="6"/>
  <c r="AK14" i="6"/>
  <c r="AJ48" i="18"/>
  <c r="AJ8" i="18"/>
  <c r="AJ46" i="18"/>
  <c r="AH46" i="18"/>
  <c r="AH48" i="18"/>
  <c r="AH8" i="18"/>
  <c r="AD8" i="18"/>
  <c r="AD46" i="18"/>
  <c r="AD48" i="18"/>
  <c r="R44" i="20"/>
  <c r="Y32" i="18" s="1"/>
  <c r="V74" i="3"/>
  <c r="N26" i="20"/>
  <c r="Q46" i="18"/>
  <c r="Q8" i="18"/>
  <c r="Q48" i="18"/>
  <c r="Q52" i="18"/>
  <c r="P33" i="5"/>
  <c r="P16" i="5"/>
  <c r="J74" i="29" s="1"/>
  <c r="Q74" i="3"/>
  <c r="Q41" i="3"/>
  <c r="Q180" i="3" s="1"/>
  <c r="K32" i="20" s="1"/>
  <c r="Q61" i="3"/>
  <c r="Q200" i="3" s="1"/>
  <c r="K50" i="20" s="1"/>
  <c r="R38" i="18" s="1"/>
  <c r="Q77" i="3"/>
  <c r="Q213" i="3" s="1"/>
  <c r="K77" i="20" s="1"/>
  <c r="AO48" i="18"/>
  <c r="AO8" i="18"/>
  <c r="AO46" i="18"/>
  <c r="AD44" i="20"/>
  <c r="AK32" i="18" s="1"/>
  <c r="AB44" i="20"/>
  <c r="AI32" i="18" s="1"/>
  <c r="Z44" i="20"/>
  <c r="AG32" i="18" s="1"/>
  <c r="X44" i="20"/>
  <c r="AE32" i="18" s="1"/>
  <c r="V44" i="20"/>
  <c r="AC32" i="18" s="1"/>
  <c r="AI8" i="18"/>
  <c r="AI46" i="18"/>
  <c r="AI48" i="18"/>
  <c r="AF33" i="5"/>
  <c r="AF16" i="5"/>
  <c r="AB77" i="3"/>
  <c r="AB213" i="3" s="1"/>
  <c r="V77" i="20" s="1"/>
  <c r="AB41" i="3"/>
  <c r="AB180" i="3" s="1"/>
  <c r="V32" i="20" s="1"/>
  <c r="AB61" i="3"/>
  <c r="AB200" i="3" s="1"/>
  <c r="V50" i="20" s="1"/>
  <c r="AC38" i="18" s="1"/>
  <c r="AF25" i="20"/>
  <c r="AL109" i="3"/>
  <c r="AL239" i="3" s="1"/>
  <c r="Z239" i="3"/>
  <c r="S57" i="3"/>
  <c r="S37" i="3"/>
  <c r="P46" i="18"/>
  <c r="P48" i="18"/>
  <c r="P52" i="18"/>
  <c r="P8" i="18"/>
  <c r="AI14" i="6"/>
  <c r="AI15" i="6"/>
  <c r="AE33" i="5"/>
  <c r="AE16" i="5"/>
  <c r="Y74" i="29" s="1"/>
  <c r="AC14" i="6"/>
  <c r="AC15" i="6"/>
  <c r="AA14" i="6"/>
  <c r="AA15" i="6"/>
  <c r="AA16" i="5"/>
  <c r="U74" i="29" s="1"/>
  <c r="AA33" i="5"/>
  <c r="P74" i="3"/>
  <c r="V41" i="3"/>
  <c r="V180" i="3" s="1"/>
  <c r="P32" i="20" s="1"/>
  <c r="V77" i="3"/>
  <c r="V213" i="3" s="1"/>
  <c r="P77" i="20" s="1"/>
  <c r="V61" i="3"/>
  <c r="V200" i="3" s="1"/>
  <c r="P50" i="20" s="1"/>
  <c r="W38" i="18" s="1"/>
  <c r="R61" i="3"/>
  <c r="R200" i="3" s="1"/>
  <c r="L50" i="20" s="1"/>
  <c r="S38" i="18" s="1"/>
  <c r="R77" i="3"/>
  <c r="R213" i="3" s="1"/>
  <c r="L77" i="20" s="1"/>
  <c r="R41" i="3"/>
  <c r="R180" i="3" s="1"/>
  <c r="L32" i="20" s="1"/>
  <c r="P37" i="3"/>
  <c r="P57" i="3"/>
  <c r="O46" i="18"/>
  <c r="O8" i="18"/>
  <c r="O48" i="18"/>
  <c r="O52" i="18"/>
  <c r="V48" i="18"/>
  <c r="V46" i="18"/>
  <c r="V8" i="18"/>
  <c r="V52" i="18"/>
  <c r="Q57" i="3"/>
  <c r="Q37" i="3"/>
  <c r="M77" i="3"/>
  <c r="M41" i="3"/>
  <c r="M61" i="3"/>
  <c r="S24" i="20"/>
  <c r="AH15" i="6"/>
  <c r="AH14" i="6"/>
  <c r="AH16" i="5"/>
  <c r="AH33" i="5"/>
  <c r="AD16" i="5"/>
  <c r="AD33" i="5"/>
  <c r="O44" i="20"/>
  <c r="V32" i="18" s="1"/>
  <c r="M44" i="20"/>
  <c r="T32" i="18" s="1"/>
  <c r="W15" i="6"/>
  <c r="W14" i="6"/>
  <c r="T8" i="18"/>
  <c r="T46" i="18"/>
  <c r="T48" i="18"/>
  <c r="T52" i="18"/>
  <c r="AE44" i="20"/>
  <c r="AL32" i="18" s="1"/>
  <c r="AG74" i="3"/>
  <c r="W44" i="20"/>
  <c r="AD32" i="18" s="1"/>
  <c r="AK16" i="5"/>
  <c r="AE74" i="29" s="1"/>
  <c r="AK33" i="5"/>
  <c r="AC26" i="20"/>
  <c r="AA26" i="20"/>
  <c r="W26" i="20"/>
  <c r="N74" i="3"/>
  <c r="H74" i="29"/>
  <c r="X77" i="3"/>
  <c r="X213" i="3" s="1"/>
  <c r="R77" i="20" s="1"/>
  <c r="X41" i="3"/>
  <c r="X180" i="3" s="1"/>
  <c r="R32" i="20" s="1"/>
  <c r="X61" i="3"/>
  <c r="X200" i="3" s="1"/>
  <c r="R50" i="20" s="1"/>
  <c r="Y38" i="18" s="1"/>
  <c r="U46" i="18"/>
  <c r="U8" i="18"/>
  <c r="U48" i="18"/>
  <c r="U52" i="18"/>
  <c r="T61" i="3"/>
  <c r="T200" i="3" s="1"/>
  <c r="N50" i="20" s="1"/>
  <c r="U38" i="18" s="1"/>
  <c r="T77" i="3"/>
  <c r="T213" i="3" s="1"/>
  <c r="N77" i="20" s="1"/>
  <c r="T41" i="3"/>
  <c r="T180" i="3" s="1"/>
  <c r="N32" i="20" s="1"/>
  <c r="O17" i="18"/>
  <c r="O47" i="18" s="1"/>
  <c r="H60" i="20"/>
  <c r="Y126" i="3"/>
  <c r="S12" i="20"/>
  <c r="AN8" i="18"/>
  <c r="AN48" i="18"/>
  <c r="AN46" i="18"/>
  <c r="AG26" i="20"/>
  <c r="AK8" i="18"/>
  <c r="AK46" i="18"/>
  <c r="AK48" i="18"/>
  <c r="AD26" i="20"/>
  <c r="AF14" i="6"/>
  <c r="AF15" i="6"/>
  <c r="X26" i="20"/>
  <c r="Z77" i="3"/>
  <c r="Z41" i="3"/>
  <c r="Z61" i="3"/>
  <c r="Q44" i="20"/>
  <c r="X32" i="18" s="1"/>
  <c r="S15" i="6"/>
  <c r="S14" i="6"/>
  <c r="S33" i="5"/>
  <c r="S16" i="5"/>
  <c r="AI33" i="5"/>
  <c r="AI16" i="5"/>
  <c r="AG16" i="5"/>
  <c r="AG33" i="5"/>
  <c r="AC77" i="3"/>
  <c r="AC213" i="3" s="1"/>
  <c r="W77" i="20" s="1"/>
  <c r="AC41" i="3"/>
  <c r="AC180" i="3" s="1"/>
  <c r="W32" i="20" s="1"/>
  <c r="AC61" i="3"/>
  <c r="AC200" i="3" s="1"/>
  <c r="W50" i="20" s="1"/>
  <c r="AD38" i="18" s="1"/>
  <c r="U26" i="20"/>
  <c r="T208" i="3"/>
  <c r="T74" i="3"/>
  <c r="N74" i="29"/>
  <c r="R74" i="3"/>
  <c r="T37" i="3"/>
  <c r="T57" i="3"/>
  <c r="R15" i="6"/>
  <c r="R14" i="6"/>
  <c r="N15" i="6"/>
  <c r="N14" i="6"/>
  <c r="N41" i="3"/>
  <c r="N180" i="3" s="1"/>
  <c r="H32" i="20" s="1"/>
  <c r="N61" i="3"/>
  <c r="N200" i="3" s="1"/>
  <c r="H50" i="20" s="1"/>
  <c r="O38" i="18" s="1"/>
  <c r="N77" i="3"/>
  <c r="N213" i="3" s="1"/>
  <c r="H77" i="20" s="1"/>
  <c r="U15" i="6"/>
  <c r="U14" i="6"/>
  <c r="U77" i="3"/>
  <c r="U213" i="3" s="1"/>
  <c r="O77" i="20" s="1"/>
  <c r="U61" i="3"/>
  <c r="U200" i="3" s="1"/>
  <c r="O50" i="20" s="1"/>
  <c r="V38" i="18" s="1"/>
  <c r="U41" i="3"/>
  <c r="U180" i="3" s="1"/>
  <c r="O32" i="20" s="1"/>
  <c r="M239" i="3"/>
  <c r="Y109" i="3"/>
  <c r="Y239" i="3" s="1"/>
  <c r="AJ33" i="5"/>
  <c r="AJ16" i="5"/>
  <c r="AD74" i="29" s="1"/>
  <c r="Z26" i="20"/>
  <c r="AL126" i="3"/>
  <c r="AF12" i="20"/>
  <c r="O74" i="3"/>
  <c r="W16" i="5"/>
  <c r="W33" i="5"/>
  <c r="M26" i="20"/>
  <c r="O33" i="5"/>
  <c r="O16" i="5"/>
  <c r="AC44" i="20"/>
  <c r="AJ32" i="18" s="1"/>
  <c r="AE74" i="3"/>
  <c r="U44" i="20"/>
  <c r="AB32" i="18" s="1"/>
  <c r="AE26" i="20"/>
  <c r="X74" i="3"/>
  <c r="R74" i="29"/>
  <c r="P44" i="20"/>
  <c r="W32" i="18" s="1"/>
  <c r="T15" i="6"/>
  <c r="T14" i="6"/>
  <c r="S46" i="18"/>
  <c r="S8" i="18"/>
  <c r="S48" i="18"/>
  <c r="S52" i="18"/>
  <c r="P41" i="3"/>
  <c r="P180" i="3" s="1"/>
  <c r="J32" i="20" s="1"/>
  <c r="P61" i="3"/>
  <c r="P200" i="3" s="1"/>
  <c r="J50" i="20" s="1"/>
  <c r="Q38" i="18" s="1"/>
  <c r="P77" i="3"/>
  <c r="P213" i="3" s="1"/>
  <c r="J77" i="20" s="1"/>
  <c r="K44" i="20"/>
  <c r="R32" i="18" s="1"/>
  <c r="Q16" i="5"/>
  <c r="Q33" i="5"/>
  <c r="K26" i="20"/>
  <c r="AH71" i="20"/>
  <c r="J137" i="27" s="1"/>
  <c r="J139" i="27" s="1"/>
  <c r="J179" i="27"/>
  <c r="J156" i="27"/>
  <c r="AH26" i="20"/>
  <c r="AJ74" i="3"/>
  <c r="AH74" i="3"/>
  <c r="AB74" i="29"/>
  <c r="AF74" i="3"/>
  <c r="Z74" i="29"/>
  <c r="AD74" i="3"/>
  <c r="X74" i="29"/>
  <c r="AB74" i="3"/>
  <c r="AF41" i="3"/>
  <c r="AF180" i="3" s="1"/>
  <c r="Z32" i="20" s="1"/>
  <c r="AF61" i="3"/>
  <c r="AF200" i="3" s="1"/>
  <c r="Z50" i="20" s="1"/>
  <c r="AG38" i="18" s="1"/>
  <c r="AF77" i="3"/>
  <c r="AF213" i="3" s="1"/>
  <c r="Z77" i="20" s="1"/>
  <c r="AB16" i="5"/>
  <c r="AB33" i="5"/>
  <c r="AA46" i="18"/>
  <c r="AA48" i="18"/>
  <c r="AA8" i="18"/>
  <c r="T26" i="20"/>
  <c r="AL128" i="3"/>
  <c r="AL68" i="3"/>
  <c r="X8" i="18"/>
  <c r="X52" i="18"/>
  <c r="X48" i="18"/>
  <c r="X46" i="18"/>
  <c r="AG14" i="6"/>
  <c r="AG15" i="6"/>
  <c r="AE77" i="3"/>
  <c r="AE213" i="3" s="1"/>
  <c r="Y77" i="20" s="1"/>
  <c r="AE41" i="3"/>
  <c r="AE180" i="3" s="1"/>
  <c r="Y32" i="20" s="1"/>
  <c r="AE61" i="3"/>
  <c r="AE200" i="3" s="1"/>
  <c r="Y50" i="20" s="1"/>
  <c r="AF38" i="18" s="1"/>
  <c r="AB8" i="18"/>
  <c r="AB46" i="18"/>
  <c r="AB48" i="18"/>
  <c r="AA61" i="3"/>
  <c r="AA200" i="3" s="1"/>
  <c r="U50" i="20" s="1"/>
  <c r="AB38" i="18" s="1"/>
  <c r="AA77" i="3"/>
  <c r="AA213" i="3" s="1"/>
  <c r="U77" i="20" s="1"/>
  <c r="AA41" i="3"/>
  <c r="AA180" i="3" s="1"/>
  <c r="U32" i="20" s="1"/>
  <c r="J44" i="20"/>
  <c r="Q32" i="18" s="1"/>
  <c r="Y8" i="18"/>
  <c r="Y46" i="18"/>
  <c r="Y52" i="18"/>
  <c r="Y48" i="18"/>
  <c r="V15" i="6"/>
  <c r="V14" i="6"/>
  <c r="V16" i="5"/>
  <c r="V33" i="5"/>
  <c r="P26" i="20"/>
  <c r="R33" i="5"/>
  <c r="R16" i="5"/>
  <c r="L74" i="29" s="1"/>
  <c r="G44" i="20"/>
  <c r="Y72" i="3"/>
  <c r="M74" i="3"/>
  <c r="M16" i="5"/>
  <c r="M33" i="5"/>
  <c r="Y14" i="5"/>
  <c r="S25" i="20"/>
  <c r="N46" i="18"/>
  <c r="N52" i="18"/>
  <c r="N48" i="18"/>
  <c r="N8" i="18"/>
  <c r="T44" i="20"/>
  <c r="Z74" i="3"/>
  <c r="AL72" i="3"/>
  <c r="T74" i="29"/>
  <c r="AJ14" i="6"/>
  <c r="AJ15" i="6"/>
  <c r="AH77" i="3"/>
  <c r="AH213" i="3" s="1"/>
  <c r="AB77" i="20" s="1"/>
  <c r="AH41" i="3"/>
  <c r="AH180" i="3" s="1"/>
  <c r="AB32" i="20" s="1"/>
  <c r="AH61" i="3"/>
  <c r="AH200" i="3" s="1"/>
  <c r="AB50" i="20" s="1"/>
  <c r="AI38" i="18" s="1"/>
  <c r="AD61" i="3"/>
  <c r="AD200" i="3" s="1"/>
  <c r="X50" i="20" s="1"/>
  <c r="AE38" i="18" s="1"/>
  <c r="AD77" i="3"/>
  <c r="AD213" i="3" s="1"/>
  <c r="X77" i="20" s="1"/>
  <c r="AD41" i="3"/>
  <c r="AD180" i="3" s="1"/>
  <c r="X32" i="20" s="1"/>
  <c r="AC46" i="18"/>
  <c r="AC48" i="18"/>
  <c r="AC8" i="18"/>
  <c r="U74" i="3"/>
  <c r="O74" i="29"/>
  <c r="S74" i="3"/>
  <c r="M74" i="29"/>
  <c r="O57" i="3"/>
  <c r="O37" i="3"/>
  <c r="O15" i="6"/>
  <c r="O14" i="6"/>
  <c r="AB16" i="6" l="1"/>
  <c r="AD16" i="6"/>
  <c r="AG16" i="6"/>
  <c r="X16" i="6"/>
  <c r="AK16" i="6"/>
  <c r="P16" i="6"/>
  <c r="P22" i="6" s="1"/>
  <c r="R16" i="6"/>
  <c r="R22" i="6" s="1"/>
  <c r="S16" i="6"/>
  <c r="S22" i="6" s="1"/>
  <c r="O196" i="3"/>
  <c r="AE21" i="18"/>
  <c r="AE51" i="18" s="1"/>
  <c r="X63" i="20"/>
  <c r="AI21" i="18"/>
  <c r="AI51" i="18" s="1"/>
  <c r="AB63" i="20"/>
  <c r="AL74" i="3"/>
  <c r="AA32" i="18"/>
  <c r="AF44" i="20"/>
  <c r="M41" i="5"/>
  <c r="M37" i="5"/>
  <c r="M46" i="5"/>
  <c r="G74" i="29"/>
  <c r="N32" i="18"/>
  <c r="S44" i="20"/>
  <c r="P57" i="20"/>
  <c r="P306" i="20" s="1"/>
  <c r="W15" i="18"/>
  <c r="W45" i="18" s="1"/>
  <c r="V46" i="5"/>
  <c r="V41" i="5"/>
  <c r="V37" i="5"/>
  <c r="AB21" i="18"/>
  <c r="AB51" i="18" s="1"/>
  <c r="U63" i="20"/>
  <c r="AG21" i="18"/>
  <c r="AG51" i="18" s="1"/>
  <c r="Z63" i="20"/>
  <c r="AH57" i="20"/>
  <c r="AO15" i="18"/>
  <c r="AO45" i="18" s="1"/>
  <c r="K57" i="20"/>
  <c r="K306" i="20" s="1"/>
  <c r="R15" i="18"/>
  <c r="R45" i="18" s="1"/>
  <c r="Q37" i="5"/>
  <c r="Q46" i="5"/>
  <c r="Q41" i="5"/>
  <c r="J63" i="20"/>
  <c r="Q21" i="18"/>
  <c r="Q51" i="18" s="1"/>
  <c r="AC71" i="20"/>
  <c r="O37" i="5"/>
  <c r="O46" i="5"/>
  <c r="O41" i="5"/>
  <c r="I74" i="29"/>
  <c r="AJ41" i="5"/>
  <c r="AJ37" i="5"/>
  <c r="AJ46" i="5"/>
  <c r="V21" i="18"/>
  <c r="V51" i="18" s="1"/>
  <c r="O63" i="20"/>
  <c r="H63" i="20"/>
  <c r="O21" i="18"/>
  <c r="O51" i="18" s="1"/>
  <c r="R52" i="6"/>
  <c r="T196" i="3"/>
  <c r="N71" i="20"/>
  <c r="AB15" i="18"/>
  <c r="AB45" i="18" s="1"/>
  <c r="U57" i="20"/>
  <c r="U306" i="20" s="1"/>
  <c r="AD21" i="18"/>
  <c r="AD51" i="18" s="1"/>
  <c r="W63" i="20"/>
  <c r="AI46" i="5"/>
  <c r="AI41" i="5"/>
  <c r="AI37" i="5"/>
  <c r="S37" i="5"/>
  <c r="S46" i="5"/>
  <c r="S41" i="5"/>
  <c r="S52" i="6"/>
  <c r="Q71" i="20"/>
  <c r="Z180" i="3"/>
  <c r="T32" i="20" s="1"/>
  <c r="AL41" i="3"/>
  <c r="AN15" i="18"/>
  <c r="AN45" i="18" s="1"/>
  <c r="AG57" i="20"/>
  <c r="U21" i="18"/>
  <c r="U51" i="18" s="1"/>
  <c r="N63" i="20"/>
  <c r="Y21" i="18"/>
  <c r="Y51" i="18" s="1"/>
  <c r="R63" i="20"/>
  <c r="W71" i="20"/>
  <c r="M71" i="20"/>
  <c r="O71" i="20"/>
  <c r="AD41" i="5"/>
  <c r="AD46" i="5"/>
  <c r="AD37" i="5"/>
  <c r="AH37" i="5"/>
  <c r="AH46" i="5"/>
  <c r="AH41" i="5"/>
  <c r="M180" i="3"/>
  <c r="G32" i="20" s="1"/>
  <c r="Y41" i="3"/>
  <c r="Q176" i="3"/>
  <c r="P196" i="3"/>
  <c r="L63" i="20"/>
  <c r="S21" i="18"/>
  <c r="S51" i="18" s="1"/>
  <c r="AE41" i="5"/>
  <c r="AE37" i="5"/>
  <c r="AE46" i="5"/>
  <c r="S176" i="3"/>
  <c r="AC21" i="18"/>
  <c r="AC51" i="18" s="1"/>
  <c r="V63" i="20"/>
  <c r="AF37" i="5"/>
  <c r="AF46" i="5"/>
  <c r="AF41" i="5"/>
  <c r="X71" i="20"/>
  <c r="AB71" i="20"/>
  <c r="K74" i="29"/>
  <c r="P41" i="5"/>
  <c r="P37" i="5"/>
  <c r="P46" i="5"/>
  <c r="P74" i="29"/>
  <c r="Y71" i="20"/>
  <c r="I71" i="20"/>
  <c r="V57" i="20"/>
  <c r="V306" i="20" s="1"/>
  <c r="AC15" i="18"/>
  <c r="AC45" i="18" s="1"/>
  <c r="AK21" i="18"/>
  <c r="AK51" i="18" s="1"/>
  <c r="AD63" i="20"/>
  <c r="N15" i="18"/>
  <c r="N45" i="18" s="1"/>
  <c r="G57" i="20"/>
  <c r="G306" i="20" s="1"/>
  <c r="S26" i="20"/>
  <c r="S57" i="20" s="1"/>
  <c r="G122" i="27" s="1"/>
  <c r="M15" i="6"/>
  <c r="Y15" i="6" s="1"/>
  <c r="M14" i="6"/>
  <c r="M32" i="6"/>
  <c r="Y7" i="6"/>
  <c r="V15" i="18"/>
  <c r="V45" i="18" s="1"/>
  <c r="O57" i="20"/>
  <c r="O306" i="20" s="1"/>
  <c r="U46" i="5"/>
  <c r="U37" i="5"/>
  <c r="U41" i="5"/>
  <c r="H57" i="20"/>
  <c r="H306" i="20" s="1"/>
  <c r="O15" i="18"/>
  <c r="O45" i="18" s="1"/>
  <c r="N46" i="5"/>
  <c r="N37" i="5"/>
  <c r="N41" i="5"/>
  <c r="R176" i="3"/>
  <c r="AC37" i="5"/>
  <c r="AC46" i="5"/>
  <c r="AC41" i="5"/>
  <c r="AH21" i="18"/>
  <c r="AH51" i="18" s="1"/>
  <c r="AA63" i="20"/>
  <c r="AC63" i="20"/>
  <c r="AJ21" i="18"/>
  <c r="AJ51" i="18" s="1"/>
  <c r="M63" i="20"/>
  <c r="T21" i="18"/>
  <c r="T51" i="18" s="1"/>
  <c r="X15" i="18"/>
  <c r="X45" i="18" s="1"/>
  <c r="Q57" i="20"/>
  <c r="Q306" i="20" s="1"/>
  <c r="AL33" i="5"/>
  <c r="AB57" i="20"/>
  <c r="AB306" i="20" s="1"/>
  <c r="AI15" i="18"/>
  <c r="AI45" i="18" s="1"/>
  <c r="Q16" i="6"/>
  <c r="X37" i="5"/>
  <c r="X41" i="5"/>
  <c r="X46" i="5"/>
  <c r="H71" i="20"/>
  <c r="AA71" i="20"/>
  <c r="O16" i="6"/>
  <c r="O176" i="3"/>
  <c r="AJ16" i="6"/>
  <c r="T71" i="20"/>
  <c r="Y33" i="5"/>
  <c r="Y74" i="3"/>
  <c r="G71" i="20"/>
  <c r="R46" i="5"/>
  <c r="R41" i="5"/>
  <c r="R37" i="5"/>
  <c r="V16" i="6"/>
  <c r="J71" i="20"/>
  <c r="AF21" i="18"/>
  <c r="AF51" i="18" s="1"/>
  <c r="Y63" i="20"/>
  <c r="T57" i="20"/>
  <c r="T306" i="20" s="1"/>
  <c r="AA15" i="18"/>
  <c r="AA45" i="18" s="1"/>
  <c r="AF26" i="20"/>
  <c r="AF57" i="20" s="1"/>
  <c r="H122" i="27" s="1"/>
  <c r="AB37" i="5"/>
  <c r="AB46" i="5"/>
  <c r="AB41" i="5"/>
  <c r="V74" i="29"/>
  <c r="K71" i="20"/>
  <c r="T16" i="6"/>
  <c r="P71" i="20"/>
  <c r="AL15" i="18"/>
  <c r="AL45" i="18" s="1"/>
  <c r="AE57" i="20"/>
  <c r="AE306" i="20" s="1"/>
  <c r="U71" i="20"/>
  <c r="M57" i="20"/>
  <c r="M306" i="20" s="1"/>
  <c r="T15" i="18"/>
  <c r="T45" i="18" s="1"/>
  <c r="W41" i="5"/>
  <c r="W37" i="5"/>
  <c r="W46" i="5"/>
  <c r="Z57" i="20"/>
  <c r="Z306" i="20" s="1"/>
  <c r="AG15" i="18"/>
  <c r="AG45" i="18" s="1"/>
  <c r="U16" i="6"/>
  <c r="N16" i="6"/>
  <c r="T176" i="3"/>
  <c r="AG41" i="5"/>
  <c r="AG37" i="5"/>
  <c r="AG46" i="5"/>
  <c r="AL61" i="3"/>
  <c r="Z200" i="3"/>
  <c r="T50" i="20" s="1"/>
  <c r="AL77" i="3"/>
  <c r="Z213" i="3"/>
  <c r="T77" i="20" s="1"/>
  <c r="AF77" i="20" s="1"/>
  <c r="H144" i="27" s="1"/>
  <c r="AE15" i="18"/>
  <c r="AE45" i="18" s="1"/>
  <c r="X57" i="20"/>
  <c r="X306" i="20" s="1"/>
  <c r="AF16" i="6"/>
  <c r="AD57" i="20"/>
  <c r="AD306" i="20" s="1"/>
  <c r="AK15" i="18"/>
  <c r="AK45" i="18" s="1"/>
  <c r="AD15" i="18"/>
  <c r="AD45" i="18" s="1"/>
  <c r="W57" i="20"/>
  <c r="W306" i="20" s="1"/>
  <c r="AH15" i="18"/>
  <c r="AH45" i="18" s="1"/>
  <c r="AA57" i="20"/>
  <c r="AA306" i="20" s="1"/>
  <c r="AC57" i="20"/>
  <c r="AC306" i="20" s="1"/>
  <c r="AJ15" i="18"/>
  <c r="AJ45" i="18" s="1"/>
  <c r="AK41" i="5"/>
  <c r="AK37" i="5"/>
  <c r="AK46" i="5"/>
  <c r="AA74" i="29"/>
  <c r="AE71" i="20"/>
  <c r="W16" i="6"/>
  <c r="AH16" i="6"/>
  <c r="M200" i="3"/>
  <c r="G50" i="20" s="1"/>
  <c r="Y61" i="3"/>
  <c r="M213" i="3"/>
  <c r="G77" i="20" s="1"/>
  <c r="S77" i="20" s="1"/>
  <c r="G144" i="27" s="1"/>
  <c r="Y77" i="3"/>
  <c r="Q196" i="3"/>
  <c r="P176" i="3"/>
  <c r="W21" i="18"/>
  <c r="W51" i="18" s="1"/>
  <c r="P63" i="20"/>
  <c r="AA37" i="5"/>
  <c r="AA41" i="5"/>
  <c r="AA46" i="5"/>
  <c r="AA16" i="6"/>
  <c r="AC16" i="6"/>
  <c r="AI16" i="6"/>
  <c r="S196" i="3"/>
  <c r="V71" i="20"/>
  <c r="Z71" i="20"/>
  <c r="AD71" i="20"/>
  <c r="R21" i="18"/>
  <c r="R51" i="18" s="1"/>
  <c r="K63" i="20"/>
  <c r="N57" i="20"/>
  <c r="N306" i="20" s="1"/>
  <c r="U15" i="18"/>
  <c r="U45" i="18" s="1"/>
  <c r="R71" i="20"/>
  <c r="AC74" i="29"/>
  <c r="P21" i="18"/>
  <c r="P51" i="18" s="1"/>
  <c r="I63" i="20"/>
  <c r="Q63" i="20"/>
  <c r="X21" i="18"/>
  <c r="X51" i="18" s="1"/>
  <c r="H156" i="27"/>
  <c r="H179" i="27"/>
  <c r="R196" i="3"/>
  <c r="R57" i="20"/>
  <c r="R306" i="20" s="1"/>
  <c r="Y15" i="18"/>
  <c r="Y45" i="18" s="1"/>
  <c r="L71" i="20"/>
  <c r="AF15" i="18"/>
  <c r="AF45" i="18" s="1"/>
  <c r="Y57" i="20"/>
  <c r="Y306" i="20" s="1"/>
  <c r="I57" i="20"/>
  <c r="I306" i="20" s="1"/>
  <c r="P15" i="18"/>
  <c r="P45" i="18" s="1"/>
  <c r="Q74" i="29"/>
  <c r="Z46" i="5"/>
  <c r="Z37" i="5"/>
  <c r="Z41" i="5"/>
  <c r="Z14" i="6"/>
  <c r="Z15" i="6"/>
  <c r="AL15" i="6" s="1"/>
  <c r="AL7" i="6"/>
  <c r="G179" i="27"/>
  <c r="G156" i="27"/>
  <c r="M57" i="3"/>
  <c r="M37" i="3"/>
  <c r="P52" i="6"/>
  <c r="J57" i="20"/>
  <c r="J306" i="20" s="1"/>
  <c r="Q15" i="18"/>
  <c r="Q45" i="18" s="1"/>
  <c r="S15" i="18"/>
  <c r="S45" i="18" s="1"/>
  <c r="L57" i="20"/>
  <c r="L306" i="20" s="1"/>
  <c r="T37" i="5"/>
  <c r="T46" i="5"/>
  <c r="T41" i="5"/>
  <c r="AE63" i="20"/>
  <c r="AL21" i="18"/>
  <c r="AL51" i="18" s="1"/>
  <c r="W74" i="29"/>
  <c r="P521" i="6" l="1"/>
  <c r="V521" i="21" s="1"/>
  <c r="P575" i="6"/>
  <c r="S521" i="6"/>
  <c r="Y521" i="21" s="1"/>
  <c r="S575" i="6"/>
  <c r="R521" i="6"/>
  <c r="X521" i="21" s="1"/>
  <c r="R575" i="6"/>
  <c r="AF74" i="29"/>
  <c r="M176" i="3"/>
  <c r="AL14" i="6"/>
  <c r="Z16" i="6"/>
  <c r="Z59" i="3"/>
  <c r="T75" i="20"/>
  <c r="U75" i="20"/>
  <c r="AA39" i="3"/>
  <c r="AE75" i="20"/>
  <c r="AK59" i="3"/>
  <c r="AA75" i="20"/>
  <c r="AG59" i="3"/>
  <c r="N29" i="20"/>
  <c r="W39" i="3"/>
  <c r="AB59" i="3"/>
  <c r="AB39" i="3"/>
  <c r="R39" i="3"/>
  <c r="L75" i="20"/>
  <c r="S71" i="20"/>
  <c r="G137" i="27" s="1"/>
  <c r="G139" i="27" s="1"/>
  <c r="I29" i="20"/>
  <c r="R75" i="20"/>
  <c r="X39" i="3"/>
  <c r="W75" i="20"/>
  <c r="N39" i="3"/>
  <c r="U39" i="3"/>
  <c r="M16" i="6"/>
  <c r="Y14" i="6"/>
  <c r="J75" i="20"/>
  <c r="P59" i="3"/>
  <c r="Z75" i="20"/>
  <c r="AE39" i="3"/>
  <c r="AB75" i="20"/>
  <c r="X75" i="20"/>
  <c r="AA21" i="18"/>
  <c r="T63" i="20"/>
  <c r="AF32" i="20"/>
  <c r="S59" i="3"/>
  <c r="S39" i="3"/>
  <c r="AI39" i="3"/>
  <c r="AC75" i="20"/>
  <c r="N47" i="20"/>
  <c r="U34" i="18" s="1"/>
  <c r="AD75" i="20"/>
  <c r="AJ59" i="3"/>
  <c r="I75" i="20"/>
  <c r="Q59" i="3"/>
  <c r="Q39" i="3"/>
  <c r="J122" i="27"/>
  <c r="AH306" i="20"/>
  <c r="V59" i="3"/>
  <c r="G75" i="20"/>
  <c r="M59" i="3"/>
  <c r="N75" i="20"/>
  <c r="T59" i="3"/>
  <c r="T39" i="3"/>
  <c r="M196" i="3"/>
  <c r="Z39" i="3"/>
  <c r="L47" i="20"/>
  <c r="S34" i="18" s="1"/>
  <c r="M47" i="20"/>
  <c r="T34" i="18" s="1"/>
  <c r="AA59" i="3"/>
  <c r="J29" i="20"/>
  <c r="K47" i="20"/>
  <c r="R34" i="18" s="1"/>
  <c r="N38" i="18"/>
  <c r="S50" i="20"/>
  <c r="AK39" i="3"/>
  <c r="AA38" i="18"/>
  <c r="AF50" i="20"/>
  <c r="AG39" i="3"/>
  <c r="N22" i="6"/>
  <c r="N52" i="6"/>
  <c r="N521" i="6" s="1"/>
  <c r="T521" i="21" s="1"/>
  <c r="Q75" i="20"/>
  <c r="W59" i="3"/>
  <c r="T22" i="6"/>
  <c r="T52" i="6"/>
  <c r="V75" i="20"/>
  <c r="AF306" i="20"/>
  <c r="R59" i="3"/>
  <c r="AF71" i="20"/>
  <c r="H137" i="27" s="1"/>
  <c r="H139" i="27" s="1"/>
  <c r="O22" i="6"/>
  <c r="O52" i="6"/>
  <c r="X59" i="3"/>
  <c r="Q52" i="6"/>
  <c r="Q22" i="6"/>
  <c r="AC59" i="3"/>
  <c r="AC39" i="3"/>
  <c r="L29" i="20"/>
  <c r="N59" i="3"/>
  <c r="H75" i="20"/>
  <c r="U59" i="3"/>
  <c r="O75" i="20"/>
  <c r="G182" i="20"/>
  <c r="S306" i="20"/>
  <c r="P39" i="3"/>
  <c r="AF59" i="3"/>
  <c r="AF39" i="3"/>
  <c r="M29" i="20"/>
  <c r="Y75" i="20"/>
  <c r="AE59" i="3"/>
  <c r="J47" i="20"/>
  <c r="Q34" i="18" s="1"/>
  <c r="K29" i="20"/>
  <c r="G63" i="20"/>
  <c r="N21" i="18"/>
  <c r="N51" i="18" s="1"/>
  <c r="S32" i="20"/>
  <c r="AH59" i="3"/>
  <c r="AH39" i="3"/>
  <c r="AD39" i="3"/>
  <c r="AD59" i="3"/>
  <c r="I122" i="27"/>
  <c r="AG306" i="20"/>
  <c r="M75" i="20"/>
  <c r="AI59" i="3"/>
  <c r="AJ39" i="3"/>
  <c r="O59" i="3"/>
  <c r="O39" i="3"/>
  <c r="K75" i="20"/>
  <c r="V39" i="3"/>
  <c r="P75" i="20"/>
  <c r="M39" i="3"/>
  <c r="I47" i="20"/>
  <c r="P34" i="18" s="1"/>
  <c r="Q521" i="6" l="1"/>
  <c r="W521" i="21" s="1"/>
  <c r="Q575" i="6"/>
  <c r="O521" i="6"/>
  <c r="U521" i="21" s="1"/>
  <c r="O575" i="6"/>
  <c r="T521" i="6"/>
  <c r="Z521" i="21" s="1"/>
  <c r="T575" i="6"/>
  <c r="S63" i="20"/>
  <c r="G126" i="27" s="1"/>
  <c r="M178" i="3"/>
  <c r="G30" i="20" s="1"/>
  <c r="Y39" i="3"/>
  <c r="G72" i="29"/>
  <c r="V178" i="3"/>
  <c r="P30" i="20" s="1"/>
  <c r="P72" i="29"/>
  <c r="O178" i="3"/>
  <c r="I30" i="20" s="1"/>
  <c r="I72" i="29"/>
  <c r="O198" i="3"/>
  <c r="I48" i="20" s="1"/>
  <c r="P36" i="18" s="1"/>
  <c r="I73" i="29"/>
  <c r="AJ178" i="3"/>
  <c r="AD30" i="20" s="1"/>
  <c r="AI198" i="3"/>
  <c r="AC48" i="20" s="1"/>
  <c r="AJ36" i="18" s="1"/>
  <c r="S571" i="6"/>
  <c r="S576" i="6" s="1"/>
  <c r="AE198" i="3"/>
  <c r="Y48" i="20" s="1"/>
  <c r="AF36" i="18" s="1"/>
  <c r="Y73" i="29"/>
  <c r="U198" i="3"/>
  <c r="O48" i="20" s="1"/>
  <c r="V36" i="18" s="1"/>
  <c r="O73" i="29"/>
  <c r="N198" i="3"/>
  <c r="H48" i="20" s="1"/>
  <c r="O36" i="18" s="1"/>
  <c r="H73" i="29"/>
  <c r="AC178" i="3"/>
  <c r="W30" i="20" s="1"/>
  <c r="W72" i="29"/>
  <c r="X198" i="3"/>
  <c r="R48" i="20" s="1"/>
  <c r="Y36" i="18" s="1"/>
  <c r="R73" i="29"/>
  <c r="R198" i="3"/>
  <c r="L48" i="20" s="1"/>
  <c r="S36" i="18" s="1"/>
  <c r="L73" i="29"/>
  <c r="N575" i="6"/>
  <c r="Z178" i="3"/>
  <c r="T30" i="20" s="1"/>
  <c r="AL39" i="3"/>
  <c r="T72" i="29"/>
  <c r="G47" i="20"/>
  <c r="T198" i="3"/>
  <c r="N48" i="20" s="1"/>
  <c r="U36" i="18" s="1"/>
  <c r="N73" i="29"/>
  <c r="P571" i="6"/>
  <c r="P576" i="6" s="1"/>
  <c r="M198" i="3"/>
  <c r="G48" i="20" s="1"/>
  <c r="Y59" i="3"/>
  <c r="G73" i="29"/>
  <c r="S75" i="20"/>
  <c r="G142" i="27" s="1"/>
  <c r="Q178" i="3"/>
  <c r="K30" i="20" s="1"/>
  <c r="K72" i="29"/>
  <c r="AJ198" i="3"/>
  <c r="AD48" i="20" s="1"/>
  <c r="AK36" i="18" s="1"/>
  <c r="S178" i="3"/>
  <c r="M30" i="20" s="1"/>
  <c r="M72" i="29"/>
  <c r="S198" i="3"/>
  <c r="M48" i="20" s="1"/>
  <c r="T36" i="18" s="1"/>
  <c r="M73" i="29"/>
  <c r="AE178" i="3"/>
  <c r="Y30" i="20" s="1"/>
  <c r="Y72" i="29"/>
  <c r="P198" i="3"/>
  <c r="J48" i="20" s="1"/>
  <c r="Q36" i="18" s="1"/>
  <c r="J73" i="29"/>
  <c r="X178" i="3"/>
  <c r="R30" i="20" s="1"/>
  <c r="R72" i="29"/>
  <c r="AB178" i="3"/>
  <c r="V30" i="20" s="1"/>
  <c r="V72" i="29"/>
  <c r="AB198" i="3"/>
  <c r="V48" i="20" s="1"/>
  <c r="AC36" i="18" s="1"/>
  <c r="V73" i="29"/>
  <c r="W178" i="3"/>
  <c r="Q30" i="20" s="1"/>
  <c r="Q72" i="29"/>
  <c r="U17" i="18"/>
  <c r="U47" i="18" s="1"/>
  <c r="N60" i="20"/>
  <c r="AK198" i="3"/>
  <c r="AE48" i="20" s="1"/>
  <c r="AL36" i="18" s="1"/>
  <c r="AA178" i="3"/>
  <c r="U30" i="20" s="1"/>
  <c r="U72" i="29"/>
  <c r="Z198" i="3"/>
  <c r="T48" i="20" s="1"/>
  <c r="AL59" i="3"/>
  <c r="T73" i="29"/>
  <c r="AD198" i="3"/>
  <c r="X48" i="20" s="1"/>
  <c r="AE36" i="18" s="1"/>
  <c r="X73" i="29"/>
  <c r="AD178" i="3"/>
  <c r="X30" i="20" s="1"/>
  <c r="X72" i="29"/>
  <c r="X76" i="29" s="1"/>
  <c r="AH178" i="3"/>
  <c r="AB30" i="20" s="1"/>
  <c r="AH198" i="3"/>
  <c r="AB48" i="20" s="1"/>
  <c r="AI36" i="18" s="1"/>
  <c r="K60" i="20"/>
  <c r="R17" i="18"/>
  <c r="R47" i="18" s="1"/>
  <c r="M60" i="20"/>
  <c r="T17" i="18"/>
  <c r="T47" i="18" s="1"/>
  <c r="AF178" i="3"/>
  <c r="Z30" i="20" s="1"/>
  <c r="Z72" i="29"/>
  <c r="AF198" i="3"/>
  <c r="Z48" i="20" s="1"/>
  <c r="AG36" i="18" s="1"/>
  <c r="Z73" i="29"/>
  <c r="P178" i="3"/>
  <c r="J30" i="20" s="1"/>
  <c r="J72" i="29"/>
  <c r="J76" i="29" s="1"/>
  <c r="L60" i="20"/>
  <c r="S17" i="18"/>
  <c r="S47" i="18" s="1"/>
  <c r="AC198" i="3"/>
  <c r="W48" i="20" s="1"/>
  <c r="AD36" i="18" s="1"/>
  <c r="W73" i="29"/>
  <c r="W198" i="3"/>
  <c r="Q48" i="20" s="1"/>
  <c r="X36" i="18" s="1"/>
  <c r="Q73" i="29"/>
  <c r="AG178" i="3"/>
  <c r="AA30" i="20" s="1"/>
  <c r="AA72" i="29"/>
  <c r="AK178" i="3"/>
  <c r="AE30" i="20" s="1"/>
  <c r="Q17" i="18"/>
  <c r="Q47" i="18" s="1"/>
  <c r="J60" i="20"/>
  <c r="AA198" i="3"/>
  <c r="U48" i="20" s="1"/>
  <c r="AB36" i="18" s="1"/>
  <c r="U73" i="29"/>
  <c r="T178" i="3"/>
  <c r="N30" i="20" s="1"/>
  <c r="N72" i="29"/>
  <c r="N76" i="29" s="1"/>
  <c r="V198" i="3"/>
  <c r="P48" i="20" s="1"/>
  <c r="W36" i="18" s="1"/>
  <c r="P73" i="29"/>
  <c r="Q198" i="3"/>
  <c r="K48" i="20" s="1"/>
  <c r="R36" i="18" s="1"/>
  <c r="K73" i="29"/>
  <c r="R571" i="6"/>
  <c r="R576" i="6" s="1"/>
  <c r="AI178" i="3"/>
  <c r="AC30" i="20" s="1"/>
  <c r="AF63" i="20"/>
  <c r="H126" i="27" s="1"/>
  <c r="AA51" i="18"/>
  <c r="M52" i="6"/>
  <c r="M521" i="6" s="1"/>
  <c r="S521" i="21" s="1"/>
  <c r="Y16" i="6"/>
  <c r="M22" i="6"/>
  <c r="U178" i="3"/>
  <c r="O30" i="20" s="1"/>
  <c r="O72" i="29"/>
  <c r="O76" i="29" s="1"/>
  <c r="N178" i="3"/>
  <c r="H30" i="20" s="1"/>
  <c r="H72" i="29"/>
  <c r="H76" i="29" s="1"/>
  <c r="P17" i="18"/>
  <c r="P47" i="18" s="1"/>
  <c r="I60" i="20"/>
  <c r="R178" i="3"/>
  <c r="L30" i="20" s="1"/>
  <c r="L72" i="29"/>
  <c r="L76" i="29" s="1"/>
  <c r="AG198" i="3"/>
  <c r="AA48" i="20" s="1"/>
  <c r="AH36" i="18" s="1"/>
  <c r="AA73" i="29"/>
  <c r="AF75" i="20"/>
  <c r="H142" i="27" s="1"/>
  <c r="AL16" i="6"/>
  <c r="G29" i="20"/>
  <c r="R76" i="29" l="1"/>
  <c r="Y76" i="29"/>
  <c r="N17" i="18"/>
  <c r="G60" i="20"/>
  <c r="H61" i="20"/>
  <c r="O19" i="18"/>
  <c r="O49" i="18" s="1"/>
  <c r="M31" i="6"/>
  <c r="M27" i="6"/>
  <c r="G160" i="20" s="1"/>
  <c r="M575" i="6"/>
  <c r="U19" i="18"/>
  <c r="U49" i="18" s="1"/>
  <c r="N61" i="20"/>
  <c r="AE61" i="20"/>
  <c r="AL19" i="18"/>
  <c r="AL49" i="18" s="1"/>
  <c r="Q571" i="6"/>
  <c r="Q576" i="6" s="1"/>
  <c r="Q19" i="18"/>
  <c r="Q49" i="18" s="1"/>
  <c r="J61" i="20"/>
  <c r="Z76" i="29"/>
  <c r="AG19" i="18"/>
  <c r="AG49" i="18" s="1"/>
  <c r="Z61" i="20"/>
  <c r="AB61" i="20"/>
  <c r="AI19" i="18"/>
  <c r="AI49" i="18" s="1"/>
  <c r="AA36" i="18"/>
  <c r="AF48" i="20"/>
  <c r="Y19" i="18"/>
  <c r="Y49" i="18" s="1"/>
  <c r="R61" i="20"/>
  <c r="Y61" i="20"/>
  <c r="AF19" i="18"/>
  <c r="AF49" i="18" s="1"/>
  <c r="M76" i="29"/>
  <c r="T19" i="18"/>
  <c r="T49" i="18" s="1"/>
  <c r="M61" i="20"/>
  <c r="K76" i="29"/>
  <c r="R19" i="18"/>
  <c r="R49" i="18" s="1"/>
  <c r="K61" i="20"/>
  <c r="N34" i="18"/>
  <c r="AA19" i="18"/>
  <c r="T61" i="20"/>
  <c r="AF30" i="20"/>
  <c r="AF61" i="20" s="1"/>
  <c r="H124" i="27" s="1"/>
  <c r="N571" i="6"/>
  <c r="N576" i="6" s="1"/>
  <c r="T571" i="6"/>
  <c r="T576" i="6" s="1"/>
  <c r="O571" i="6"/>
  <c r="O576" i="6" s="1"/>
  <c r="AK19" i="18"/>
  <c r="AK49" i="18" s="1"/>
  <c r="AD61" i="20"/>
  <c r="I76" i="29"/>
  <c r="P19" i="18"/>
  <c r="P49" i="18" s="1"/>
  <c r="I61" i="20"/>
  <c r="G76" i="29"/>
  <c r="S19" i="18"/>
  <c r="S49" i="18" s="1"/>
  <c r="L61" i="20"/>
  <c r="V19" i="18"/>
  <c r="V49" i="18" s="1"/>
  <c r="O61" i="20"/>
  <c r="AC61" i="20"/>
  <c r="AJ19" i="18"/>
  <c r="AJ49" i="18" s="1"/>
  <c r="AA76" i="29"/>
  <c r="AH19" i="18"/>
  <c r="AH49" i="18" s="1"/>
  <c r="AA61" i="20"/>
  <c r="AE19" i="18"/>
  <c r="AE49" i="18" s="1"/>
  <c r="X61" i="20"/>
  <c r="U76" i="29"/>
  <c r="U61" i="20"/>
  <c r="AB19" i="18"/>
  <c r="Q76" i="29"/>
  <c r="Q61" i="20"/>
  <c r="X19" i="18"/>
  <c r="X49" i="18" s="1"/>
  <c r="V76" i="29"/>
  <c r="V61" i="20"/>
  <c r="AC19" i="18"/>
  <c r="N36" i="18"/>
  <c r="S48" i="20"/>
  <c r="T76" i="29"/>
  <c r="W76" i="29"/>
  <c r="AD19" i="18"/>
  <c r="AD49" i="18" s="1"/>
  <c r="W61" i="20"/>
  <c r="P76" i="29"/>
  <c r="W19" i="18"/>
  <c r="W49" i="18" s="1"/>
  <c r="P61" i="20"/>
  <c r="N19" i="18"/>
  <c r="G61" i="20"/>
  <c r="S30" i="20"/>
  <c r="S61" i="20" s="1"/>
  <c r="G124" i="27" s="1"/>
  <c r="N49" i="18" l="1"/>
  <c r="AC49" i="18"/>
  <c r="AB49" i="18"/>
  <c r="M28" i="6"/>
  <c r="N27" i="6"/>
  <c r="H160" i="20" s="1"/>
  <c r="N32" i="6"/>
  <c r="AA49" i="18"/>
  <c r="M571" i="6"/>
  <c r="M33" i="6"/>
  <c r="N31" i="6"/>
  <c r="N47" i="18"/>
  <c r="H182" i="20" l="1"/>
  <c r="O32" i="6"/>
  <c r="O27" i="6"/>
  <c r="I160" i="20" s="1"/>
  <c r="M576" i="6"/>
  <c r="O31" i="6"/>
  <c r="N33" i="6"/>
  <c r="N28" i="6"/>
  <c r="O33" i="6" l="1"/>
  <c r="P31" i="6"/>
  <c r="P32" i="6"/>
  <c r="P27" i="6"/>
  <c r="J160" i="20" s="1"/>
  <c r="I182" i="20"/>
  <c r="O28" i="6"/>
  <c r="J182" i="20" l="1"/>
  <c r="Q32" i="6"/>
  <c r="Q27" i="6"/>
  <c r="K160" i="20" s="1"/>
  <c r="P28" i="6"/>
  <c r="P33" i="6"/>
  <c r="Q31" i="6"/>
  <c r="Q33" i="6" l="1"/>
  <c r="R31" i="6"/>
  <c r="R32" i="6"/>
  <c r="R27" i="6"/>
  <c r="L160" i="20" s="1"/>
  <c r="K182" i="20"/>
  <c r="Q28" i="6"/>
  <c r="R28" i="6" l="1"/>
  <c r="L182" i="20"/>
  <c r="S27" i="6"/>
  <c r="M160" i="20" s="1"/>
  <c r="S32" i="6"/>
  <c r="S31" i="6"/>
  <c r="R33" i="6"/>
  <c r="T27" i="6" l="1"/>
  <c r="N160" i="20" s="1"/>
  <c r="T32" i="6"/>
  <c r="U6" i="6"/>
  <c r="M182" i="20"/>
  <c r="T31" i="6"/>
  <c r="S33" i="6"/>
  <c r="S28" i="6"/>
  <c r="T33" i="6" l="1"/>
  <c r="N182" i="20"/>
  <c r="V6" i="6"/>
  <c r="U20" i="6"/>
  <c r="T28" i="6"/>
  <c r="U32" i="6" l="1"/>
  <c r="U19" i="6"/>
  <c r="U26" i="6"/>
  <c r="U52" i="6"/>
  <c r="W6" i="6"/>
  <c r="V20" i="6"/>
  <c r="U521" i="6" l="1"/>
  <c r="AA521" i="21" s="1"/>
  <c r="U575" i="6"/>
  <c r="V26" i="6"/>
  <c r="V19" i="6"/>
  <c r="V52" i="6"/>
  <c r="X6" i="6"/>
  <c r="W20" i="6"/>
  <c r="O182" i="20"/>
  <c r="U37" i="3"/>
  <c r="U57" i="3"/>
  <c r="U22" i="6"/>
  <c r="V521" i="6" l="1"/>
  <c r="AB521" i="21" s="1"/>
  <c r="V575" i="6"/>
  <c r="U31" i="6"/>
  <c r="U27" i="6"/>
  <c r="O160" i="20" s="1"/>
  <c r="U176" i="3"/>
  <c r="U571" i="6"/>
  <c r="U196" i="3"/>
  <c r="W19" i="6"/>
  <c r="W26" i="6"/>
  <c r="W52" i="6"/>
  <c r="V57" i="3"/>
  <c r="V37" i="3"/>
  <c r="V22" i="6"/>
  <c r="Z6" i="6"/>
  <c r="X20" i="6"/>
  <c r="W521" i="6" l="1"/>
  <c r="AC521" i="21" s="1"/>
  <c r="W575" i="6"/>
  <c r="V27" i="6"/>
  <c r="P160" i="20" s="1"/>
  <c r="V571" i="6"/>
  <c r="V576" i="6" s="1"/>
  <c r="V176" i="3"/>
  <c r="U576" i="6"/>
  <c r="U28" i="6"/>
  <c r="V32" i="6"/>
  <c r="AA6" i="6"/>
  <c r="Z20" i="6"/>
  <c r="X26" i="6"/>
  <c r="X19" i="6"/>
  <c r="X52" i="6"/>
  <c r="V196" i="3"/>
  <c r="W37" i="3"/>
  <c r="W57" i="3"/>
  <c r="W22" i="6"/>
  <c r="O47" i="20"/>
  <c r="O29" i="20"/>
  <c r="U33" i="6"/>
  <c r="V31" i="6"/>
  <c r="X521" i="6" l="1"/>
  <c r="AD521" i="21" s="1"/>
  <c r="X575" i="6"/>
  <c r="AE521" i="21"/>
  <c r="Y52" i="6"/>
  <c r="Y575" i="6" s="1"/>
  <c r="Y521" i="6"/>
  <c r="V28" i="6"/>
  <c r="O60" i="20"/>
  <c r="V17" i="18"/>
  <c r="W176" i="3"/>
  <c r="AB6" i="6"/>
  <c r="AA20" i="6"/>
  <c r="V33" i="6"/>
  <c r="W31" i="6"/>
  <c r="V34" i="18"/>
  <c r="W196" i="3"/>
  <c r="W571" i="6"/>
  <c r="P47" i="20"/>
  <c r="W34" i="18" s="1"/>
  <c r="X57" i="3"/>
  <c r="X37" i="3"/>
  <c r="X22" i="6"/>
  <c r="Y22" i="6" s="1"/>
  <c r="Z19" i="6"/>
  <c r="Z26" i="6"/>
  <c r="Z52" i="6"/>
  <c r="W27" i="6"/>
  <c r="Q160" i="20" s="1"/>
  <c r="P182" i="20"/>
  <c r="W32" i="6"/>
  <c r="P29" i="20"/>
  <c r="Z521" i="6" l="1"/>
  <c r="Z575" i="6"/>
  <c r="W28" i="6"/>
  <c r="X196" i="3"/>
  <c r="Y57" i="3"/>
  <c r="W17" i="18"/>
  <c r="W47" i="18" s="1"/>
  <c r="P60" i="20"/>
  <c r="Z57" i="3"/>
  <c r="Z37" i="3"/>
  <c r="Z22" i="6"/>
  <c r="X176" i="3"/>
  <c r="Y37" i="3"/>
  <c r="W33" i="6"/>
  <c r="X31" i="6"/>
  <c r="AA19" i="6"/>
  <c r="AA26" i="6"/>
  <c r="AA52" i="6"/>
  <c r="Q29" i="20"/>
  <c r="Q182" i="20"/>
  <c r="X32" i="6"/>
  <c r="X27" i="6"/>
  <c r="R160" i="20" s="1"/>
  <c r="W576" i="6"/>
  <c r="Q47" i="20"/>
  <c r="X34" i="18" s="1"/>
  <c r="AC6" i="6"/>
  <c r="AB20" i="6"/>
  <c r="X571" i="6"/>
  <c r="X576" i="6" s="1"/>
  <c r="V47" i="18"/>
  <c r="AA521" i="6" l="1"/>
  <c r="AG521" i="21" s="1"/>
  <c r="AA575" i="6"/>
  <c r="AF521" i="21"/>
  <c r="Y571" i="6"/>
  <c r="Y576" i="6" s="1"/>
  <c r="AB26" i="6"/>
  <c r="AB19" i="6"/>
  <c r="AB52" i="6"/>
  <c r="AD6" i="6"/>
  <c r="AC20" i="6"/>
  <c r="S160" i="20"/>
  <c r="X28" i="6"/>
  <c r="AA57" i="3"/>
  <c r="AA37" i="3"/>
  <c r="AA22" i="6"/>
  <c r="Z196" i="3"/>
  <c r="Z571" i="6"/>
  <c r="R47" i="20"/>
  <c r="Y34" i="18" s="1"/>
  <c r="Z27" i="6"/>
  <c r="T160" i="20" s="1"/>
  <c r="R182" i="20"/>
  <c r="S182" i="20" s="1"/>
  <c r="Z32" i="6"/>
  <c r="X17" i="18"/>
  <c r="X47" i="18" s="1"/>
  <c r="Q60" i="20"/>
  <c r="Z31" i="6"/>
  <c r="X33" i="6"/>
  <c r="R29" i="20"/>
  <c r="Z176" i="3"/>
  <c r="AB521" i="6" l="1"/>
  <c r="AH521" i="21" s="1"/>
  <c r="AB575" i="6"/>
  <c r="T182" i="20"/>
  <c r="AA32" i="6"/>
  <c r="AA27" i="6"/>
  <c r="U160" i="20" s="1"/>
  <c r="Z28" i="6"/>
  <c r="Z576" i="6"/>
  <c r="AA196" i="3"/>
  <c r="AA571" i="6"/>
  <c r="AA576" i="6" s="1"/>
  <c r="AC19" i="6"/>
  <c r="AC26" i="6"/>
  <c r="AC52" i="6"/>
  <c r="AB37" i="3"/>
  <c r="AB57" i="3"/>
  <c r="AB22" i="6"/>
  <c r="T29" i="20"/>
  <c r="S29" i="20"/>
  <c r="R60" i="20"/>
  <c r="Y17" i="18"/>
  <c r="Y47" i="18" s="1"/>
  <c r="Z33" i="6"/>
  <c r="AA31" i="6"/>
  <c r="T47" i="20"/>
  <c r="AA176" i="3"/>
  <c r="S47" i="20"/>
  <c r="AE6" i="6"/>
  <c r="AD20" i="6"/>
  <c r="AC521" i="6" l="1"/>
  <c r="AC575" i="6"/>
  <c r="S60" i="20"/>
  <c r="G123" i="27" s="1"/>
  <c r="AD19" i="6"/>
  <c r="AD26" i="6"/>
  <c r="AD52" i="6"/>
  <c r="U29" i="20"/>
  <c r="AA34" i="18"/>
  <c r="AB176" i="3"/>
  <c r="AB27" i="6"/>
  <c r="V160" i="20" s="1"/>
  <c r="U182" i="20"/>
  <c r="AB32" i="6"/>
  <c r="AB571" i="6"/>
  <c r="AB576" i="6" s="1"/>
  <c r="AF6" i="6"/>
  <c r="AE20" i="6"/>
  <c r="AB31" i="6"/>
  <c r="AA33" i="6"/>
  <c r="AA17" i="18"/>
  <c r="AA47" i="18" s="1"/>
  <c r="T60" i="20"/>
  <c r="AB196" i="3"/>
  <c r="AC57" i="3"/>
  <c r="AC37" i="3"/>
  <c r="AC22" i="6"/>
  <c r="U47" i="20"/>
  <c r="AB34" i="18" s="1"/>
  <c r="AA28" i="6"/>
  <c r="AD521" i="6" l="1"/>
  <c r="AJ521" i="21" s="1"/>
  <c r="AD575" i="6"/>
  <c r="AI521" i="21"/>
  <c r="AC176" i="3"/>
  <c r="AB33" i="6"/>
  <c r="AC31" i="6"/>
  <c r="AE19" i="6"/>
  <c r="AE26" i="6"/>
  <c r="AE52" i="6"/>
  <c r="AD37" i="3"/>
  <c r="AD57" i="3"/>
  <c r="AD22" i="6"/>
  <c r="AC196" i="3"/>
  <c r="AC571" i="6"/>
  <c r="AC576" i="6" s="1"/>
  <c r="V47" i="20"/>
  <c r="AC34" i="18" s="1"/>
  <c r="AG6" i="6"/>
  <c r="AG20" i="6" s="1"/>
  <c r="AF20" i="6"/>
  <c r="AC32" i="6"/>
  <c r="V182" i="20"/>
  <c r="AC27" i="6"/>
  <c r="W160" i="20" s="1"/>
  <c r="AB28" i="6"/>
  <c r="V29" i="20"/>
  <c r="U60" i="20"/>
  <c r="AB17" i="18"/>
  <c r="AB47" i="18" s="1"/>
  <c r="AE521" i="6" l="1"/>
  <c r="AE575" i="6"/>
  <c r="AG19" i="6"/>
  <c r="AG26" i="6"/>
  <c r="AG52" i="6"/>
  <c r="AD176" i="3"/>
  <c r="AE37" i="3"/>
  <c r="AE57" i="3"/>
  <c r="AE22" i="6"/>
  <c r="W29" i="20"/>
  <c r="AC17" i="18"/>
  <c r="AC47" i="18" s="1"/>
  <c r="V60" i="20"/>
  <c r="AC28" i="6"/>
  <c r="W182" i="20"/>
  <c r="AD32" i="6"/>
  <c r="AD27" i="6"/>
  <c r="X160" i="20" s="1"/>
  <c r="AF19" i="6"/>
  <c r="AF26" i="6"/>
  <c r="AF52" i="6"/>
  <c r="W47" i="20"/>
  <c r="AD34" i="18" s="1"/>
  <c r="AD196" i="3"/>
  <c r="AD571" i="6"/>
  <c r="AD576" i="6" s="1"/>
  <c r="AC33" i="6"/>
  <c r="AD31" i="6"/>
  <c r="AF521" i="6" l="1"/>
  <c r="AL521" i="21" s="1"/>
  <c r="AF575" i="6"/>
  <c r="AG521" i="6"/>
  <c r="AM521" i="21" s="1"/>
  <c r="AG575" i="6"/>
  <c r="AK521" i="21"/>
  <c r="X47" i="20"/>
  <c r="AF57" i="3"/>
  <c r="AF37" i="3"/>
  <c r="AF22" i="6"/>
  <c r="X182" i="20"/>
  <c r="AE32" i="6"/>
  <c r="AE27" i="6"/>
  <c r="Y160" i="20" s="1"/>
  <c r="W60" i="20"/>
  <c r="AD17" i="18"/>
  <c r="AD47" i="18" s="1"/>
  <c r="AE196" i="3"/>
  <c r="AE571" i="6"/>
  <c r="AE576" i="6" s="1"/>
  <c r="AG37" i="3"/>
  <c r="AG57" i="3"/>
  <c r="AG22" i="6"/>
  <c r="AE31" i="6"/>
  <c r="AD33" i="6"/>
  <c r="AD28" i="6"/>
  <c r="AE176" i="3"/>
  <c r="X29" i="20"/>
  <c r="X60" i="20" l="1"/>
  <c r="AE17" i="18"/>
  <c r="Y29" i="20"/>
  <c r="AG196" i="3"/>
  <c r="AG571" i="6"/>
  <c r="AG576" i="6" s="1"/>
  <c r="AF27" i="6"/>
  <c r="Z160" i="20" s="1"/>
  <c r="AF32" i="6"/>
  <c r="Y182" i="20"/>
  <c r="AF196" i="3"/>
  <c r="AF571" i="6"/>
  <c r="AF576" i="6" s="1"/>
  <c r="AF31" i="6"/>
  <c r="AE33" i="6"/>
  <c r="AG176" i="3"/>
  <c r="Y47" i="20"/>
  <c r="AF34" i="18" s="1"/>
  <c r="AE28" i="6"/>
  <c r="AF176" i="3"/>
  <c r="AE34" i="18"/>
  <c r="AF33" i="6" l="1"/>
  <c r="AG31" i="6"/>
  <c r="AF28" i="6"/>
  <c r="AA47" i="20"/>
  <c r="AH34" i="18" s="1"/>
  <c r="Y60" i="20"/>
  <c r="AF17" i="18"/>
  <c r="AF47" i="18" s="1"/>
  <c r="AE47" i="18"/>
  <c r="Z29" i="20"/>
  <c r="AA29" i="20"/>
  <c r="Z47" i="20"/>
  <c r="AG34" i="18" s="1"/>
  <c r="AH6" i="6"/>
  <c r="AG27" i="6"/>
  <c r="AA160" i="20" s="1"/>
  <c r="Z182" i="20"/>
  <c r="AG32" i="6"/>
  <c r="AA182" i="20" l="1"/>
  <c r="AG28" i="6"/>
  <c r="AH17" i="18"/>
  <c r="AH47" i="18" s="1"/>
  <c r="AA60" i="20"/>
  <c r="Z60" i="20"/>
  <c r="AG17" i="18"/>
  <c r="AG47" i="18" s="1"/>
  <c r="AG33" i="6"/>
  <c r="AK6" i="6"/>
  <c r="AJ6" i="6"/>
  <c r="AJ20" i="6" s="1"/>
  <c r="AI6" i="6"/>
  <c r="AI20" i="6" s="1"/>
  <c r="AH20" i="6"/>
  <c r="AH19" i="6" l="1"/>
  <c r="AH26" i="6"/>
  <c r="AH52" i="6"/>
  <c r="AJ19" i="6"/>
  <c r="AJ26" i="6"/>
  <c r="AJ52" i="6"/>
  <c r="AH32" i="6"/>
  <c r="AI26" i="6"/>
  <c r="AI19" i="6"/>
  <c r="AI52" i="6"/>
  <c r="AM6" i="6"/>
  <c r="AM20" i="6" s="1"/>
  <c r="AK20" i="6"/>
  <c r="AI521" i="6" l="1"/>
  <c r="AO521" i="21" s="1"/>
  <c r="AI575" i="6"/>
  <c r="AJ521" i="6"/>
  <c r="AP521" i="21" s="1"/>
  <c r="AJ575" i="6"/>
  <c r="AH521" i="6"/>
  <c r="AN521" i="21" s="1"/>
  <c r="AH575" i="6"/>
  <c r="AM26" i="6"/>
  <c r="AM19" i="6"/>
  <c r="AI37" i="3"/>
  <c r="AI57" i="3"/>
  <c r="AI22" i="6"/>
  <c r="AB182" i="20"/>
  <c r="AJ37" i="3"/>
  <c r="AJ57" i="3"/>
  <c r="AJ22" i="6"/>
  <c r="AK19" i="6"/>
  <c r="AK26" i="6"/>
  <c r="AK52" i="6"/>
  <c r="AH37" i="3"/>
  <c r="AH57" i="3"/>
  <c r="AH22" i="6"/>
  <c r="AK521" i="6" l="1"/>
  <c r="AK575" i="6"/>
  <c r="AH196" i="3"/>
  <c r="AB73" i="29"/>
  <c r="AH571" i="6"/>
  <c r="AH576" i="6" s="1"/>
  <c r="AL52" i="6"/>
  <c r="AL575" i="6" s="1"/>
  <c r="AK37" i="3"/>
  <c r="AK57" i="3"/>
  <c r="AL57" i="3" s="1"/>
  <c r="AK22" i="6"/>
  <c r="AL22" i="6" s="1"/>
  <c r="AJ176" i="3"/>
  <c r="AD72" i="29"/>
  <c r="AI176" i="3"/>
  <c r="AC72" i="29"/>
  <c r="AH27" i="6"/>
  <c r="AB160" i="20" s="1"/>
  <c r="AH31" i="6"/>
  <c r="AH176" i="3"/>
  <c r="AB72" i="29"/>
  <c r="AI571" i="6"/>
  <c r="AI576" i="6" s="1"/>
  <c r="AJ196" i="3"/>
  <c r="AD73" i="29"/>
  <c r="AJ571" i="6"/>
  <c r="AJ576" i="6" s="1"/>
  <c r="AI196" i="3"/>
  <c r="AC73" i="29"/>
  <c r="AM57" i="3"/>
  <c r="AM37" i="3"/>
  <c r="AQ521" i="21" l="1"/>
  <c r="AL521" i="6"/>
  <c r="AR521" i="21"/>
  <c r="AD76" i="29"/>
  <c r="AM176" i="3"/>
  <c r="AD29" i="20"/>
  <c r="AK176" i="3"/>
  <c r="AE72" i="29"/>
  <c r="AF72" i="29" s="1"/>
  <c r="AL37" i="3"/>
  <c r="AC47" i="20"/>
  <c r="AJ34" i="18" s="1"/>
  <c r="AI31" i="6"/>
  <c r="AH33" i="6"/>
  <c r="AM196" i="3"/>
  <c r="AD47" i="20"/>
  <c r="AK34" i="18" s="1"/>
  <c r="AB76" i="29"/>
  <c r="AB29" i="20"/>
  <c r="AI32" i="6"/>
  <c r="AH28" i="6"/>
  <c r="AI27" i="6"/>
  <c r="AC160" i="20" s="1"/>
  <c r="AC76" i="29"/>
  <c r="AC29" i="20"/>
  <c r="AK196" i="3"/>
  <c r="AE73" i="29"/>
  <c r="AF73" i="29" s="1"/>
  <c r="AK571" i="6"/>
  <c r="AB47" i="20"/>
  <c r="AI34" i="18" s="1"/>
  <c r="AK576" i="6" l="1"/>
  <c r="AL571" i="6"/>
  <c r="AL576" i="6" s="1"/>
  <c r="AE47" i="20"/>
  <c r="AJ17" i="18"/>
  <c r="AJ47" i="18" s="1"/>
  <c r="AC60" i="20"/>
  <c r="AI28" i="6"/>
  <c r="AJ32" i="6"/>
  <c r="AJ27" i="6"/>
  <c r="AD160" i="20" s="1"/>
  <c r="AC182" i="20"/>
  <c r="AF76" i="29"/>
  <c r="AG47" i="20"/>
  <c r="AN34" i="18" s="1"/>
  <c r="AJ31" i="6"/>
  <c r="AI33" i="6"/>
  <c r="AB60" i="20"/>
  <c r="AI17" i="18"/>
  <c r="AI47" i="18" s="1"/>
  <c r="AE76" i="29"/>
  <c r="AE29" i="20"/>
  <c r="AK17" i="18"/>
  <c r="AK47" i="18" s="1"/>
  <c r="AD60" i="20"/>
  <c r="AG29" i="20"/>
  <c r="AJ28" i="6" l="1"/>
  <c r="AG60" i="20"/>
  <c r="I123" i="27" s="1"/>
  <c r="AN17" i="18"/>
  <c r="AN47" i="18" s="1"/>
  <c r="AE60" i="20"/>
  <c r="AL17" i="18"/>
  <c r="AF29" i="20"/>
  <c r="AJ33" i="6"/>
  <c r="AK31" i="6"/>
  <c r="AK27" i="6"/>
  <c r="AE160" i="20" s="1"/>
  <c r="AD182" i="20"/>
  <c r="AK32" i="6"/>
  <c r="AL34" i="18"/>
  <c r="AF47" i="20"/>
  <c r="AK33" i="6" l="1"/>
  <c r="AL47" i="18"/>
  <c r="AE182" i="20"/>
  <c r="AF182" i="20" s="1"/>
  <c r="AF160" i="20"/>
  <c r="AK28" i="6"/>
  <c r="AF60" i="20"/>
  <c r="H123" i="27" s="1"/>
  <c r="AM21" i="5" l="1"/>
  <c r="AM22" i="5" s="1"/>
  <c r="AM24" i="5" s="1"/>
  <c r="AM13" i="5"/>
  <c r="AM56" i="5" s="1"/>
  <c r="AM57" i="5" s="1"/>
  <c r="AM53" i="5" s="1"/>
  <c r="AM7" i="6" l="1"/>
  <c r="AM47" i="5"/>
  <c r="AG74" i="20" s="1"/>
  <c r="I141" i="27" s="1"/>
  <c r="AM41" i="3"/>
  <c r="AM180" i="3" s="1"/>
  <c r="AG32" i="20" s="1"/>
  <c r="AM77" i="3"/>
  <c r="AM213" i="3" s="1"/>
  <c r="AG77" i="20" s="1"/>
  <c r="I144" i="27" s="1"/>
  <c r="AM61" i="3"/>
  <c r="AM200" i="3" s="1"/>
  <c r="AG50" i="20" s="1"/>
  <c r="AN38" i="18" s="1"/>
  <c r="AM14" i="5"/>
  <c r="AM16" i="5" l="1"/>
  <c r="AM33" i="5"/>
  <c r="AN21" i="18"/>
  <c r="AN51" i="18" s="1"/>
  <c r="AG63" i="20"/>
  <c r="I126" i="27" s="1"/>
  <c r="AM14" i="6"/>
  <c r="AM15" i="6"/>
  <c r="AM32" i="6"/>
  <c r="AM16" i="6" l="1"/>
  <c r="AM22" i="6" s="1"/>
  <c r="AG182" i="20"/>
  <c r="AM46" i="5"/>
  <c r="AM37" i="5"/>
  <c r="AM41" i="5"/>
  <c r="AG74" i="29"/>
  <c r="AM52" i="6" l="1"/>
  <c r="AM575" i="6" s="1"/>
  <c r="AM59" i="3"/>
  <c r="AG75" i="20"/>
  <c r="I142" i="27" s="1"/>
  <c r="AM39" i="3"/>
  <c r="AM27" i="6"/>
  <c r="AG160" i="20" s="1"/>
  <c r="AM31" i="6"/>
  <c r="AM521" i="6" l="1"/>
  <c r="AM33" i="6"/>
  <c r="AM571" i="6"/>
  <c r="AM576" i="6" s="1"/>
  <c r="AM198" i="3"/>
  <c r="AG48" i="20" s="1"/>
  <c r="AN36" i="18" s="1"/>
  <c r="AG73" i="29"/>
  <c r="AM28" i="6"/>
  <c r="AN6" i="6"/>
  <c r="AN20" i="6" s="1"/>
  <c r="AM178" i="3"/>
  <c r="AG30" i="20" s="1"/>
  <c r="AG72" i="29"/>
  <c r="AS521" i="21" l="1"/>
  <c r="AG76" i="29"/>
  <c r="AN19" i="6"/>
  <c r="AN26" i="6"/>
  <c r="AN19" i="18"/>
  <c r="AN49" i="18" s="1"/>
  <c r="AG61" i="20"/>
  <c r="I124" i="27" s="1"/>
  <c r="AN57" i="3" l="1"/>
  <c r="AN37" i="3"/>
  <c r="AN176" i="3" l="1"/>
  <c r="AN196" i="3"/>
  <c r="AH47" i="20" l="1"/>
  <c r="AO34" i="18" s="1"/>
  <c r="AH29" i="20"/>
  <c r="AO17" i="18" l="1"/>
  <c r="AO47" i="18" s="1"/>
  <c r="AH60" i="20"/>
  <c r="J123" i="27" s="1"/>
  <c r="AN13" i="5" l="1"/>
  <c r="AN56" i="5" s="1"/>
  <c r="AN57" i="5" s="1"/>
  <c r="AN53" i="5" s="1"/>
  <c r="AN21" i="5"/>
  <c r="AN22" i="5" s="1"/>
  <c r="AN24" i="5" s="1"/>
  <c r="AN14" i="5" l="1"/>
  <c r="AN16" i="5" s="1"/>
  <c r="AN47" i="5"/>
  <c r="AH74" i="20" s="1"/>
  <c r="J141" i="27" s="1"/>
  <c r="AN7" i="6"/>
  <c r="AN41" i="3"/>
  <c r="AN180" i="3" s="1"/>
  <c r="AH32" i="20" s="1"/>
  <c r="AN77" i="3"/>
  <c r="AN213" i="3" s="1"/>
  <c r="AH77" i="20" s="1"/>
  <c r="J144" i="27" s="1"/>
  <c r="AN61" i="3"/>
  <c r="AN200" i="3" s="1"/>
  <c r="AH50" i="20" s="1"/>
  <c r="AO38" i="18" s="1"/>
  <c r="AN33" i="5" l="1"/>
  <c r="AN15" i="6"/>
  <c r="AN14" i="6"/>
  <c r="AN32" i="6"/>
  <c r="AH63" i="20"/>
  <c r="J126" i="27" s="1"/>
  <c r="AO21" i="18"/>
  <c r="AO51" i="18" s="1"/>
  <c r="AN41" i="5"/>
  <c r="AN46" i="5"/>
  <c r="AN37" i="5"/>
  <c r="AH74" i="29"/>
  <c r="AN16" i="6" l="1"/>
  <c r="AN22" i="6" s="1"/>
  <c r="AH75" i="20"/>
  <c r="J142" i="27" s="1"/>
  <c r="AN39" i="3"/>
  <c r="AN59" i="3"/>
  <c r="AH182" i="20"/>
  <c r="AN52" i="6" l="1"/>
  <c r="AN198" i="3"/>
  <c r="AH48" i="20" s="1"/>
  <c r="AO36" i="18" s="1"/>
  <c r="AH73" i="29"/>
  <c r="AN178" i="3"/>
  <c r="AH30" i="20" s="1"/>
  <c r="AH72" i="29"/>
  <c r="AN27" i="6"/>
  <c r="AH160" i="20" s="1"/>
  <c r="AN31" i="6"/>
  <c r="AN521" i="6" l="1"/>
  <c r="AT521" i="21" s="1"/>
  <c r="AN575" i="6"/>
  <c r="AH76" i="29"/>
  <c r="AN33" i="6"/>
  <c r="AH61" i="20"/>
  <c r="J124" i="27" s="1"/>
  <c r="AO19" i="18"/>
  <c r="AN28" i="6"/>
  <c r="AO6" i="6"/>
  <c r="AN571" i="6"/>
  <c r="AN576" i="6" s="1"/>
  <c r="AO49" i="18" l="1"/>
  <c r="AA33" i="9" l="1"/>
  <c r="AQ33" i="9"/>
  <c r="AR33" i="9" s="1"/>
  <c r="AS33" i="9" s="1"/>
  <c r="AT33" i="9" s="1"/>
  <c r="AU33" i="9" s="1"/>
  <c r="AV33" i="9" s="1"/>
  <c r="AW33" i="9" s="1"/>
  <c r="AX33" i="9" s="1"/>
  <c r="AY33" i="9" s="1"/>
  <c r="AN33" i="9"/>
  <c r="AC497" i="9" l="1"/>
  <c r="AG497" i="21" s="1"/>
  <c r="AE497" i="9"/>
  <c r="AI497" i="21" s="1"/>
  <c r="AG497" i="9"/>
  <c r="AK497" i="21" s="1"/>
  <c r="AI497" i="9"/>
  <c r="AM497" i="21" s="1"/>
  <c r="AK497" i="9"/>
  <c r="AO497" i="21" s="1"/>
  <c r="AM497" i="9"/>
  <c r="AQ497" i="21" s="1"/>
  <c r="P497" i="9"/>
  <c r="T497" i="21" s="1"/>
  <c r="R497" i="9"/>
  <c r="V497" i="21" s="1"/>
  <c r="T497" i="9"/>
  <c r="X497" i="21" s="1"/>
  <c r="V497" i="9"/>
  <c r="Z497" i="21" s="1"/>
  <c r="X497" i="9"/>
  <c r="AB497" i="21" s="1"/>
  <c r="Z497" i="9"/>
  <c r="AD497" i="21" s="1"/>
  <c r="AN182" i="9"/>
  <c r="AP469" i="9"/>
  <c r="AT469" i="21" s="1"/>
  <c r="AO473" i="9"/>
  <c r="AS473" i="21" s="1"/>
  <c r="AO456" i="9"/>
  <c r="AS456" i="21" s="1"/>
  <c r="AM473" i="9"/>
  <c r="AQ473" i="21" s="1"/>
  <c r="AL473" i="9"/>
  <c r="AP473" i="21" s="1"/>
  <c r="AK473" i="9"/>
  <c r="AO473" i="21" s="1"/>
  <c r="AJ473" i="9"/>
  <c r="AI473" i="9"/>
  <c r="AM473" i="21" s="1"/>
  <c r="AH473" i="9"/>
  <c r="AL473" i="21" s="1"/>
  <c r="AG473" i="9"/>
  <c r="AK473" i="21" s="1"/>
  <c r="AF473" i="9"/>
  <c r="AJ473" i="21" s="1"/>
  <c r="AE473" i="9"/>
  <c r="AI473" i="21" s="1"/>
  <c r="AD473" i="9"/>
  <c r="AH473" i="21" s="1"/>
  <c r="AC473" i="9"/>
  <c r="AG473" i="21" s="1"/>
  <c r="AM456" i="9"/>
  <c r="AQ456" i="21" s="1"/>
  <c r="AL456" i="9"/>
  <c r="AP456" i="21" s="1"/>
  <c r="AK456" i="9"/>
  <c r="AO456" i="21" s="1"/>
  <c r="AJ456" i="9"/>
  <c r="AN456" i="21" s="1"/>
  <c r="AI456" i="9"/>
  <c r="AM456" i="21" s="1"/>
  <c r="AH456" i="9"/>
  <c r="AL456" i="21" s="1"/>
  <c r="AG456" i="9"/>
  <c r="AK456" i="21" s="1"/>
  <c r="AF456" i="9"/>
  <c r="AJ456" i="21" s="1"/>
  <c r="AE456" i="9"/>
  <c r="AI456" i="21" s="1"/>
  <c r="AD456" i="9"/>
  <c r="AH456" i="21" s="1"/>
  <c r="AC456" i="9"/>
  <c r="AG456" i="21" s="1"/>
  <c r="Z473" i="9"/>
  <c r="AD473" i="21" s="1"/>
  <c r="Y473" i="9"/>
  <c r="AC473" i="21" s="1"/>
  <c r="X473" i="9"/>
  <c r="AB473" i="21" s="1"/>
  <c r="W473" i="9"/>
  <c r="AA473" i="21" s="1"/>
  <c r="V473" i="9"/>
  <c r="Z473" i="21" s="1"/>
  <c r="U473" i="9"/>
  <c r="Y473" i="21" s="1"/>
  <c r="T473" i="9"/>
  <c r="X473" i="21" s="1"/>
  <c r="S473" i="9"/>
  <c r="W473" i="21" s="1"/>
  <c r="R473" i="9"/>
  <c r="V473" i="21" s="1"/>
  <c r="Q473" i="9"/>
  <c r="U473" i="21" s="1"/>
  <c r="P473" i="9"/>
  <c r="T473" i="21" s="1"/>
  <c r="Z456" i="9"/>
  <c r="AD456" i="21" s="1"/>
  <c r="Y456" i="9"/>
  <c r="AC456" i="21" s="1"/>
  <c r="X456" i="9"/>
  <c r="AB456" i="21" s="1"/>
  <c r="W456" i="9"/>
  <c r="AA456" i="21" s="1"/>
  <c r="V456" i="9"/>
  <c r="Z456" i="21" s="1"/>
  <c r="U456" i="9"/>
  <c r="Y456" i="21" s="1"/>
  <c r="T456" i="9"/>
  <c r="X456" i="21" s="1"/>
  <c r="S456" i="9"/>
  <c r="W456" i="21" s="1"/>
  <c r="R456" i="9"/>
  <c r="V456" i="21" s="1"/>
  <c r="Q456" i="9"/>
  <c r="U456" i="21" s="1"/>
  <c r="P456" i="9"/>
  <c r="T456" i="21" s="1"/>
  <c r="Q447" i="9" l="1"/>
  <c r="U447" i="21" s="1"/>
  <c r="S447" i="9"/>
  <c r="W447" i="21" s="1"/>
  <c r="U447" i="9"/>
  <c r="Y447" i="21" s="1"/>
  <c r="W447" i="9"/>
  <c r="AA447" i="21" s="1"/>
  <c r="Y447" i="9"/>
  <c r="AC447" i="21" s="1"/>
  <c r="O473" i="9"/>
  <c r="AA29" i="9"/>
  <c r="AC447" i="9"/>
  <c r="AG447" i="21" s="1"/>
  <c r="AE447" i="9"/>
  <c r="AI447" i="21" s="1"/>
  <c r="AG447" i="9"/>
  <c r="AK447" i="21" s="1"/>
  <c r="AI447" i="9"/>
  <c r="AM447" i="21" s="1"/>
  <c r="AK447" i="9"/>
  <c r="AO447" i="21" s="1"/>
  <c r="AM447" i="9"/>
  <c r="AQ447" i="21" s="1"/>
  <c r="AB473" i="9"/>
  <c r="AN29" i="9"/>
  <c r="AN25" i="9"/>
  <c r="AB447" i="9"/>
  <c r="AO447" i="9"/>
  <c r="AS447" i="21" s="1"/>
  <c r="AP564" i="9"/>
  <c r="AT564" i="21" s="1"/>
  <c r="AQ181" i="9"/>
  <c r="AO564" i="9"/>
  <c r="AS564" i="21" s="1"/>
  <c r="Q564" i="9"/>
  <c r="U564" i="21" s="1"/>
  <c r="U564" i="9"/>
  <c r="Y564" i="21" s="1"/>
  <c r="Y564" i="9"/>
  <c r="AC564" i="21" s="1"/>
  <c r="P447" i="9"/>
  <c r="T447" i="21" s="1"/>
  <c r="R447" i="9"/>
  <c r="V447" i="21" s="1"/>
  <c r="T447" i="9"/>
  <c r="X447" i="21" s="1"/>
  <c r="V447" i="9"/>
  <c r="Z447" i="21" s="1"/>
  <c r="X447" i="9"/>
  <c r="AB447" i="21" s="1"/>
  <c r="Z447" i="9"/>
  <c r="AD447" i="21" s="1"/>
  <c r="O456" i="9"/>
  <c r="AA28" i="9"/>
  <c r="AA25" i="9"/>
  <c r="O447" i="9"/>
  <c r="AD447" i="9"/>
  <c r="AH447" i="21" s="1"/>
  <c r="AF447" i="9"/>
  <c r="AJ447" i="21" s="1"/>
  <c r="AH447" i="9"/>
  <c r="AL447" i="21" s="1"/>
  <c r="AJ447" i="9"/>
  <c r="AN447" i="21" s="1"/>
  <c r="AL447" i="9"/>
  <c r="AP447" i="21" s="1"/>
  <c r="AN473" i="21"/>
  <c r="AB456" i="9"/>
  <c r="AN28" i="9"/>
  <c r="AQ25" i="9"/>
  <c r="AP447" i="9"/>
  <c r="AT447" i="21" s="1"/>
  <c r="AQ28" i="9"/>
  <c r="AP456" i="9"/>
  <c r="AT456" i="21" s="1"/>
  <c r="AP473" i="9"/>
  <c r="AT473" i="21" s="1"/>
  <c r="AQ29" i="9"/>
  <c r="O564" i="9"/>
  <c r="AA181" i="9"/>
  <c r="P564" i="9"/>
  <c r="T564" i="21" s="1"/>
  <c r="R564" i="9"/>
  <c r="V564" i="21" s="1"/>
  <c r="S564" i="9"/>
  <c r="W564" i="21" s="1"/>
  <c r="T564" i="9"/>
  <c r="X564" i="21" s="1"/>
  <c r="V564" i="9"/>
  <c r="Z564" i="21" s="1"/>
  <c r="W564" i="9"/>
  <c r="AA564" i="21" s="1"/>
  <c r="X564" i="9"/>
  <c r="AB564" i="21" s="1"/>
  <c r="Z564" i="9"/>
  <c r="AD564" i="21" s="1"/>
  <c r="AQ182" i="9"/>
  <c r="AR182" i="9" s="1"/>
  <c r="AS182" i="9" s="1"/>
  <c r="AT182" i="9" s="1"/>
  <c r="AU182" i="9" s="1"/>
  <c r="AV182" i="9" s="1"/>
  <c r="AW182" i="9" s="1"/>
  <c r="AX182" i="9" s="1"/>
  <c r="AY182" i="9" s="1"/>
  <c r="Y562" i="9"/>
  <c r="AC562" i="21" s="1"/>
  <c r="W562" i="9"/>
  <c r="AA562" i="21" s="1"/>
  <c r="U562" i="9"/>
  <c r="Y562" i="21" s="1"/>
  <c r="S562" i="9"/>
  <c r="W562" i="21" s="1"/>
  <c r="Q562" i="9"/>
  <c r="U562" i="21" s="1"/>
  <c r="AN188" i="9"/>
  <c r="AL562" i="9"/>
  <c r="AP562" i="21" s="1"/>
  <c r="AJ562" i="9"/>
  <c r="AN562" i="21" s="1"/>
  <c r="AH562" i="9"/>
  <c r="AF562" i="9"/>
  <c r="AJ562" i="21" s="1"/>
  <c r="AD562" i="9"/>
  <c r="AH562" i="21" s="1"/>
  <c r="Z562" i="9"/>
  <c r="AD562" i="21" s="1"/>
  <c r="X562" i="9"/>
  <c r="AB562" i="21" s="1"/>
  <c r="V562" i="9"/>
  <c r="Z562" i="21" s="1"/>
  <c r="T562" i="9"/>
  <c r="X562" i="21" s="1"/>
  <c r="R562" i="9"/>
  <c r="V562" i="21" s="1"/>
  <c r="P562" i="9"/>
  <c r="T562" i="21" s="1"/>
  <c r="AM562" i="9"/>
  <c r="AQ562" i="21" s="1"/>
  <c r="AK562" i="9"/>
  <c r="AO562" i="21" s="1"/>
  <c r="AI562" i="9"/>
  <c r="AM562" i="21" s="1"/>
  <c r="AG562" i="9"/>
  <c r="AK562" i="21" s="1"/>
  <c r="AE562" i="9"/>
  <c r="AI562" i="21" s="1"/>
  <c r="AC562" i="9"/>
  <c r="AG562" i="21" s="1"/>
  <c r="Y497" i="9"/>
  <c r="AC497" i="21" s="1"/>
  <c r="W497" i="9"/>
  <c r="AA497" i="21" s="1"/>
  <c r="U497" i="9"/>
  <c r="Y497" i="21" s="1"/>
  <c r="S497" i="9"/>
  <c r="W497" i="21" s="1"/>
  <c r="Q497" i="9"/>
  <c r="U497" i="21" s="1"/>
  <c r="AL497" i="9"/>
  <c r="AP497" i="21" s="1"/>
  <c r="AJ497" i="9"/>
  <c r="AN497" i="21" s="1"/>
  <c r="AH497" i="9"/>
  <c r="AL497" i="21" s="1"/>
  <c r="AF497" i="9"/>
  <c r="AJ497" i="21" s="1"/>
  <c r="AD497" i="9"/>
  <c r="AH497" i="21" s="1"/>
  <c r="AO562" i="9"/>
  <c r="AS562" i="21" s="1"/>
  <c r="AQ188" i="9"/>
  <c r="AR188" i="9" s="1"/>
  <c r="AS188" i="9" s="1"/>
  <c r="AT188" i="9" s="1"/>
  <c r="AU188" i="9" s="1"/>
  <c r="AV188" i="9" s="1"/>
  <c r="AW188" i="9" s="1"/>
  <c r="AX188" i="9" s="1"/>
  <c r="AY188" i="9" s="1"/>
  <c r="AP562" i="9" l="1"/>
  <c r="AT562" i="21" s="1"/>
  <c r="AQ189" i="9"/>
  <c r="AB497" i="9"/>
  <c r="AN76" i="9"/>
  <c r="O497" i="9"/>
  <c r="AA76" i="9"/>
  <c r="AA182" i="9"/>
  <c r="AN187" i="9"/>
  <c r="AA188" i="9"/>
  <c r="AA187" i="9"/>
  <c r="AC564" i="9"/>
  <c r="AG564" i="21" s="1"/>
  <c r="AE564" i="9"/>
  <c r="AI564" i="21" s="1"/>
  <c r="AG564" i="9"/>
  <c r="AK564" i="21" s="1"/>
  <c r="AI564" i="9"/>
  <c r="AM564" i="21" s="1"/>
  <c r="AK564" i="9"/>
  <c r="AO564" i="21" s="1"/>
  <c r="AM564" i="9"/>
  <c r="AQ564" i="21" s="1"/>
  <c r="AB564" i="9"/>
  <c r="AN181" i="9"/>
  <c r="AA564" i="9"/>
  <c r="S564" i="21"/>
  <c r="AE564" i="21" s="1"/>
  <c r="AR29" i="9"/>
  <c r="AQ473" i="9"/>
  <c r="AU473" i="21" s="1"/>
  <c r="AF456" i="21"/>
  <c r="AR456" i="21" s="1"/>
  <c r="AN456" i="9"/>
  <c r="S447" i="21"/>
  <c r="AA447" i="9"/>
  <c r="S456" i="21"/>
  <c r="AE456" i="21" s="1"/>
  <c r="AA456" i="9"/>
  <c r="AF447" i="21"/>
  <c r="AN447" i="9"/>
  <c r="AF473" i="21"/>
  <c r="AR473" i="21" s="1"/>
  <c r="AN473" i="9"/>
  <c r="S473" i="21"/>
  <c r="AE473" i="21" s="1"/>
  <c r="AA473" i="9"/>
  <c r="AD564" i="9"/>
  <c r="AH564" i="21" s="1"/>
  <c r="AF564" i="9"/>
  <c r="AJ564" i="21" s="1"/>
  <c r="AH564" i="9"/>
  <c r="AL564" i="21" s="1"/>
  <c r="AJ564" i="9"/>
  <c r="AN564" i="21" s="1"/>
  <c r="AL564" i="9"/>
  <c r="AP564" i="21" s="1"/>
  <c r="AL562" i="21"/>
  <c r="AQ75" i="9"/>
  <c r="AP497" i="9"/>
  <c r="AT497" i="21" s="1"/>
  <c r="AQ76" i="9"/>
  <c r="AQ456" i="9"/>
  <c r="AU456" i="21" s="1"/>
  <c r="AR28" i="9"/>
  <c r="AQ447" i="9"/>
  <c r="AU447" i="21" s="1"/>
  <c r="AR25" i="9"/>
  <c r="AQ564" i="9"/>
  <c r="AU564" i="21" s="1"/>
  <c r="AR181" i="9"/>
  <c r="AO497" i="9"/>
  <c r="AS497" i="21" s="1"/>
  <c r="AQ187" i="9" l="1"/>
  <c r="AR187" i="9" s="1"/>
  <c r="AS187" i="9" s="1"/>
  <c r="AT187" i="9" s="1"/>
  <c r="AU187" i="9" s="1"/>
  <c r="AV187" i="9" s="1"/>
  <c r="AW187" i="9" s="1"/>
  <c r="AX187" i="9" s="1"/>
  <c r="AY187" i="9" s="1"/>
  <c r="AA189" i="9"/>
  <c r="O562" i="9"/>
  <c r="AR564" i="9"/>
  <c r="AV564" i="21" s="1"/>
  <c r="AS181" i="9"/>
  <c r="AR76" i="9"/>
  <c r="AQ497" i="9"/>
  <c r="AU497" i="21" s="1"/>
  <c r="AA75" i="9"/>
  <c r="AE447" i="21"/>
  <c r="AA497" i="9"/>
  <c r="S497" i="21"/>
  <c r="AE497" i="21" s="1"/>
  <c r="AN497" i="9"/>
  <c r="AF497" i="21"/>
  <c r="AR497" i="21" s="1"/>
  <c r="AR447" i="9"/>
  <c r="AV447" i="21" s="1"/>
  <c r="AS25" i="9"/>
  <c r="AR456" i="9"/>
  <c r="AV456" i="21" s="1"/>
  <c r="AS28" i="9"/>
  <c r="AR75" i="9"/>
  <c r="AR447" i="21"/>
  <c r="AR473" i="9"/>
  <c r="AV473" i="21" s="1"/>
  <c r="AS29" i="9"/>
  <c r="AN564" i="9"/>
  <c r="AF564" i="21"/>
  <c r="AR564" i="21" s="1"/>
  <c r="AN75" i="9"/>
  <c r="AR189" i="9"/>
  <c r="AQ562" i="9"/>
  <c r="AU562" i="21" s="1"/>
  <c r="AT29" i="9" l="1"/>
  <c r="AS473" i="9"/>
  <c r="AW473" i="21" s="1"/>
  <c r="AS456" i="9"/>
  <c r="AW456" i="21" s="1"/>
  <c r="AT28" i="9"/>
  <c r="AS447" i="9"/>
  <c r="AW447" i="21" s="1"/>
  <c r="AT25" i="9"/>
  <c r="AR497" i="9"/>
  <c r="AV497" i="21" s="1"/>
  <c r="AS76" i="9"/>
  <c r="AB562" i="9"/>
  <c r="AN189" i="9"/>
  <c r="AS189" i="9"/>
  <c r="AR562" i="9"/>
  <c r="AV562" i="21" s="1"/>
  <c r="AS75" i="9"/>
  <c r="AS564" i="9"/>
  <c r="AW564" i="21" s="1"/>
  <c r="AT181" i="9"/>
  <c r="S562" i="21"/>
  <c r="AE562" i="21" s="1"/>
  <c r="AA562" i="9"/>
  <c r="AU28" i="9" l="1"/>
  <c r="AT456" i="9"/>
  <c r="AX456" i="21" s="1"/>
  <c r="AT564" i="9"/>
  <c r="AX564" i="21" s="1"/>
  <c r="AU181" i="9"/>
  <c r="AT75" i="9"/>
  <c r="AS562" i="9"/>
  <c r="AW562" i="21" s="1"/>
  <c r="AT189" i="9"/>
  <c r="AF562" i="21"/>
  <c r="AR562" i="21" s="1"/>
  <c r="AN562" i="9"/>
  <c r="AT76" i="9"/>
  <c r="AS497" i="9"/>
  <c r="AW497" i="21" s="1"/>
  <c r="AT447" i="9"/>
  <c r="AX447" i="21" s="1"/>
  <c r="AU25" i="9"/>
  <c r="AU29" i="9"/>
  <c r="AT473" i="9"/>
  <c r="AX473" i="21" s="1"/>
  <c r="AV29" i="9" l="1"/>
  <c r="AU473" i="9"/>
  <c r="AY473" i="21" s="1"/>
  <c r="AV25" i="9"/>
  <c r="AU447" i="9"/>
  <c r="AY447" i="21" s="1"/>
  <c r="AU75" i="9"/>
  <c r="AT497" i="9"/>
  <c r="AX497" i="21" s="1"/>
  <c r="AU76" i="9"/>
  <c r="AT562" i="9"/>
  <c r="AX562" i="21" s="1"/>
  <c r="AU189" i="9"/>
  <c r="AU564" i="9"/>
  <c r="AY564" i="21" s="1"/>
  <c r="AV181" i="9"/>
  <c r="AV28" i="9"/>
  <c r="AU456" i="9"/>
  <c r="AY456" i="21" s="1"/>
  <c r="AV75" i="9" l="1"/>
  <c r="AW25" i="9"/>
  <c r="AV447" i="9"/>
  <c r="AZ447" i="21" s="1"/>
  <c r="AW29" i="9"/>
  <c r="AV473" i="9"/>
  <c r="AZ473" i="21" s="1"/>
  <c r="AW28" i="9"/>
  <c r="AV456" i="9"/>
  <c r="AZ456" i="21" s="1"/>
  <c r="AV564" i="9"/>
  <c r="AZ564" i="21" s="1"/>
  <c r="AW181" i="9"/>
  <c r="AU562" i="9"/>
  <c r="AY562" i="21" s="1"/>
  <c r="AV189" i="9"/>
  <c r="AV76" i="9"/>
  <c r="AU497" i="9"/>
  <c r="AY497" i="21" s="1"/>
  <c r="AW456" i="9" l="1"/>
  <c r="BA456" i="21" s="1"/>
  <c r="AX28" i="9"/>
  <c r="AW447" i="9"/>
  <c r="BA447" i="21" s="1"/>
  <c r="AX25" i="9"/>
  <c r="AW76" i="9"/>
  <c r="AV497" i="9"/>
  <c r="AZ497" i="21" s="1"/>
  <c r="AV562" i="9"/>
  <c r="AZ562" i="21" s="1"/>
  <c r="AW189" i="9"/>
  <c r="AW564" i="9"/>
  <c r="BA564" i="21" s="1"/>
  <c r="AX181" i="9"/>
  <c r="AX29" i="9"/>
  <c r="AW473" i="9"/>
  <c r="BA473" i="21" s="1"/>
  <c r="AW75" i="9"/>
  <c r="AY29" i="9" l="1"/>
  <c r="AX473" i="9"/>
  <c r="BB473" i="21" s="1"/>
  <c r="AW497" i="9"/>
  <c r="BA497" i="21" s="1"/>
  <c r="AX76" i="9"/>
  <c r="AY28" i="9"/>
  <c r="AX456" i="9"/>
  <c r="BB456" i="21" s="1"/>
  <c r="AX75" i="9"/>
  <c r="AX564" i="9"/>
  <c r="BB564" i="21" s="1"/>
  <c r="AY181" i="9"/>
  <c r="AX189" i="9"/>
  <c r="AW562" i="9"/>
  <c r="BA562" i="21" s="1"/>
  <c r="AY25" i="9"/>
  <c r="AX447" i="9"/>
  <c r="BB447" i="21" s="1"/>
  <c r="AY189" i="9" l="1"/>
  <c r="AX562" i="9"/>
  <c r="BB562" i="21" s="1"/>
  <c r="AY564" i="9"/>
  <c r="BC564" i="21" s="1"/>
  <c r="AY447" i="9"/>
  <c r="BC447" i="21" s="1"/>
  <c r="AY75" i="9"/>
  <c r="AY456" i="9"/>
  <c r="BC456" i="21" s="1"/>
  <c r="AY76" i="9"/>
  <c r="AX497" i="9"/>
  <c r="BB497" i="21" s="1"/>
  <c r="AY473" i="9"/>
  <c r="BC473" i="21" s="1"/>
  <c r="AY497" i="9" l="1"/>
  <c r="BC497" i="21" s="1"/>
  <c r="AY562" i="9"/>
  <c r="BC562" i="21" s="1"/>
  <c r="AL538" i="9" l="1"/>
  <c r="AP538" i="21" s="1"/>
  <c r="AJ538" i="9"/>
  <c r="AN538" i="21" s="1"/>
  <c r="AH538" i="9"/>
  <c r="AL538" i="21" s="1"/>
  <c r="AF538" i="9"/>
  <c r="AJ538" i="21" s="1"/>
  <c r="AD538" i="9"/>
  <c r="AH538" i="21" s="1"/>
  <c r="Q538" i="9"/>
  <c r="U538" i="21" s="1"/>
  <c r="S538" i="9"/>
  <c r="W538" i="21" s="1"/>
  <c r="U538" i="9"/>
  <c r="Y538" i="21" s="1"/>
  <c r="W538" i="9"/>
  <c r="AA538" i="21" s="1"/>
  <c r="Y538" i="9"/>
  <c r="AC538" i="21" s="1"/>
  <c r="AB538" i="9" l="1"/>
  <c r="AM538" i="9"/>
  <c r="AQ538" i="21" s="1"/>
  <c r="AK538" i="9"/>
  <c r="AO538" i="21" s="1"/>
  <c r="AI538" i="9"/>
  <c r="AM538" i="21" s="1"/>
  <c r="AG538" i="9"/>
  <c r="AK538" i="21" s="1"/>
  <c r="AE538" i="9"/>
  <c r="AI538" i="21" s="1"/>
  <c r="AC538" i="9"/>
  <c r="AG538" i="21" s="1"/>
  <c r="Z538" i="9"/>
  <c r="AD538" i="21" s="1"/>
  <c r="X538" i="9"/>
  <c r="AB538" i="21" s="1"/>
  <c r="V538" i="9"/>
  <c r="Z538" i="21" s="1"/>
  <c r="T538" i="9"/>
  <c r="X538" i="21" s="1"/>
  <c r="R538" i="9"/>
  <c r="V538" i="21" s="1"/>
  <c r="P538" i="9"/>
  <c r="T538" i="21" s="1"/>
  <c r="AQ43" i="9" l="1"/>
  <c r="AP538" i="9"/>
  <c r="AT538" i="21" s="1"/>
  <c r="AN43" i="9"/>
  <c r="O538" i="9"/>
  <c r="AA43" i="9"/>
  <c r="AF538" i="21"/>
  <c r="AR538" i="21" s="1"/>
  <c r="AN538" i="9"/>
  <c r="AA538" i="9" l="1"/>
  <c r="S538" i="21"/>
  <c r="AE538" i="21" s="1"/>
  <c r="AQ538" i="9"/>
  <c r="AU538" i="21" s="1"/>
  <c r="AR43" i="9"/>
  <c r="AS43" i="9" l="1"/>
  <c r="AR538" i="9"/>
  <c r="AV538" i="21" s="1"/>
  <c r="AO538" i="9"/>
  <c r="AS538" i="21" s="1"/>
  <c r="AT43" i="9" l="1"/>
  <c r="AS538" i="9"/>
  <c r="AW538" i="21" s="1"/>
  <c r="AQ42" i="9"/>
  <c r="AR42" i="9" s="1"/>
  <c r="AS42" i="9" s="1"/>
  <c r="AT42" i="9" s="1"/>
  <c r="AU42" i="9" s="1"/>
  <c r="AV42" i="9" s="1"/>
  <c r="AW42" i="9" s="1"/>
  <c r="AX42" i="9" s="1"/>
  <c r="AY42" i="9" s="1"/>
  <c r="AN42" i="9" l="1"/>
  <c r="AU43" i="9"/>
  <c r="AT538" i="9"/>
  <c r="AX538" i="21" s="1"/>
  <c r="AA42" i="9"/>
  <c r="AU538" i="9" l="1"/>
  <c r="AY538" i="21" s="1"/>
  <c r="AV43" i="9"/>
  <c r="AV538" i="9" l="1"/>
  <c r="AZ538" i="21" s="1"/>
  <c r="AW43" i="9"/>
  <c r="AW538" i="9" l="1"/>
  <c r="BA538" i="21" s="1"/>
  <c r="AX43" i="9"/>
  <c r="AX538" i="9" l="1"/>
  <c r="BB538" i="21" s="1"/>
  <c r="AY43" i="9"/>
  <c r="AY538" i="9" l="1"/>
  <c r="BC538" i="21" s="1"/>
  <c r="AA53" i="9" l="1"/>
  <c r="AN53" i="9"/>
  <c r="AQ35" i="9"/>
  <c r="AR35" i="9" s="1"/>
  <c r="AS35" i="9" s="1"/>
  <c r="AT35" i="9" s="1"/>
  <c r="AU35" i="9" s="1"/>
  <c r="AV35" i="9" s="1"/>
  <c r="AW35" i="9" s="1"/>
  <c r="AX35" i="9" s="1"/>
  <c r="AY35" i="9" s="1"/>
  <c r="AQ32" i="9"/>
  <c r="AR32" i="9" s="1"/>
  <c r="AS32" i="9" s="1"/>
  <c r="AT32" i="9" s="1"/>
  <c r="AU32" i="9" s="1"/>
  <c r="AV32" i="9" s="1"/>
  <c r="AW32" i="9" s="1"/>
  <c r="AX32" i="9" s="1"/>
  <c r="AY32" i="9" s="1"/>
  <c r="AQ30" i="9"/>
  <c r="AR30" i="9" s="1"/>
  <c r="AS30" i="9" s="1"/>
  <c r="AT30" i="9" s="1"/>
  <c r="AU30" i="9" s="1"/>
  <c r="AV30" i="9" s="1"/>
  <c r="AW30" i="9" s="1"/>
  <c r="AX30" i="9" s="1"/>
  <c r="AY30" i="9" s="1"/>
  <c r="AC493" i="9"/>
  <c r="AG493" i="21" s="1"/>
  <c r="AD493" i="9"/>
  <c r="AH493" i="21" s="1"/>
  <c r="AE493" i="9"/>
  <c r="AI493" i="21" s="1"/>
  <c r="AF493" i="9"/>
  <c r="AJ493" i="21" s="1"/>
  <c r="AG493" i="9"/>
  <c r="AK493" i="21" s="1"/>
  <c r="AH493" i="9"/>
  <c r="AL493" i="21" s="1"/>
  <c r="AI493" i="9"/>
  <c r="AM493" i="21" s="1"/>
  <c r="AJ493" i="9"/>
  <c r="AN493" i="21" s="1"/>
  <c r="AK493" i="9"/>
  <c r="AO493" i="21" s="1"/>
  <c r="AL493" i="9"/>
  <c r="AP493" i="21" s="1"/>
  <c r="AM493" i="9"/>
  <c r="AQ493" i="21" s="1"/>
  <c r="AC511" i="9"/>
  <c r="AG511" i="21" s="1"/>
  <c r="AD511" i="9"/>
  <c r="AH511" i="21" s="1"/>
  <c r="AE511" i="9"/>
  <c r="AI511" i="21" s="1"/>
  <c r="AF511" i="9"/>
  <c r="AJ511" i="21" s="1"/>
  <c r="AG511" i="9"/>
  <c r="AK511" i="21" s="1"/>
  <c r="AH511" i="9"/>
  <c r="AL511" i="21" s="1"/>
  <c r="AI511" i="9"/>
  <c r="AM511" i="21" s="1"/>
  <c r="AJ511" i="9"/>
  <c r="AN511" i="21" s="1"/>
  <c r="AK511" i="9"/>
  <c r="AO511" i="21" s="1"/>
  <c r="AL511" i="9"/>
  <c r="AP511" i="21" s="1"/>
  <c r="AM511" i="9"/>
  <c r="AQ511" i="21" s="1"/>
  <c r="P493" i="9"/>
  <c r="T493" i="21" s="1"/>
  <c r="Q493" i="9"/>
  <c r="U493" i="21" s="1"/>
  <c r="R493" i="9"/>
  <c r="V493" i="21" s="1"/>
  <c r="S493" i="9"/>
  <c r="W493" i="21" s="1"/>
  <c r="T493" i="9"/>
  <c r="X493" i="21" s="1"/>
  <c r="U493" i="9"/>
  <c r="Y493" i="21" s="1"/>
  <c r="V493" i="9"/>
  <c r="Z493" i="21" s="1"/>
  <c r="W493" i="9"/>
  <c r="AA493" i="21" s="1"/>
  <c r="X493" i="9"/>
  <c r="AB493" i="21" s="1"/>
  <c r="Y493" i="9"/>
  <c r="AC493" i="21" s="1"/>
  <c r="Z493" i="9"/>
  <c r="AD493" i="21" s="1"/>
  <c r="P511" i="9"/>
  <c r="T511" i="21" s="1"/>
  <c r="Q511" i="9"/>
  <c r="U511" i="21" s="1"/>
  <c r="R511" i="9"/>
  <c r="V511" i="21" s="1"/>
  <c r="S511" i="9"/>
  <c r="W511" i="21" s="1"/>
  <c r="T511" i="9"/>
  <c r="X511" i="21" s="1"/>
  <c r="U511" i="9"/>
  <c r="Y511" i="21" s="1"/>
  <c r="V511" i="9"/>
  <c r="Z511" i="21" s="1"/>
  <c r="W511" i="9"/>
  <c r="AA511" i="21" s="1"/>
  <c r="X511" i="9"/>
  <c r="AB511" i="21" s="1"/>
  <c r="Y511" i="9"/>
  <c r="AC511" i="21" s="1"/>
  <c r="Z511" i="9"/>
  <c r="AD511" i="21" s="1"/>
  <c r="AA32" i="9"/>
  <c r="O493" i="9" l="1"/>
  <c r="AA31" i="9"/>
  <c r="AQ36" i="9"/>
  <c r="AQ31" i="9"/>
  <c r="AP493" i="9"/>
  <c r="AT493" i="21" s="1"/>
  <c r="AP511" i="9"/>
  <c r="AT511" i="21" s="1"/>
  <c r="AQ34" i="9"/>
  <c r="AO511" i="9"/>
  <c r="AS511" i="21" s="1"/>
  <c r="AO493" i="9"/>
  <c r="AS493" i="21" s="1"/>
  <c r="AA35" i="9"/>
  <c r="AN30" i="9"/>
  <c r="AA30" i="9"/>
  <c r="P568" i="9"/>
  <c r="T568" i="21" s="1"/>
  <c r="Q568" i="9"/>
  <c r="U568" i="21" s="1"/>
  <c r="R568" i="9"/>
  <c r="V568" i="21" s="1"/>
  <c r="S568" i="9"/>
  <c r="W568" i="21" s="1"/>
  <c r="T568" i="9"/>
  <c r="X568" i="21" s="1"/>
  <c r="U568" i="9"/>
  <c r="Y568" i="21" s="1"/>
  <c r="V568" i="9"/>
  <c r="Z568" i="21" s="1"/>
  <c r="W568" i="9"/>
  <c r="AA568" i="21" s="1"/>
  <c r="X568" i="9"/>
  <c r="AB568" i="21" s="1"/>
  <c r="Y568" i="9"/>
  <c r="AC568" i="21" s="1"/>
  <c r="Z568" i="9"/>
  <c r="AD568" i="21" s="1"/>
  <c r="AC568" i="9"/>
  <c r="AG568" i="21" s="1"/>
  <c r="AD568" i="9"/>
  <c r="AH568" i="21" s="1"/>
  <c r="AE568" i="9"/>
  <c r="AI568" i="21" s="1"/>
  <c r="AF568" i="9"/>
  <c r="AJ568" i="21" s="1"/>
  <c r="AG568" i="9"/>
  <c r="AK568" i="21" s="1"/>
  <c r="AH568" i="9"/>
  <c r="AL568" i="21" s="1"/>
  <c r="AI568" i="9"/>
  <c r="AM568" i="21" s="1"/>
  <c r="AJ568" i="9"/>
  <c r="AN568" i="21" s="1"/>
  <c r="AK568" i="9"/>
  <c r="AO568" i="21" s="1"/>
  <c r="AL568" i="9"/>
  <c r="AP568" i="21" s="1"/>
  <c r="AM568" i="9"/>
  <c r="AQ568" i="21" s="1"/>
  <c r="AB568" i="9" l="1"/>
  <c r="AN167" i="9"/>
  <c r="AA36" i="9"/>
  <c r="O511" i="9"/>
  <c r="AA34" i="9"/>
  <c r="AN36" i="9"/>
  <c r="AR34" i="9"/>
  <c r="AQ511" i="9"/>
  <c r="AU511" i="21" s="1"/>
  <c r="AA493" i="9"/>
  <c r="S493" i="21"/>
  <c r="AE493" i="21" s="1"/>
  <c r="AR31" i="9"/>
  <c r="AQ493" i="9"/>
  <c r="AU493" i="21" s="1"/>
  <c r="AR36" i="9"/>
  <c r="AN35" i="9"/>
  <c r="AN32" i="9"/>
  <c r="AO568" i="9"/>
  <c r="AS568" i="21" s="1"/>
  <c r="AP568" i="9" l="1"/>
  <c r="AT568" i="21" s="1"/>
  <c r="AQ167" i="9"/>
  <c r="AB493" i="9"/>
  <c r="AN31" i="9"/>
  <c r="AN34" i="9"/>
  <c r="AB511" i="9"/>
  <c r="AS36" i="9"/>
  <c r="AR493" i="9"/>
  <c r="AV493" i="21" s="1"/>
  <c r="AS31" i="9"/>
  <c r="AS34" i="9"/>
  <c r="AR511" i="9"/>
  <c r="AV511" i="21" s="1"/>
  <c r="S511" i="21"/>
  <c r="AE511" i="21" s="1"/>
  <c r="AA511" i="9"/>
  <c r="AF568" i="21"/>
  <c r="AN568" i="9"/>
  <c r="O568" i="9" l="1"/>
  <c r="AA167" i="9"/>
  <c r="AS493" i="9"/>
  <c r="AW493" i="21" s="1"/>
  <c r="AT31" i="9"/>
  <c r="AF511" i="21"/>
  <c r="AR511" i="21" s="1"/>
  <c r="AN511" i="9"/>
  <c r="AR167" i="9"/>
  <c r="AQ568" i="9"/>
  <c r="AU568" i="21" s="1"/>
  <c r="AR568" i="21"/>
  <c r="AT34" i="9"/>
  <c r="AS511" i="9"/>
  <c r="AW511" i="21" s="1"/>
  <c r="AT36" i="9"/>
  <c r="AN493" i="9"/>
  <c r="AF493" i="21"/>
  <c r="AR493" i="21" s="1"/>
  <c r="AU31" i="9" l="1"/>
  <c r="AT493" i="9"/>
  <c r="AX493" i="21" s="1"/>
  <c r="AU36" i="9"/>
  <c r="AT511" i="9"/>
  <c r="AX511" i="21" s="1"/>
  <c r="AU34" i="9"/>
  <c r="AS167" i="9"/>
  <c r="AR568" i="9"/>
  <c r="AV568" i="21" s="1"/>
  <c r="AA568" i="9"/>
  <c r="S568" i="21"/>
  <c r="AE568" i="21" l="1"/>
  <c r="AU511" i="9"/>
  <c r="AY511" i="21" s="1"/>
  <c r="AV34" i="9"/>
  <c r="AS568" i="9"/>
  <c r="AW568" i="21" s="1"/>
  <c r="AT167" i="9"/>
  <c r="AV36" i="9"/>
  <c r="AU493" i="9"/>
  <c r="AY493" i="21" s="1"/>
  <c r="AV31" i="9"/>
  <c r="AW31" i="9" l="1"/>
  <c r="AV493" i="9"/>
  <c r="AZ493" i="21" s="1"/>
  <c r="AU167" i="9"/>
  <c r="AT568" i="9"/>
  <c r="AX568" i="21" s="1"/>
  <c r="AV511" i="9"/>
  <c r="AZ511" i="21" s="1"/>
  <c r="AW34" i="9"/>
  <c r="AW36" i="9"/>
  <c r="AW511" i="9" l="1"/>
  <c r="BA511" i="21" s="1"/>
  <c r="AX34" i="9"/>
  <c r="AX36" i="9"/>
  <c r="AV167" i="9"/>
  <c r="AU568" i="9"/>
  <c r="AY568" i="21" s="1"/>
  <c r="AX31" i="9"/>
  <c r="AW493" i="9"/>
  <c r="BA493" i="21" s="1"/>
  <c r="AX511" i="9" l="1"/>
  <c r="BB511" i="21" s="1"/>
  <c r="AY34" i="9"/>
  <c r="AX493" i="9"/>
  <c r="BB493" i="21" s="1"/>
  <c r="AY31" i="9"/>
  <c r="AW167" i="9"/>
  <c r="AV568" i="9"/>
  <c r="AZ568" i="21" s="1"/>
  <c r="AY36" i="9"/>
  <c r="AY493" i="9" l="1"/>
  <c r="BC493" i="21" s="1"/>
  <c r="AY511" i="9"/>
  <c r="BC511" i="21" s="1"/>
  <c r="AW568" i="9"/>
  <c r="BA568" i="21" s="1"/>
  <c r="AX167" i="9"/>
  <c r="AY167" i="9" l="1"/>
  <c r="AX568" i="9"/>
  <c r="BB568" i="21" s="1"/>
  <c r="AY568" i="9" l="1"/>
  <c r="BC568" i="21" s="1"/>
  <c r="AC471" i="9" l="1"/>
  <c r="AG471" i="21" s="1"/>
  <c r="AD471" i="9"/>
  <c r="AH471" i="21" s="1"/>
  <c r="AE471" i="9"/>
  <c r="AI471" i="21" s="1"/>
  <c r="AF471" i="9"/>
  <c r="AJ471" i="21" s="1"/>
  <c r="AG471" i="9"/>
  <c r="AK471" i="21" s="1"/>
  <c r="AH471" i="9"/>
  <c r="AL471" i="21" s="1"/>
  <c r="AI471" i="9"/>
  <c r="AM471" i="21" s="1"/>
  <c r="AJ471" i="9"/>
  <c r="AN471" i="21" s="1"/>
  <c r="AK471" i="9"/>
  <c r="AO471" i="21" s="1"/>
  <c r="AL471" i="9"/>
  <c r="AP471" i="21" s="1"/>
  <c r="AM471" i="9"/>
  <c r="AQ471" i="21" s="1"/>
  <c r="P471" i="9"/>
  <c r="T471" i="21" s="1"/>
  <c r="Q471" i="9"/>
  <c r="U471" i="21" s="1"/>
  <c r="R471" i="9"/>
  <c r="V471" i="21" s="1"/>
  <c r="S471" i="9"/>
  <c r="W471" i="21" s="1"/>
  <c r="T471" i="9"/>
  <c r="X471" i="21" s="1"/>
  <c r="U471" i="9"/>
  <c r="Y471" i="21" s="1"/>
  <c r="V471" i="9"/>
  <c r="Z471" i="21" s="1"/>
  <c r="W471" i="9"/>
  <c r="AA471" i="21" s="1"/>
  <c r="X471" i="9"/>
  <c r="AB471" i="21" s="1"/>
  <c r="Y471" i="9"/>
  <c r="AC471" i="21" s="1"/>
  <c r="Z471" i="9"/>
  <c r="AD471" i="21" s="1"/>
  <c r="P541" i="9"/>
  <c r="T541" i="21" s="1"/>
  <c r="Q512" i="9"/>
  <c r="U512" i="21" s="1"/>
  <c r="R503" i="9"/>
  <c r="V503" i="21" s="1"/>
  <c r="V503" i="9"/>
  <c r="Z503" i="21" s="1"/>
  <c r="Y512" i="9"/>
  <c r="AC512" i="21" s="1"/>
  <c r="Z503" i="9"/>
  <c r="AD503" i="21" s="1"/>
  <c r="AE512" i="9"/>
  <c r="AI512" i="21" s="1"/>
  <c r="AI512" i="9"/>
  <c r="AM512" i="21" s="1"/>
  <c r="P537" i="9"/>
  <c r="T537" i="21" s="1"/>
  <c r="P543" i="9"/>
  <c r="T543" i="21" s="1"/>
  <c r="P547" i="9"/>
  <c r="T547" i="21" s="1"/>
  <c r="P555" i="9"/>
  <c r="T555" i="21" s="1"/>
  <c r="H98" i="20" s="1"/>
  <c r="P504" i="9"/>
  <c r="T504" i="21" s="1"/>
  <c r="Q537" i="9"/>
  <c r="U537" i="21" s="1"/>
  <c r="Q554" i="9"/>
  <c r="U554" i="21" s="1"/>
  <c r="Q496" i="9"/>
  <c r="U496" i="21" s="1"/>
  <c r="R540" i="9"/>
  <c r="V540" i="21" s="1"/>
  <c r="R543" i="9"/>
  <c r="V543" i="21" s="1"/>
  <c r="R545" i="9"/>
  <c r="V545" i="21" s="1"/>
  <c r="R508" i="9"/>
  <c r="V508" i="21" s="1"/>
  <c r="S535" i="9"/>
  <c r="W535" i="21" s="1"/>
  <c r="S540" i="9"/>
  <c r="W540" i="21" s="1"/>
  <c r="S549" i="9"/>
  <c r="W549" i="21" s="1"/>
  <c r="S554" i="9"/>
  <c r="W554" i="21" s="1"/>
  <c r="S557" i="9"/>
  <c r="W557" i="21" s="1"/>
  <c r="S507" i="9"/>
  <c r="W507" i="21" s="1"/>
  <c r="T537" i="9"/>
  <c r="X537" i="21" s="1"/>
  <c r="T540" i="9"/>
  <c r="X540" i="21" s="1"/>
  <c r="T545" i="9"/>
  <c r="X545" i="21" s="1"/>
  <c r="T555" i="9"/>
  <c r="X555" i="21" s="1"/>
  <c r="L98" i="20" s="1"/>
  <c r="X490" i="21"/>
  <c r="U535" i="9"/>
  <c r="Y535" i="21" s="1"/>
  <c r="U545" i="9"/>
  <c r="Y545" i="21" s="1"/>
  <c r="U549" i="9"/>
  <c r="Y549" i="21" s="1"/>
  <c r="U554" i="9"/>
  <c r="Y554" i="21" s="1"/>
  <c r="U557" i="9"/>
  <c r="Y557" i="21" s="1"/>
  <c r="U496" i="9"/>
  <c r="Y496" i="21" s="1"/>
  <c r="U510" i="9"/>
  <c r="Y510" i="21" s="1"/>
  <c r="V540" i="9"/>
  <c r="Z540" i="21" s="1"/>
  <c r="V543" i="9"/>
  <c r="Z543" i="21" s="1"/>
  <c r="V545" i="9"/>
  <c r="Z545" i="21" s="1"/>
  <c r="V496" i="9"/>
  <c r="Z496" i="21" s="1"/>
  <c r="W535" i="9"/>
  <c r="AA535" i="21" s="1"/>
  <c r="W540" i="9"/>
  <c r="AA540" i="21" s="1"/>
  <c r="W549" i="9"/>
  <c r="AA549" i="21" s="1"/>
  <c r="W554" i="9"/>
  <c r="AA554" i="21" s="1"/>
  <c r="W557" i="9"/>
  <c r="AA557" i="21" s="1"/>
  <c r="W507" i="9"/>
  <c r="AA507" i="21" s="1"/>
  <c r="X537" i="9"/>
  <c r="AB537" i="21" s="1"/>
  <c r="X540" i="9"/>
  <c r="AB540" i="21" s="1"/>
  <c r="X555" i="9"/>
  <c r="AB555" i="21" s="1"/>
  <c r="P98" i="20" s="1"/>
  <c r="Y535" i="9"/>
  <c r="AC535" i="21" s="1"/>
  <c r="Y537" i="9"/>
  <c r="AC537" i="21" s="1"/>
  <c r="Y547" i="9"/>
  <c r="AC547" i="21" s="1"/>
  <c r="Y554" i="9"/>
  <c r="AC554" i="21" s="1"/>
  <c r="Y496" i="9"/>
  <c r="AC496" i="21" s="1"/>
  <c r="Y510" i="9"/>
  <c r="AC510" i="21" s="1"/>
  <c r="Z540" i="9"/>
  <c r="AD540" i="21" s="1"/>
  <c r="Z543" i="9"/>
  <c r="AD543" i="21" s="1"/>
  <c r="AD490" i="21"/>
  <c r="AC523" i="9"/>
  <c r="AG523" i="21" s="1"/>
  <c r="AD510" i="9"/>
  <c r="AH510" i="21" s="1"/>
  <c r="AI490" i="21"/>
  <c r="AH496" i="9"/>
  <c r="AL496" i="21" s="1"/>
  <c r="AJ496" i="9"/>
  <c r="AN496" i="21" s="1"/>
  <c r="AL496" i="9"/>
  <c r="AP496" i="21" s="1"/>
  <c r="AC533" i="9"/>
  <c r="AG533" i="21" s="1"/>
  <c r="AE533" i="9"/>
  <c r="AI533" i="21" s="1"/>
  <c r="AK533" i="9"/>
  <c r="AO533" i="21" s="1"/>
  <c r="AM533" i="9"/>
  <c r="AQ533" i="21" s="1"/>
  <c r="P533" i="9"/>
  <c r="T533" i="21" s="1"/>
  <c r="T533" i="9"/>
  <c r="X533" i="21" s="1"/>
  <c r="V533" i="9"/>
  <c r="Z533" i="21" s="1"/>
  <c r="AC527" i="9"/>
  <c r="AG527" i="21" s="1"/>
  <c r="AC528" i="9"/>
  <c r="AG528" i="21" s="1"/>
  <c r="AD527" i="9"/>
  <c r="AH527" i="21" s="1"/>
  <c r="AD551" i="9"/>
  <c r="AH551" i="21" s="1"/>
  <c r="V94" i="20" s="1"/>
  <c r="AE527" i="9"/>
  <c r="AI527" i="21" s="1"/>
  <c r="AE528" i="9"/>
  <c r="AI528" i="21" s="1"/>
  <c r="AF527" i="9"/>
  <c r="AJ527" i="21" s="1"/>
  <c r="AF551" i="9"/>
  <c r="AJ551" i="21" s="1"/>
  <c r="X94" i="20" s="1"/>
  <c r="AG527" i="9"/>
  <c r="AK527" i="21" s="1"/>
  <c r="AG528" i="9"/>
  <c r="AK528" i="21" s="1"/>
  <c r="AH527" i="9"/>
  <c r="AL527" i="21" s="1"/>
  <c r="AH551" i="9"/>
  <c r="AL551" i="21" s="1"/>
  <c r="Z94" i="20" s="1"/>
  <c r="AI527" i="9"/>
  <c r="AM527" i="21" s="1"/>
  <c r="AI528" i="9"/>
  <c r="AM528" i="21" s="1"/>
  <c r="AJ527" i="9"/>
  <c r="AN527" i="21" s="1"/>
  <c r="AJ551" i="9"/>
  <c r="AN551" i="21" s="1"/>
  <c r="AB94" i="20" s="1"/>
  <c r="AK527" i="9"/>
  <c r="AO527" i="21" s="1"/>
  <c r="AK528" i="9"/>
  <c r="AO528" i="21" s="1"/>
  <c r="AL527" i="9"/>
  <c r="AP527" i="21" s="1"/>
  <c r="AL551" i="9"/>
  <c r="AP551" i="21" s="1"/>
  <c r="AD94" i="20" s="1"/>
  <c r="AM527" i="9"/>
  <c r="AQ527" i="21" s="1"/>
  <c r="AM528" i="9"/>
  <c r="AQ528" i="21" s="1"/>
  <c r="S469" i="9"/>
  <c r="W469" i="21" s="1"/>
  <c r="T469" i="9"/>
  <c r="X469" i="21" s="1"/>
  <c r="W469" i="9"/>
  <c r="AA469" i="21" s="1"/>
  <c r="X469" i="9"/>
  <c r="AB469" i="21" s="1"/>
  <c r="P527" i="9"/>
  <c r="T527" i="21" s="1"/>
  <c r="P528" i="9"/>
  <c r="T528" i="21" s="1"/>
  <c r="Q527" i="9"/>
  <c r="U527" i="21" s="1"/>
  <c r="Q551" i="9"/>
  <c r="U551" i="21" s="1"/>
  <c r="I94" i="20" s="1"/>
  <c r="R527" i="9"/>
  <c r="V527" i="21" s="1"/>
  <c r="R528" i="9"/>
  <c r="V528" i="21" s="1"/>
  <c r="S527" i="9"/>
  <c r="W527" i="21" s="1"/>
  <c r="S551" i="9"/>
  <c r="W551" i="21" s="1"/>
  <c r="K94" i="20" s="1"/>
  <c r="T527" i="9"/>
  <c r="X527" i="21" s="1"/>
  <c r="T528" i="9"/>
  <c r="X528" i="21" s="1"/>
  <c r="U527" i="9"/>
  <c r="Y527" i="21" s="1"/>
  <c r="U551" i="9"/>
  <c r="Y551" i="21" s="1"/>
  <c r="M94" i="20" s="1"/>
  <c r="V527" i="9"/>
  <c r="Z527" i="21" s="1"/>
  <c r="V528" i="9"/>
  <c r="Z528" i="21" s="1"/>
  <c r="W527" i="9"/>
  <c r="AA527" i="21" s="1"/>
  <c r="W551" i="9"/>
  <c r="AA551" i="21" s="1"/>
  <c r="O94" i="20" s="1"/>
  <c r="X527" i="9"/>
  <c r="AB527" i="21" s="1"/>
  <c r="X528" i="9"/>
  <c r="AB528" i="21" s="1"/>
  <c r="Y527" i="9"/>
  <c r="AC527" i="21" s="1"/>
  <c r="Y551" i="9"/>
  <c r="AC551" i="21" s="1"/>
  <c r="Q94" i="20" s="1"/>
  <c r="Z527" i="9"/>
  <c r="AD527" i="21" s="1"/>
  <c r="Z528" i="9"/>
  <c r="AD528" i="21" s="1"/>
  <c r="P542" i="9"/>
  <c r="T542" i="21" s="1"/>
  <c r="P470" i="9"/>
  <c r="T470" i="21" s="1"/>
  <c r="R470" i="9"/>
  <c r="V470" i="21" s="1"/>
  <c r="T470" i="9"/>
  <c r="X470" i="21" s="1"/>
  <c r="V470" i="9"/>
  <c r="Z470" i="21" s="1"/>
  <c r="X470" i="9"/>
  <c r="AB470" i="21" s="1"/>
  <c r="Z470" i="9"/>
  <c r="AD470" i="21" s="1"/>
  <c r="R281" i="20"/>
  <c r="Q281" i="20"/>
  <c r="P281" i="20"/>
  <c r="O281" i="20"/>
  <c r="N281" i="20"/>
  <c r="M281" i="20"/>
  <c r="L281" i="20"/>
  <c r="K281" i="20"/>
  <c r="J281" i="20"/>
  <c r="I281" i="20"/>
  <c r="H281" i="20"/>
  <c r="AD281" i="20"/>
  <c r="AB281" i="20"/>
  <c r="Z281" i="20"/>
  <c r="X281" i="20"/>
  <c r="V281" i="20"/>
  <c r="AQ130" i="9"/>
  <c r="AR130" i="9" s="1"/>
  <c r="AS130" i="9" s="1"/>
  <c r="AT130" i="9" s="1"/>
  <c r="AU130" i="9" s="1"/>
  <c r="AV130" i="9" s="1"/>
  <c r="AW130" i="9" s="1"/>
  <c r="AX130" i="9" s="1"/>
  <c r="AY130" i="9" s="1"/>
  <c r="AO565" i="9"/>
  <c r="AS565" i="21" s="1"/>
  <c r="AO557" i="9"/>
  <c r="AS557" i="21" s="1"/>
  <c r="AM569" i="9"/>
  <c r="AQ569" i="21" s="1"/>
  <c r="AE105" i="20" s="1"/>
  <c r="AK569" i="9"/>
  <c r="AO569" i="21" s="1"/>
  <c r="AC105" i="20" s="1"/>
  <c r="AJ569" i="9"/>
  <c r="AN569" i="21" s="1"/>
  <c r="AB105" i="20" s="1"/>
  <c r="AI569" i="9"/>
  <c r="AM569" i="21" s="1"/>
  <c r="AA105" i="20" s="1"/>
  <c r="AH569" i="9"/>
  <c r="AL569" i="21" s="1"/>
  <c r="Z105" i="20" s="1"/>
  <c r="AG569" i="9"/>
  <c r="AK569" i="21" s="1"/>
  <c r="Y105" i="20" s="1"/>
  <c r="AF569" i="9"/>
  <c r="AJ569" i="21" s="1"/>
  <c r="X105" i="20" s="1"/>
  <c r="AE569" i="9"/>
  <c r="AI569" i="21" s="1"/>
  <c r="W105" i="20" s="1"/>
  <c r="AD569" i="9"/>
  <c r="AH569" i="21" s="1"/>
  <c r="V105" i="20" s="1"/>
  <c r="AC569" i="9"/>
  <c r="AG569" i="21" s="1"/>
  <c r="U105" i="20" s="1"/>
  <c r="AM565" i="9"/>
  <c r="AQ565" i="21" s="1"/>
  <c r="AL565" i="9"/>
  <c r="AP565" i="21" s="1"/>
  <c r="AK565" i="9"/>
  <c r="AO565" i="21" s="1"/>
  <c r="AJ565" i="9"/>
  <c r="AN565" i="21" s="1"/>
  <c r="AI565" i="9"/>
  <c r="AM565" i="21" s="1"/>
  <c r="AH565" i="9"/>
  <c r="AL565" i="21" s="1"/>
  <c r="AG565" i="9"/>
  <c r="AK565" i="21" s="1"/>
  <c r="AF565" i="9"/>
  <c r="AJ565" i="21" s="1"/>
  <c r="AE565" i="9"/>
  <c r="AI565" i="21" s="1"/>
  <c r="AD565" i="9"/>
  <c r="AH565" i="21" s="1"/>
  <c r="AC565" i="9"/>
  <c r="AG565" i="21" s="1"/>
  <c r="AL557" i="9"/>
  <c r="AP557" i="21" s="1"/>
  <c r="AK557" i="9"/>
  <c r="AO557" i="21" s="1"/>
  <c r="AJ557" i="9"/>
  <c r="AN557" i="21" s="1"/>
  <c r="AI557" i="9"/>
  <c r="AM557" i="21" s="1"/>
  <c r="AH557" i="9"/>
  <c r="AL557" i="21" s="1"/>
  <c r="AG557" i="9"/>
  <c r="AK557" i="21" s="1"/>
  <c r="AF557" i="9"/>
  <c r="AJ557" i="21" s="1"/>
  <c r="AE557" i="9"/>
  <c r="AI557" i="21" s="1"/>
  <c r="AD557" i="9"/>
  <c r="AH557" i="21" s="1"/>
  <c r="AC557" i="9"/>
  <c r="AG557" i="21" s="1"/>
  <c r="AM555" i="9"/>
  <c r="AQ555" i="21" s="1"/>
  <c r="AE98" i="20" s="1"/>
  <c r="AL555" i="9"/>
  <c r="AP555" i="21" s="1"/>
  <c r="AD98" i="20" s="1"/>
  <c r="AK555" i="9"/>
  <c r="AO555" i="21" s="1"/>
  <c r="AC98" i="20" s="1"/>
  <c r="AJ555" i="9"/>
  <c r="AN555" i="21" s="1"/>
  <c r="AB98" i="20" s="1"/>
  <c r="AI555" i="9"/>
  <c r="AM555" i="21" s="1"/>
  <c r="AA98" i="20" s="1"/>
  <c r="AH555" i="9"/>
  <c r="AL555" i="21" s="1"/>
  <c r="Z98" i="20" s="1"/>
  <c r="AG555" i="9"/>
  <c r="AK555" i="21" s="1"/>
  <c r="Y98" i="20" s="1"/>
  <c r="AF555" i="9"/>
  <c r="AJ555" i="21" s="1"/>
  <c r="X98" i="20" s="1"/>
  <c r="AE555" i="9"/>
  <c r="AI555" i="21" s="1"/>
  <c r="W98" i="20" s="1"/>
  <c r="AD555" i="9"/>
  <c r="AH555" i="21" s="1"/>
  <c r="V98" i="20" s="1"/>
  <c r="AC555" i="9"/>
  <c r="AG555" i="21" s="1"/>
  <c r="U98" i="20" s="1"/>
  <c r="AM554" i="9"/>
  <c r="AQ554" i="21" s="1"/>
  <c r="AL554" i="9"/>
  <c r="AP554" i="21" s="1"/>
  <c r="AK554" i="9"/>
  <c r="AO554" i="21" s="1"/>
  <c r="AJ554" i="9"/>
  <c r="AN554" i="21" s="1"/>
  <c r="AI554" i="9"/>
  <c r="AM554" i="21" s="1"/>
  <c r="AH554" i="9"/>
  <c r="AL554" i="21" s="1"/>
  <c r="AG554" i="9"/>
  <c r="AK554" i="21" s="1"/>
  <c r="AE554" i="9"/>
  <c r="AI554" i="21" s="1"/>
  <c r="AD554" i="9"/>
  <c r="AH554" i="21" s="1"/>
  <c r="AC554" i="9"/>
  <c r="AG554" i="21" s="1"/>
  <c r="P569" i="9"/>
  <c r="T569" i="21" s="1"/>
  <c r="H105" i="20" s="1"/>
  <c r="R569" i="9"/>
  <c r="V569" i="21" s="1"/>
  <c r="J105" i="20" s="1"/>
  <c r="T569" i="9"/>
  <c r="X569" i="21" s="1"/>
  <c r="L105" i="20" s="1"/>
  <c r="V569" i="9"/>
  <c r="Z569" i="21" s="1"/>
  <c r="N105" i="20" s="1"/>
  <c r="X569" i="9"/>
  <c r="AB569" i="21" s="1"/>
  <c r="P105" i="20" s="1"/>
  <c r="Z569" i="9"/>
  <c r="AD569" i="21" s="1"/>
  <c r="R105" i="20" s="1"/>
  <c r="P565" i="9"/>
  <c r="T565" i="21" s="1"/>
  <c r="Q565" i="9"/>
  <c r="U565" i="21" s="1"/>
  <c r="R565" i="9"/>
  <c r="V565" i="21" s="1"/>
  <c r="S565" i="9"/>
  <c r="W565" i="21" s="1"/>
  <c r="T565" i="9"/>
  <c r="X565" i="21" s="1"/>
  <c r="U565" i="9"/>
  <c r="Y565" i="21" s="1"/>
  <c r="V565" i="9"/>
  <c r="Z565" i="21" s="1"/>
  <c r="W565" i="9"/>
  <c r="AA565" i="21" s="1"/>
  <c r="X565" i="9"/>
  <c r="AB565" i="21" s="1"/>
  <c r="Y565" i="9"/>
  <c r="AC565" i="21" s="1"/>
  <c r="Z565" i="9"/>
  <c r="AD565" i="21" s="1"/>
  <c r="P557" i="9"/>
  <c r="T557" i="21" s="1"/>
  <c r="Q557" i="9"/>
  <c r="U557" i="21" s="1"/>
  <c r="R557" i="9"/>
  <c r="V557" i="21" s="1"/>
  <c r="T557" i="9"/>
  <c r="X557" i="21" s="1"/>
  <c r="V557" i="9"/>
  <c r="Z557" i="21" s="1"/>
  <c r="X557" i="9"/>
  <c r="AB557" i="21" s="1"/>
  <c r="Y557" i="9"/>
  <c r="AC557" i="21" s="1"/>
  <c r="Z557" i="9"/>
  <c r="AD557" i="21" s="1"/>
  <c r="Q555" i="9"/>
  <c r="U555" i="21" s="1"/>
  <c r="I98" i="20" s="1"/>
  <c r="R555" i="9"/>
  <c r="V555" i="21" s="1"/>
  <c r="J98" i="20" s="1"/>
  <c r="S555" i="9"/>
  <c r="W555" i="21" s="1"/>
  <c r="K98" i="20" s="1"/>
  <c r="U555" i="9"/>
  <c r="Y555" i="21" s="1"/>
  <c r="M98" i="20" s="1"/>
  <c r="V555" i="9"/>
  <c r="Z555" i="21" s="1"/>
  <c r="N98" i="20" s="1"/>
  <c r="W555" i="9"/>
  <c r="AA555" i="21" s="1"/>
  <c r="O98" i="20" s="1"/>
  <c r="Y555" i="9"/>
  <c r="AC555" i="21" s="1"/>
  <c r="Q98" i="20" s="1"/>
  <c r="Z555" i="9"/>
  <c r="AD555" i="21" s="1"/>
  <c r="R98" i="20" s="1"/>
  <c r="P554" i="9"/>
  <c r="T554" i="21" s="1"/>
  <c r="R554" i="9"/>
  <c r="V554" i="21" s="1"/>
  <c r="T554" i="9"/>
  <c r="X554" i="21" s="1"/>
  <c r="V554" i="9"/>
  <c r="Z554" i="21" s="1"/>
  <c r="X554" i="9"/>
  <c r="AB554" i="21" s="1"/>
  <c r="Z554" i="9"/>
  <c r="AD554" i="21" s="1"/>
  <c r="AO549" i="9"/>
  <c r="AS549" i="21" s="1"/>
  <c r="AO547" i="9"/>
  <c r="AS547" i="21" s="1"/>
  <c r="AO543" i="9"/>
  <c r="AS543" i="21" s="1"/>
  <c r="AM549" i="9"/>
  <c r="AQ549" i="21" s="1"/>
  <c r="AL549" i="9"/>
  <c r="AP549" i="21" s="1"/>
  <c r="AK549" i="9"/>
  <c r="AO549" i="21" s="1"/>
  <c r="AJ549" i="9"/>
  <c r="AN549" i="21" s="1"/>
  <c r="AI549" i="9"/>
  <c r="AM549" i="21" s="1"/>
  <c r="AH549" i="9"/>
  <c r="AL549" i="21" s="1"/>
  <c r="AG549" i="9"/>
  <c r="AK549" i="21" s="1"/>
  <c r="AF549" i="9"/>
  <c r="AJ549" i="21" s="1"/>
  <c r="AE549" i="9"/>
  <c r="AI549" i="21" s="1"/>
  <c r="AD549" i="9"/>
  <c r="AH549" i="21" s="1"/>
  <c r="AC549" i="9"/>
  <c r="AG549" i="21" s="1"/>
  <c r="AM547" i="9"/>
  <c r="AQ547" i="21" s="1"/>
  <c r="AL547" i="9"/>
  <c r="AP547" i="21" s="1"/>
  <c r="AK547" i="9"/>
  <c r="AO547" i="21" s="1"/>
  <c r="AJ547" i="9"/>
  <c r="AN547" i="21" s="1"/>
  <c r="AI547" i="9"/>
  <c r="AM547" i="21" s="1"/>
  <c r="AH547" i="9"/>
  <c r="AL547" i="21" s="1"/>
  <c r="AG547" i="9"/>
  <c r="AK547" i="21" s="1"/>
  <c r="AF547" i="9"/>
  <c r="AJ547" i="21" s="1"/>
  <c r="AE547" i="9"/>
  <c r="AI547" i="21" s="1"/>
  <c r="AD547" i="9"/>
  <c r="AH547" i="21" s="1"/>
  <c r="AC547" i="9"/>
  <c r="AG547" i="21" s="1"/>
  <c r="AM545" i="9"/>
  <c r="AQ545" i="21" s="1"/>
  <c r="AL545" i="9"/>
  <c r="AP545" i="21" s="1"/>
  <c r="AK545" i="9"/>
  <c r="AO545" i="21" s="1"/>
  <c r="AJ545" i="9"/>
  <c r="AN545" i="21" s="1"/>
  <c r="AI545" i="9"/>
  <c r="AM545" i="21" s="1"/>
  <c r="AG545" i="9"/>
  <c r="AK545" i="21" s="1"/>
  <c r="AF545" i="9"/>
  <c r="AJ545" i="21" s="1"/>
  <c r="AE545" i="9"/>
  <c r="AI545" i="21" s="1"/>
  <c r="AD545" i="9"/>
  <c r="AH545" i="21" s="1"/>
  <c r="AC545" i="9"/>
  <c r="AG545" i="21" s="1"/>
  <c r="AM543" i="9"/>
  <c r="AQ543" i="21" s="1"/>
  <c r="AL543" i="9"/>
  <c r="AP543" i="21" s="1"/>
  <c r="AK543" i="9"/>
  <c r="AO543" i="21" s="1"/>
  <c r="AJ543" i="9"/>
  <c r="AN543" i="21" s="1"/>
  <c r="AI543" i="9"/>
  <c r="AM543" i="21" s="1"/>
  <c r="AH543" i="9"/>
  <c r="AL543" i="21" s="1"/>
  <c r="AG543" i="9"/>
  <c r="AK543" i="21" s="1"/>
  <c r="AF543" i="9"/>
  <c r="AJ543" i="21" s="1"/>
  <c r="AE543" i="9"/>
  <c r="AI543" i="21" s="1"/>
  <c r="AD543" i="9"/>
  <c r="AH543" i="21" s="1"/>
  <c r="AC543" i="9"/>
  <c r="AG543" i="21" s="1"/>
  <c r="AM540" i="9"/>
  <c r="AQ540" i="21" s="1"/>
  <c r="AL540" i="9"/>
  <c r="AP540" i="21" s="1"/>
  <c r="AK540" i="9"/>
  <c r="AO540" i="21" s="1"/>
  <c r="AJ540" i="9"/>
  <c r="AN540" i="21" s="1"/>
  <c r="AI540" i="9"/>
  <c r="AM540" i="21" s="1"/>
  <c r="AH540" i="9"/>
  <c r="AL540" i="21" s="1"/>
  <c r="AG540" i="9"/>
  <c r="AK540" i="21" s="1"/>
  <c r="AF540" i="9"/>
  <c r="AJ540" i="21" s="1"/>
  <c r="AE540" i="9"/>
  <c r="AI540" i="21" s="1"/>
  <c r="AD540" i="9"/>
  <c r="AH540" i="21" s="1"/>
  <c r="AC540" i="9"/>
  <c r="AG540" i="21" s="1"/>
  <c r="P540" i="9"/>
  <c r="T540" i="21" s="1"/>
  <c r="Q540" i="9"/>
  <c r="U540" i="21" s="1"/>
  <c r="U540" i="9"/>
  <c r="Y540" i="21" s="1"/>
  <c r="Y540" i="9"/>
  <c r="AC540" i="21" s="1"/>
  <c r="Q543" i="9"/>
  <c r="U543" i="21" s="1"/>
  <c r="S543" i="9"/>
  <c r="W543" i="21" s="1"/>
  <c r="T543" i="9"/>
  <c r="X543" i="21" s="1"/>
  <c r="U543" i="9"/>
  <c r="Y543" i="21" s="1"/>
  <c r="W543" i="9"/>
  <c r="AA543" i="21" s="1"/>
  <c r="X543" i="9"/>
  <c r="AB543" i="21" s="1"/>
  <c r="Y543" i="9"/>
  <c r="AC543" i="21" s="1"/>
  <c r="P545" i="9"/>
  <c r="T545" i="21" s="1"/>
  <c r="Q545" i="9"/>
  <c r="U545" i="21" s="1"/>
  <c r="S545" i="9"/>
  <c r="W545" i="21" s="1"/>
  <c r="W545" i="9"/>
  <c r="AA545" i="21" s="1"/>
  <c r="Y545" i="9"/>
  <c r="AC545" i="21" s="1"/>
  <c r="Z545" i="9"/>
  <c r="AD545" i="21" s="1"/>
  <c r="Q547" i="9"/>
  <c r="U547" i="21" s="1"/>
  <c r="R547" i="9"/>
  <c r="V547" i="21" s="1"/>
  <c r="T547" i="9"/>
  <c r="X547" i="21" s="1"/>
  <c r="U547" i="9"/>
  <c r="Y547" i="21" s="1"/>
  <c r="V547" i="9"/>
  <c r="Z547" i="21" s="1"/>
  <c r="W547" i="9"/>
  <c r="AA547" i="21" s="1"/>
  <c r="X547" i="9"/>
  <c r="AB547" i="21" s="1"/>
  <c r="Z547" i="9"/>
  <c r="AD547" i="21" s="1"/>
  <c r="Q549" i="9"/>
  <c r="U549" i="21" s="1"/>
  <c r="R549" i="9"/>
  <c r="V549" i="21" s="1"/>
  <c r="T549" i="9"/>
  <c r="X549" i="21" s="1"/>
  <c r="V549" i="9"/>
  <c r="Z549" i="21" s="1"/>
  <c r="X549" i="9"/>
  <c r="AB549" i="21" s="1"/>
  <c r="Y549" i="9"/>
  <c r="AC549" i="21" s="1"/>
  <c r="Z549" i="9"/>
  <c r="AD549" i="21" s="1"/>
  <c r="AQ94" i="9"/>
  <c r="AR94" i="9" s="1"/>
  <c r="AS94" i="9" s="1"/>
  <c r="AT94" i="9" s="1"/>
  <c r="AU94" i="9" s="1"/>
  <c r="AV94" i="9" s="1"/>
  <c r="AW94" i="9" s="1"/>
  <c r="AX94" i="9" s="1"/>
  <c r="AY94" i="9" s="1"/>
  <c r="AO535" i="9"/>
  <c r="AS535" i="21" s="1"/>
  <c r="AM537" i="9"/>
  <c r="AQ537" i="21" s="1"/>
  <c r="AL537" i="9"/>
  <c r="AP537" i="21" s="1"/>
  <c r="AK537" i="9"/>
  <c r="AO537" i="21" s="1"/>
  <c r="AJ537" i="9"/>
  <c r="AN537" i="21" s="1"/>
  <c r="AI537" i="9"/>
  <c r="AM537" i="21" s="1"/>
  <c r="AH537" i="9"/>
  <c r="AL537" i="21" s="1"/>
  <c r="AG537" i="9"/>
  <c r="AK537" i="21" s="1"/>
  <c r="AF537" i="9"/>
  <c r="AJ537" i="21" s="1"/>
  <c r="AE537" i="9"/>
  <c r="AI537" i="21" s="1"/>
  <c r="AD537" i="9"/>
  <c r="AH537" i="21" s="1"/>
  <c r="AC537" i="9"/>
  <c r="AG537" i="21" s="1"/>
  <c r="AM535" i="9"/>
  <c r="AQ535" i="21" s="1"/>
  <c r="AL535" i="9"/>
  <c r="AP535" i="21" s="1"/>
  <c r="AK535" i="9"/>
  <c r="AO535" i="21" s="1"/>
  <c r="AJ535" i="9"/>
  <c r="AN535" i="21" s="1"/>
  <c r="AI535" i="9"/>
  <c r="AM535" i="21" s="1"/>
  <c r="AH535" i="9"/>
  <c r="AL535" i="21" s="1"/>
  <c r="AG535" i="9"/>
  <c r="AK535" i="21" s="1"/>
  <c r="AF535" i="9"/>
  <c r="AJ535" i="21" s="1"/>
  <c r="AE535" i="9"/>
  <c r="AI535" i="21" s="1"/>
  <c r="AD535" i="9"/>
  <c r="AH535" i="21" s="1"/>
  <c r="AC535" i="9"/>
  <c r="AG535" i="21" s="1"/>
  <c r="AN95" i="9"/>
  <c r="P535" i="9"/>
  <c r="T535" i="21" s="1"/>
  <c r="Q535" i="9"/>
  <c r="U535" i="21" s="1"/>
  <c r="R535" i="9"/>
  <c r="V535" i="21" s="1"/>
  <c r="T535" i="9"/>
  <c r="X535" i="21" s="1"/>
  <c r="V535" i="9"/>
  <c r="Z535" i="21" s="1"/>
  <c r="X535" i="9"/>
  <c r="AB535" i="21" s="1"/>
  <c r="Z535" i="9"/>
  <c r="AD535" i="21" s="1"/>
  <c r="R537" i="9"/>
  <c r="V537" i="21" s="1"/>
  <c r="S537" i="9"/>
  <c r="W537" i="21" s="1"/>
  <c r="U537" i="9"/>
  <c r="Y537" i="21" s="1"/>
  <c r="V537" i="9"/>
  <c r="Z537" i="21" s="1"/>
  <c r="W537" i="9"/>
  <c r="AA537" i="21" s="1"/>
  <c r="Z537" i="9"/>
  <c r="AD537" i="21" s="1"/>
  <c r="AA93" i="9"/>
  <c r="AO469" i="9"/>
  <c r="AS469" i="21" s="1"/>
  <c r="AM469" i="9"/>
  <c r="AQ469" i="21" s="1"/>
  <c r="AL469" i="9"/>
  <c r="AP469" i="21" s="1"/>
  <c r="AJ469" i="9"/>
  <c r="AN469" i="21" s="1"/>
  <c r="AI469" i="9"/>
  <c r="AM469" i="21" s="1"/>
  <c r="AH469" i="9"/>
  <c r="AL469" i="21" s="1"/>
  <c r="AF469" i="9"/>
  <c r="AJ469" i="21" s="1"/>
  <c r="AE469" i="9"/>
  <c r="AI469" i="21" s="1"/>
  <c r="AD469" i="9"/>
  <c r="AH469" i="21" s="1"/>
  <c r="AO455" i="9"/>
  <c r="AS455" i="21" s="1"/>
  <c r="AM455" i="9"/>
  <c r="AQ455" i="21" s="1"/>
  <c r="AL455" i="9"/>
  <c r="AP455" i="21" s="1"/>
  <c r="AK455" i="9"/>
  <c r="AO455" i="21" s="1"/>
  <c r="AJ455" i="9"/>
  <c r="AN455" i="21" s="1"/>
  <c r="AI455" i="9"/>
  <c r="AM455" i="21" s="1"/>
  <c r="AH455" i="9"/>
  <c r="AL455" i="21" s="1"/>
  <c r="AG455" i="9"/>
  <c r="AK455" i="21" s="1"/>
  <c r="AF455" i="9"/>
  <c r="AJ455" i="21" s="1"/>
  <c r="AE455" i="9"/>
  <c r="AI455" i="21" s="1"/>
  <c r="AD455" i="9"/>
  <c r="AH455" i="21" s="1"/>
  <c r="AC455" i="9"/>
  <c r="AG455" i="21" s="1"/>
  <c r="AC503" i="9"/>
  <c r="AG503" i="21" s="1"/>
  <c r="AD503" i="9"/>
  <c r="AH503" i="21" s="1"/>
  <c r="AE503" i="9"/>
  <c r="AI503" i="21" s="1"/>
  <c r="AF503" i="9"/>
  <c r="AJ503" i="21" s="1"/>
  <c r="AG503" i="9"/>
  <c r="AK503" i="21" s="1"/>
  <c r="AH503" i="9"/>
  <c r="AL503" i="21" s="1"/>
  <c r="AI503" i="9"/>
  <c r="AM503" i="21" s="1"/>
  <c r="AJ503" i="9"/>
  <c r="AN503" i="21" s="1"/>
  <c r="AK503" i="9"/>
  <c r="AO503" i="21" s="1"/>
  <c r="AL503" i="9"/>
  <c r="AP503" i="21" s="1"/>
  <c r="AM503" i="9"/>
  <c r="AQ503" i="21" s="1"/>
  <c r="AD512" i="9"/>
  <c r="AH512" i="21" s="1"/>
  <c r="AF512" i="9"/>
  <c r="AJ512" i="21" s="1"/>
  <c r="AH512" i="9"/>
  <c r="AL512" i="21" s="1"/>
  <c r="AJ512" i="9"/>
  <c r="AN512" i="21" s="1"/>
  <c r="AL512" i="9"/>
  <c r="AP512" i="21" s="1"/>
  <c r="AM512" i="9"/>
  <c r="AQ512" i="21" s="1"/>
  <c r="P503" i="9"/>
  <c r="T503" i="21" s="1"/>
  <c r="Q503" i="9"/>
  <c r="U503" i="21" s="1"/>
  <c r="S503" i="9"/>
  <c r="W503" i="21" s="1"/>
  <c r="T503" i="9"/>
  <c r="X503" i="21" s="1"/>
  <c r="U503" i="9"/>
  <c r="Y503" i="21" s="1"/>
  <c r="W503" i="9"/>
  <c r="AA503" i="21" s="1"/>
  <c r="X503" i="9"/>
  <c r="AB503" i="21" s="1"/>
  <c r="Y503" i="9"/>
  <c r="AC503" i="21" s="1"/>
  <c r="S512" i="9"/>
  <c r="W512" i="21" s="1"/>
  <c r="T512" i="9"/>
  <c r="X512" i="21" s="1"/>
  <c r="U512" i="9"/>
  <c r="Y512" i="21" s="1"/>
  <c r="W512" i="9"/>
  <c r="AA512" i="21" s="1"/>
  <c r="AC563" i="9"/>
  <c r="AG563" i="21" s="1"/>
  <c r="AD563" i="9"/>
  <c r="AH563" i="21" s="1"/>
  <c r="AF563" i="9"/>
  <c r="AJ563" i="21" s="1"/>
  <c r="AG563" i="9"/>
  <c r="AK563" i="21" s="1"/>
  <c r="AH563" i="9"/>
  <c r="AL563" i="21" s="1"/>
  <c r="AJ563" i="9"/>
  <c r="AN563" i="21" s="1"/>
  <c r="AK563" i="9"/>
  <c r="AO563" i="21" s="1"/>
  <c r="AL563" i="9"/>
  <c r="AP563" i="21" s="1"/>
  <c r="P522" i="9"/>
  <c r="T522" i="21" s="1"/>
  <c r="P524" i="9"/>
  <c r="T524" i="21" s="1"/>
  <c r="P529" i="9"/>
  <c r="T529" i="21" s="1"/>
  <c r="P534" i="9"/>
  <c r="T534" i="21" s="1"/>
  <c r="P539" i="9"/>
  <c r="T539" i="21" s="1"/>
  <c r="P546" i="9"/>
  <c r="T546" i="21" s="1"/>
  <c r="P550" i="9"/>
  <c r="T550" i="21" s="1"/>
  <c r="P556" i="9"/>
  <c r="T556" i="21" s="1"/>
  <c r="Q563" i="9"/>
  <c r="U563" i="21" s="1"/>
  <c r="R563" i="9"/>
  <c r="V563" i="21" s="1"/>
  <c r="S563" i="9"/>
  <c r="W563" i="21" s="1"/>
  <c r="V563" i="9"/>
  <c r="Z563" i="21" s="1"/>
  <c r="Z455" i="9"/>
  <c r="AD455" i="21" s="1"/>
  <c r="Y455" i="9"/>
  <c r="AC455" i="21" s="1"/>
  <c r="X455" i="9"/>
  <c r="AB455" i="21" s="1"/>
  <c r="W455" i="9"/>
  <c r="AA455" i="21" s="1"/>
  <c r="V455" i="9"/>
  <c r="Z455" i="21" s="1"/>
  <c r="U455" i="9"/>
  <c r="Y455" i="21" s="1"/>
  <c r="T455" i="9"/>
  <c r="X455" i="21" s="1"/>
  <c r="S455" i="9"/>
  <c r="W455" i="21" s="1"/>
  <c r="R455" i="9"/>
  <c r="V455" i="21" s="1"/>
  <c r="Q455" i="9"/>
  <c r="U455" i="21" s="1"/>
  <c r="P455" i="9"/>
  <c r="T455" i="21" s="1"/>
  <c r="AC504" i="9"/>
  <c r="AG504" i="21" s="1"/>
  <c r="AD504" i="9"/>
  <c r="AH504" i="21" s="1"/>
  <c r="AE504" i="9"/>
  <c r="AI504" i="21" s="1"/>
  <c r="AF504" i="9"/>
  <c r="AJ504" i="21" s="1"/>
  <c r="AG504" i="9"/>
  <c r="AK504" i="21" s="1"/>
  <c r="AH504" i="9"/>
  <c r="AL504" i="21" s="1"/>
  <c r="AI504" i="9"/>
  <c r="AM504" i="21" s="1"/>
  <c r="AJ504" i="9"/>
  <c r="AN504" i="21" s="1"/>
  <c r="AK504" i="9"/>
  <c r="AO504" i="21" s="1"/>
  <c r="AL504" i="9"/>
  <c r="AP504" i="21" s="1"/>
  <c r="AM504" i="9"/>
  <c r="AQ504" i="21" s="1"/>
  <c r="AC507" i="9"/>
  <c r="AG507" i="21" s="1"/>
  <c r="AD507" i="9"/>
  <c r="AH507" i="21" s="1"/>
  <c r="AE507" i="9"/>
  <c r="AI507" i="21" s="1"/>
  <c r="AF507" i="9"/>
  <c r="AJ507" i="21" s="1"/>
  <c r="AH507" i="9"/>
  <c r="AL507" i="21" s="1"/>
  <c r="AI507" i="9"/>
  <c r="AM507" i="21" s="1"/>
  <c r="AJ507" i="9"/>
  <c r="AN507" i="21" s="1"/>
  <c r="AK507" i="9"/>
  <c r="AO507" i="21" s="1"/>
  <c r="AL507" i="9"/>
  <c r="AP507" i="21" s="1"/>
  <c r="AC508" i="9"/>
  <c r="AG508" i="21" s="1"/>
  <c r="AD508" i="9"/>
  <c r="AH508" i="21" s="1"/>
  <c r="AE508" i="9"/>
  <c r="AI508" i="21" s="1"/>
  <c r="AF508" i="9"/>
  <c r="AJ508" i="21" s="1"/>
  <c r="AG508" i="9"/>
  <c r="AK508" i="21" s="1"/>
  <c r="AH508" i="9"/>
  <c r="AL508" i="21" s="1"/>
  <c r="AI508" i="9"/>
  <c r="AM508" i="21" s="1"/>
  <c r="AJ508" i="9"/>
  <c r="AN508" i="21" s="1"/>
  <c r="AK508" i="9"/>
  <c r="AO508" i="21" s="1"/>
  <c r="AL508" i="9"/>
  <c r="AP508" i="21" s="1"/>
  <c r="AM508" i="9"/>
  <c r="AQ508" i="21" s="1"/>
  <c r="AC510" i="9"/>
  <c r="AG510" i="21" s="1"/>
  <c r="AE510" i="9"/>
  <c r="AI510" i="21" s="1"/>
  <c r="AF510" i="9"/>
  <c r="AJ510" i="21" s="1"/>
  <c r="AG510" i="9"/>
  <c r="AK510" i="21" s="1"/>
  <c r="AH510" i="9"/>
  <c r="AL510" i="21" s="1"/>
  <c r="AI510" i="9"/>
  <c r="AM510" i="21" s="1"/>
  <c r="AJ510" i="9"/>
  <c r="AN510" i="21" s="1"/>
  <c r="AK510" i="9"/>
  <c r="AO510" i="21" s="1"/>
  <c r="AL510" i="9"/>
  <c r="AP510" i="21" s="1"/>
  <c r="AM510" i="9"/>
  <c r="AQ510" i="21" s="1"/>
  <c r="AC513" i="9"/>
  <c r="AG513" i="21" s="1"/>
  <c r="AD513" i="9"/>
  <c r="AH513" i="21" s="1"/>
  <c r="AE513" i="9"/>
  <c r="AI513" i="21" s="1"/>
  <c r="AF513" i="9"/>
  <c r="AJ513" i="21" s="1"/>
  <c r="AG513" i="9"/>
  <c r="AK513" i="21" s="1"/>
  <c r="AH513" i="9"/>
  <c r="AL513" i="21" s="1"/>
  <c r="AI513" i="9"/>
  <c r="AM513" i="21" s="1"/>
  <c r="AJ513" i="9"/>
  <c r="AN513" i="21" s="1"/>
  <c r="AK513" i="9"/>
  <c r="AO513" i="21" s="1"/>
  <c r="AL513" i="9"/>
  <c r="AP513" i="21" s="1"/>
  <c r="AM513" i="9"/>
  <c r="AQ513" i="21" s="1"/>
  <c r="Q504" i="9"/>
  <c r="U504" i="21" s="1"/>
  <c r="R504" i="9"/>
  <c r="V504" i="21" s="1"/>
  <c r="T504" i="9"/>
  <c r="X504" i="21" s="1"/>
  <c r="U504" i="9"/>
  <c r="Y504" i="21" s="1"/>
  <c r="V504" i="9"/>
  <c r="Z504" i="21" s="1"/>
  <c r="W504" i="9"/>
  <c r="AA504" i="21" s="1"/>
  <c r="X504" i="9"/>
  <c r="AB504" i="21" s="1"/>
  <c r="Y504" i="9"/>
  <c r="AC504" i="21" s="1"/>
  <c r="Z504" i="9"/>
  <c r="AD504" i="21" s="1"/>
  <c r="Q507" i="9"/>
  <c r="U507" i="21" s="1"/>
  <c r="R507" i="9"/>
  <c r="V507" i="21" s="1"/>
  <c r="T507" i="9"/>
  <c r="X507" i="21" s="1"/>
  <c r="U507" i="9"/>
  <c r="Y507" i="21" s="1"/>
  <c r="V507" i="9"/>
  <c r="Z507" i="21" s="1"/>
  <c r="X507" i="9"/>
  <c r="AB507" i="21" s="1"/>
  <c r="Y507" i="9"/>
  <c r="AC507" i="21" s="1"/>
  <c r="Z507" i="9"/>
  <c r="AD507" i="21" s="1"/>
  <c r="P508" i="9"/>
  <c r="T508" i="21" s="1"/>
  <c r="Q508" i="9"/>
  <c r="U508" i="21" s="1"/>
  <c r="S508" i="9"/>
  <c r="W508" i="21" s="1"/>
  <c r="T508" i="9"/>
  <c r="X508" i="21" s="1"/>
  <c r="V508" i="9"/>
  <c r="Z508" i="21" s="1"/>
  <c r="W508" i="9"/>
  <c r="AA508" i="21" s="1"/>
  <c r="X508" i="9"/>
  <c r="AB508" i="21" s="1"/>
  <c r="Y508" i="9"/>
  <c r="AC508" i="21" s="1"/>
  <c r="Z508" i="9"/>
  <c r="AD508" i="21" s="1"/>
  <c r="P510" i="9"/>
  <c r="T510" i="21" s="1"/>
  <c r="S510" i="9"/>
  <c r="W510" i="21" s="1"/>
  <c r="T510" i="9"/>
  <c r="X510" i="21" s="1"/>
  <c r="V510" i="9"/>
  <c r="Z510" i="21" s="1"/>
  <c r="W510" i="9"/>
  <c r="AA510" i="21" s="1"/>
  <c r="X510" i="9"/>
  <c r="AB510" i="21" s="1"/>
  <c r="Z510" i="9"/>
  <c r="AD510" i="21" s="1"/>
  <c r="P513" i="9"/>
  <c r="T513" i="21" s="1"/>
  <c r="Q513" i="9"/>
  <c r="U513" i="21" s="1"/>
  <c r="R513" i="9"/>
  <c r="V513" i="21" s="1"/>
  <c r="S513" i="9"/>
  <c r="W513" i="21" s="1"/>
  <c r="T513" i="9"/>
  <c r="X513" i="21" s="1"/>
  <c r="U513" i="9"/>
  <c r="Y513" i="21" s="1"/>
  <c r="V513" i="9"/>
  <c r="Z513" i="21" s="1"/>
  <c r="W513" i="9"/>
  <c r="AA513" i="21" s="1"/>
  <c r="X513" i="9"/>
  <c r="AB513" i="21" s="1"/>
  <c r="Y513" i="9"/>
  <c r="AC513" i="21" s="1"/>
  <c r="Z513" i="9"/>
  <c r="AD513" i="21" s="1"/>
  <c r="AH490" i="21"/>
  <c r="AJ490" i="21"/>
  <c r="AK490" i="21"/>
  <c r="AL490" i="21"/>
  <c r="AM490" i="21"/>
  <c r="AN490" i="21"/>
  <c r="AO490" i="21"/>
  <c r="AP490" i="21"/>
  <c r="AQ490" i="21"/>
  <c r="AC491" i="9"/>
  <c r="AG491" i="21" s="1"/>
  <c r="AD491" i="9"/>
  <c r="AH491" i="21" s="1"/>
  <c r="AE491" i="9"/>
  <c r="AI491" i="21" s="1"/>
  <c r="AF491" i="9"/>
  <c r="AJ491" i="21" s="1"/>
  <c r="AG491" i="9"/>
  <c r="AK491" i="21" s="1"/>
  <c r="AH491" i="9"/>
  <c r="AL491" i="21" s="1"/>
  <c r="AI491" i="9"/>
  <c r="AM491" i="21" s="1"/>
  <c r="AJ491" i="9"/>
  <c r="AN491" i="21" s="1"/>
  <c r="AK491" i="9"/>
  <c r="AO491" i="21" s="1"/>
  <c r="AL491" i="9"/>
  <c r="AP491" i="21" s="1"/>
  <c r="AM491" i="9"/>
  <c r="AQ491" i="21" s="1"/>
  <c r="AB496" i="9"/>
  <c r="AC496" i="9"/>
  <c r="AG496" i="21" s="1"/>
  <c r="AD496" i="9"/>
  <c r="AH496" i="21" s="1"/>
  <c r="AE496" i="9"/>
  <c r="AI496" i="21" s="1"/>
  <c r="AG496" i="9"/>
  <c r="AK496" i="21" s="1"/>
  <c r="AI496" i="9"/>
  <c r="AM496" i="21" s="1"/>
  <c r="AK496" i="9"/>
  <c r="AO496" i="21" s="1"/>
  <c r="AM496" i="9"/>
  <c r="AQ496" i="21" s="1"/>
  <c r="AD499" i="9"/>
  <c r="AH499" i="21" s="1"/>
  <c r="AF499" i="9"/>
  <c r="AJ499" i="21" s="1"/>
  <c r="AG499" i="9"/>
  <c r="AK499" i="21" s="1"/>
  <c r="AH499" i="9"/>
  <c r="AL499" i="21" s="1"/>
  <c r="AI499" i="9"/>
  <c r="AM499" i="21" s="1"/>
  <c r="AJ499" i="9"/>
  <c r="AN499" i="21" s="1"/>
  <c r="AK499" i="9"/>
  <c r="AO499" i="21" s="1"/>
  <c r="AL499" i="9"/>
  <c r="AP499" i="21" s="1"/>
  <c r="AM499" i="9"/>
  <c r="AQ499" i="21" s="1"/>
  <c r="T490" i="21"/>
  <c r="U490" i="21"/>
  <c r="V490" i="21"/>
  <c r="W490" i="21"/>
  <c r="Y490" i="21"/>
  <c r="Z490" i="21"/>
  <c r="AB490" i="21"/>
  <c r="AC490" i="21"/>
  <c r="P491" i="9"/>
  <c r="T491" i="21" s="1"/>
  <c r="R491" i="9"/>
  <c r="V491" i="21" s="1"/>
  <c r="S491" i="9"/>
  <c r="W491" i="21" s="1"/>
  <c r="T491" i="9"/>
  <c r="X491" i="21" s="1"/>
  <c r="U491" i="9"/>
  <c r="Y491" i="21" s="1"/>
  <c r="V491" i="9"/>
  <c r="Z491" i="21" s="1"/>
  <c r="W491" i="9"/>
  <c r="AA491" i="21" s="1"/>
  <c r="X491" i="9"/>
  <c r="AB491" i="21" s="1"/>
  <c r="Y491" i="9"/>
  <c r="AC491" i="21" s="1"/>
  <c r="Z491" i="9"/>
  <c r="AD491" i="21" s="1"/>
  <c r="P496" i="9"/>
  <c r="T496" i="21" s="1"/>
  <c r="R496" i="9"/>
  <c r="V496" i="21" s="1"/>
  <c r="S496" i="9"/>
  <c r="W496" i="21" s="1"/>
  <c r="T496" i="9"/>
  <c r="X496" i="21" s="1"/>
  <c r="W496" i="9"/>
  <c r="AA496" i="21" s="1"/>
  <c r="X496" i="9"/>
  <c r="AB496" i="21" s="1"/>
  <c r="Z496" i="9"/>
  <c r="AD496" i="21" s="1"/>
  <c r="P499" i="9"/>
  <c r="T499" i="21" s="1"/>
  <c r="Q499" i="9"/>
  <c r="U499" i="21" s="1"/>
  <c r="S499" i="9"/>
  <c r="W499" i="21" s="1"/>
  <c r="T499" i="9"/>
  <c r="X499" i="21" s="1"/>
  <c r="U499" i="9"/>
  <c r="Y499" i="21" s="1"/>
  <c r="X499" i="9"/>
  <c r="AB499" i="21" s="1"/>
  <c r="Y499" i="9"/>
  <c r="AC499" i="21" s="1"/>
  <c r="Z469" i="9"/>
  <c r="AD469" i="21" s="1"/>
  <c r="R87" i="20" s="1"/>
  <c r="Y469" i="9"/>
  <c r="AC469" i="21" s="1"/>
  <c r="V469" i="9"/>
  <c r="Z469" i="21" s="1"/>
  <c r="N87" i="20" s="1"/>
  <c r="U469" i="9"/>
  <c r="Y469" i="21" s="1"/>
  <c r="R469" i="9"/>
  <c r="V469" i="21" s="1"/>
  <c r="J87" i="20" s="1"/>
  <c r="P469" i="9"/>
  <c r="T469" i="21" s="1"/>
  <c r="H87" i="20" s="1"/>
  <c r="AQ53" i="9"/>
  <c r="AR53" i="9" s="1"/>
  <c r="AS53" i="9" s="1"/>
  <c r="AT53" i="9" s="1"/>
  <c r="AU53" i="9" s="1"/>
  <c r="AV53" i="9" s="1"/>
  <c r="AW53" i="9" s="1"/>
  <c r="AX53" i="9" s="1"/>
  <c r="AY53" i="9" s="1"/>
  <c r="AN93" i="9" l="1"/>
  <c r="N93" i="3"/>
  <c r="N224" i="3" s="1"/>
  <c r="H198" i="20"/>
  <c r="H337" i="20"/>
  <c r="O491" i="9"/>
  <c r="Z480" i="9"/>
  <c r="AD480" i="21" s="1"/>
  <c r="V480" i="9"/>
  <c r="Z480" i="21" s="1"/>
  <c r="S480" i="9"/>
  <c r="W480" i="21" s="1"/>
  <c r="Q480" i="9"/>
  <c r="U480" i="21" s="1"/>
  <c r="AM480" i="9"/>
  <c r="AQ480" i="21" s="1"/>
  <c r="AK480" i="9"/>
  <c r="AO480" i="21" s="1"/>
  <c r="AI480" i="9"/>
  <c r="AM480" i="21" s="1"/>
  <c r="AG480" i="9"/>
  <c r="AK480" i="21" s="1"/>
  <c r="AE480" i="9"/>
  <c r="AI480" i="21" s="1"/>
  <c r="AC480" i="9"/>
  <c r="AG480" i="21" s="1"/>
  <c r="O510" i="9"/>
  <c r="O508" i="9"/>
  <c r="O504" i="9"/>
  <c r="AA27" i="9"/>
  <c r="O455" i="9"/>
  <c r="O563" i="9"/>
  <c r="O512" i="9"/>
  <c r="AB512" i="9"/>
  <c r="AN144" i="9"/>
  <c r="AB503" i="9"/>
  <c r="AC453" i="9"/>
  <c r="AG453" i="21" s="1"/>
  <c r="U114" i="20" s="1"/>
  <c r="U214" i="20"/>
  <c r="AE453" i="9"/>
  <c r="AI453" i="21" s="1"/>
  <c r="W114" i="20" s="1"/>
  <c r="W214" i="20"/>
  <c r="AG453" i="9"/>
  <c r="AK453" i="21" s="1"/>
  <c r="Y114" i="20" s="1"/>
  <c r="Y214" i="20"/>
  <c r="AI453" i="9"/>
  <c r="AM453" i="21" s="1"/>
  <c r="AA114" i="20" s="1"/>
  <c r="AA214" i="20"/>
  <c r="AK453" i="9"/>
  <c r="AO453" i="21" s="1"/>
  <c r="AC114" i="20" s="1"/>
  <c r="AC214" i="20"/>
  <c r="AM453" i="9"/>
  <c r="AQ453" i="21" s="1"/>
  <c r="AE114" i="20" s="1"/>
  <c r="AE214" i="20"/>
  <c r="AB455" i="9"/>
  <c r="AN27" i="9"/>
  <c r="AO453" i="9"/>
  <c r="AS453" i="21" s="1"/>
  <c r="AG114" i="20" s="1"/>
  <c r="AG214" i="20"/>
  <c r="AN97" i="9"/>
  <c r="AB537" i="9"/>
  <c r="O547" i="9"/>
  <c r="AA101" i="9"/>
  <c r="O543" i="9"/>
  <c r="AB543" i="9"/>
  <c r="AN101" i="9"/>
  <c r="AB547" i="9"/>
  <c r="AN103" i="9"/>
  <c r="AP547" i="9"/>
  <c r="AT547" i="21" s="1"/>
  <c r="AQ103" i="9"/>
  <c r="O45" i="9"/>
  <c r="O553" i="9"/>
  <c r="AA18" i="9"/>
  <c r="X553" i="9"/>
  <c r="AB553" i="21" s="1"/>
  <c r="V553" i="9"/>
  <c r="Z553" i="21" s="1"/>
  <c r="T45" i="9"/>
  <c r="T553" i="9"/>
  <c r="X553" i="21" s="1"/>
  <c r="R553" i="9"/>
  <c r="V553" i="21" s="1"/>
  <c r="O555" i="9"/>
  <c r="AA22" i="9"/>
  <c r="O565" i="9"/>
  <c r="AA38" i="9"/>
  <c r="AA39" i="9"/>
  <c r="O569" i="9"/>
  <c r="AC553" i="9"/>
  <c r="AG553" i="21" s="1"/>
  <c r="AC45" i="9"/>
  <c r="AE553" i="9"/>
  <c r="AI553" i="21" s="1"/>
  <c r="AE45" i="9"/>
  <c r="AG553" i="9"/>
  <c r="AK553" i="21" s="1"/>
  <c r="AG45" i="9"/>
  <c r="AI45" i="9"/>
  <c r="AI553" i="9"/>
  <c r="AM553" i="21" s="1"/>
  <c r="AK45" i="9"/>
  <c r="AK553" i="9"/>
  <c r="AO553" i="21" s="1"/>
  <c r="AM553" i="9"/>
  <c r="AQ553" i="21" s="1"/>
  <c r="AN38" i="9"/>
  <c r="AB565" i="9"/>
  <c r="AB569" i="9"/>
  <c r="AQ37" i="9"/>
  <c r="AP557" i="9"/>
  <c r="AT557" i="21" s="1"/>
  <c r="AQ39" i="9"/>
  <c r="AR39" i="9" s="1"/>
  <c r="Z88" i="9"/>
  <c r="Z446" i="9"/>
  <c r="R226" i="20"/>
  <c r="X88" i="9"/>
  <c r="P226" i="20"/>
  <c r="X446" i="9"/>
  <c r="V88" i="9"/>
  <c r="V446" i="9"/>
  <c r="N226" i="20"/>
  <c r="L226" i="20"/>
  <c r="T88" i="9"/>
  <c r="T446" i="9"/>
  <c r="P88" i="9"/>
  <c r="H226" i="20"/>
  <c r="P446" i="9"/>
  <c r="AC446" i="9"/>
  <c r="AC88" i="9"/>
  <c r="U226" i="20"/>
  <c r="Y226" i="20"/>
  <c r="AG446" i="9"/>
  <c r="AG88" i="9"/>
  <c r="AA226" i="20"/>
  <c r="AI446" i="9"/>
  <c r="AI88" i="9"/>
  <c r="AK446" i="9"/>
  <c r="AK88" i="9"/>
  <c r="AC226" i="20"/>
  <c r="AE226" i="20"/>
  <c r="AM446" i="9"/>
  <c r="AM88" i="9"/>
  <c r="AA184" i="9"/>
  <c r="Y559" i="9"/>
  <c r="AC559" i="21" s="1"/>
  <c r="W559" i="9"/>
  <c r="AA559" i="21" s="1"/>
  <c r="U559" i="9"/>
  <c r="Y559" i="21" s="1"/>
  <c r="S559" i="9"/>
  <c r="W559" i="21" s="1"/>
  <c r="Q559" i="9"/>
  <c r="U559" i="21" s="1"/>
  <c r="AL559" i="9"/>
  <c r="AP559" i="21" s="1"/>
  <c r="AJ559" i="9"/>
  <c r="AN559" i="21" s="1"/>
  <c r="AH559" i="9"/>
  <c r="AL559" i="21" s="1"/>
  <c r="AF559" i="9"/>
  <c r="AJ559" i="21" s="1"/>
  <c r="AD559" i="9"/>
  <c r="AH559" i="21" s="1"/>
  <c r="G214" i="20"/>
  <c r="O453" i="9"/>
  <c r="Z551" i="9"/>
  <c r="AD551" i="21" s="1"/>
  <c r="R94" i="20" s="1"/>
  <c r="Y528" i="9"/>
  <c r="AC528" i="21" s="1"/>
  <c r="X551" i="9"/>
  <c r="AB551" i="21" s="1"/>
  <c r="P94" i="20" s="1"/>
  <c r="W528" i="9"/>
  <c r="AA528" i="21" s="1"/>
  <c r="V551" i="9"/>
  <c r="Z551" i="21" s="1"/>
  <c r="N94" i="20" s="1"/>
  <c r="U528" i="9"/>
  <c r="Y528" i="21" s="1"/>
  <c r="T551" i="9"/>
  <c r="X551" i="21" s="1"/>
  <c r="L94" i="20" s="1"/>
  <c r="S528" i="9"/>
  <c r="W528" i="21" s="1"/>
  <c r="R551" i="9"/>
  <c r="V551" i="21" s="1"/>
  <c r="J94" i="20" s="1"/>
  <c r="Q528" i="9"/>
  <c r="U528" i="21" s="1"/>
  <c r="P551" i="9"/>
  <c r="T551" i="21" s="1"/>
  <c r="H94" i="20" s="1"/>
  <c r="P87" i="20"/>
  <c r="L87" i="20"/>
  <c r="AM551" i="9"/>
  <c r="AQ551" i="21" s="1"/>
  <c r="AE94" i="20" s="1"/>
  <c r="AL528" i="9"/>
  <c r="AP528" i="21" s="1"/>
  <c r="AK551" i="9"/>
  <c r="AO551" i="21" s="1"/>
  <c r="AC94" i="20" s="1"/>
  <c r="AJ528" i="9"/>
  <c r="AN528" i="21" s="1"/>
  <c r="AI551" i="9"/>
  <c r="AM551" i="21" s="1"/>
  <c r="AA94" i="20" s="1"/>
  <c r="AH528" i="9"/>
  <c r="AL528" i="21" s="1"/>
  <c r="AG551" i="9"/>
  <c r="AK551" i="21" s="1"/>
  <c r="Y94" i="20" s="1"/>
  <c r="AF528" i="9"/>
  <c r="AJ528" i="21" s="1"/>
  <c r="AE551" i="9"/>
  <c r="AI551" i="21" s="1"/>
  <c r="W94" i="20" s="1"/>
  <c r="AD528" i="9"/>
  <c r="AH528" i="21" s="1"/>
  <c r="AC551" i="9"/>
  <c r="AG551" i="21" s="1"/>
  <c r="U94" i="20" s="1"/>
  <c r="X533" i="9"/>
  <c r="AB533" i="21" s="1"/>
  <c r="AG533" i="9"/>
  <c r="AK533" i="21" s="1"/>
  <c r="Y533" i="9"/>
  <c r="AC533" i="21" s="1"/>
  <c r="U533" i="9"/>
  <c r="Y533" i="21" s="1"/>
  <c r="Q533" i="9"/>
  <c r="U533" i="21" s="1"/>
  <c r="AL533" i="9"/>
  <c r="AP533" i="21" s="1"/>
  <c r="AH533" i="9"/>
  <c r="AL533" i="21" s="1"/>
  <c r="AD533" i="9"/>
  <c r="AH533" i="21" s="1"/>
  <c r="AM523" i="9"/>
  <c r="AQ523" i="21" s="1"/>
  <c r="AM111" i="9"/>
  <c r="AK111" i="9"/>
  <c r="AK112" i="9" s="1"/>
  <c r="AK523" i="9"/>
  <c r="AO523" i="21" s="1"/>
  <c r="AI111" i="9"/>
  <c r="AI112" i="9" s="1"/>
  <c r="AI523" i="9"/>
  <c r="AM523" i="21" s="1"/>
  <c r="AG523" i="9"/>
  <c r="AK523" i="21" s="1"/>
  <c r="AG111" i="9"/>
  <c r="AG112" i="9" s="1"/>
  <c r="AE523" i="9"/>
  <c r="AI523" i="21" s="1"/>
  <c r="AE111" i="9"/>
  <c r="AE112" i="9" s="1"/>
  <c r="Z111" i="9"/>
  <c r="Z523" i="9"/>
  <c r="AD523" i="21" s="1"/>
  <c r="Y553" i="9"/>
  <c r="AC553" i="21" s="1"/>
  <c r="X523" i="9"/>
  <c r="AB523" i="21" s="1"/>
  <c r="V111" i="9"/>
  <c r="V523" i="9"/>
  <c r="Z523" i="21" s="1"/>
  <c r="T111" i="9"/>
  <c r="T112" i="9" s="1"/>
  <c r="T523" i="9"/>
  <c r="X523" i="21" s="1"/>
  <c r="R523" i="9"/>
  <c r="V523" i="21" s="1"/>
  <c r="R111" i="9"/>
  <c r="Q553" i="9"/>
  <c r="U553" i="21" s="1"/>
  <c r="P523" i="9"/>
  <c r="T523" i="21" s="1"/>
  <c r="AN52" i="9"/>
  <c r="AB471" i="9"/>
  <c r="O469" i="9"/>
  <c r="P93" i="3"/>
  <c r="P224" i="3" s="1"/>
  <c r="J337" i="20"/>
  <c r="J198" i="20"/>
  <c r="N198" i="20"/>
  <c r="T93" i="3"/>
  <c r="T224" i="3" s="1"/>
  <c r="N337" i="20"/>
  <c r="X93" i="3"/>
  <c r="X224" i="3" s="1"/>
  <c r="R337" i="20"/>
  <c r="R198" i="20"/>
  <c r="O499" i="9"/>
  <c r="AA119" i="9"/>
  <c r="O496" i="9"/>
  <c r="Y480" i="9"/>
  <c r="AC480" i="21" s="1"/>
  <c r="U480" i="9"/>
  <c r="Y480" i="21" s="1"/>
  <c r="R480" i="9"/>
  <c r="V480" i="21" s="1"/>
  <c r="O480" i="9"/>
  <c r="AB499" i="9"/>
  <c r="AF496" i="21"/>
  <c r="AN117" i="9"/>
  <c r="AB491" i="9"/>
  <c r="AL480" i="9"/>
  <c r="AP480" i="21" s="1"/>
  <c r="AJ480" i="9"/>
  <c r="AN480" i="21" s="1"/>
  <c r="AH480" i="9"/>
  <c r="AL480" i="21" s="1"/>
  <c r="AF480" i="9"/>
  <c r="AJ480" i="21" s="1"/>
  <c r="AD480" i="9"/>
  <c r="AH480" i="21" s="1"/>
  <c r="AN115" i="9"/>
  <c r="AB480" i="9"/>
  <c r="AB513" i="9"/>
  <c r="AN127" i="9"/>
  <c r="AN125" i="9"/>
  <c r="AB508" i="9"/>
  <c r="AB507" i="9"/>
  <c r="AB504" i="9"/>
  <c r="AN123" i="9"/>
  <c r="T453" i="9"/>
  <c r="X453" i="21" s="1"/>
  <c r="L114" i="20" s="1"/>
  <c r="L214" i="20"/>
  <c r="AB563" i="9"/>
  <c r="AA144" i="9"/>
  <c r="O503" i="9"/>
  <c r="AD453" i="9"/>
  <c r="AH453" i="21" s="1"/>
  <c r="V114" i="20" s="1"/>
  <c r="V214" i="20"/>
  <c r="AF453" i="9"/>
  <c r="AJ453" i="21" s="1"/>
  <c r="X114" i="20" s="1"/>
  <c r="X214" i="20"/>
  <c r="AH453" i="9"/>
  <c r="AL453" i="21" s="1"/>
  <c r="Z114" i="20" s="1"/>
  <c r="Z214" i="20"/>
  <c r="AJ453" i="9"/>
  <c r="AN453" i="21" s="1"/>
  <c r="AB114" i="20" s="1"/>
  <c r="AB214" i="20"/>
  <c r="AL453" i="9"/>
  <c r="AP453" i="21" s="1"/>
  <c r="AD114" i="20" s="1"/>
  <c r="AD214" i="20"/>
  <c r="AN26" i="9"/>
  <c r="T214" i="20"/>
  <c r="AF214" i="20" s="1"/>
  <c r="AB453" i="9"/>
  <c r="AQ26" i="9"/>
  <c r="AH214" i="20"/>
  <c r="AP453" i="9"/>
  <c r="AT453" i="21" s="1"/>
  <c r="AP455" i="9"/>
  <c r="AT455" i="21" s="1"/>
  <c r="AQ27" i="9"/>
  <c r="AB469" i="9"/>
  <c r="O535" i="9"/>
  <c r="AA96" i="9"/>
  <c r="AB535" i="9"/>
  <c r="AN96" i="9"/>
  <c r="AO523" i="9"/>
  <c r="AS523" i="21" s="1"/>
  <c r="AQ92" i="9"/>
  <c r="AP523" i="9"/>
  <c r="AT523" i="21" s="1"/>
  <c r="AQ96" i="9"/>
  <c r="AP535" i="9"/>
  <c r="AT535" i="21" s="1"/>
  <c r="O549" i="9"/>
  <c r="O545" i="9"/>
  <c r="AN100" i="9"/>
  <c r="AB540" i="9"/>
  <c r="AB545" i="9"/>
  <c r="AB549" i="9"/>
  <c r="AN104" i="9"/>
  <c r="AP540" i="9"/>
  <c r="AT540" i="21" s="1"/>
  <c r="AQ100" i="9"/>
  <c r="AP545" i="9"/>
  <c r="AT545" i="21" s="1"/>
  <c r="AQ102" i="9"/>
  <c r="AP549" i="9"/>
  <c r="AT549" i="21" s="1"/>
  <c r="AQ104" i="9"/>
  <c r="O554" i="9"/>
  <c r="AA19" i="9"/>
  <c r="W553" i="9"/>
  <c r="AA553" i="21" s="1"/>
  <c r="U553" i="9"/>
  <c r="Y553" i="21" s="1"/>
  <c r="S553" i="9"/>
  <c r="W553" i="21" s="1"/>
  <c r="P553" i="9"/>
  <c r="T553" i="21" s="1"/>
  <c r="AN18" i="9"/>
  <c r="AB553" i="9"/>
  <c r="AD553" i="9"/>
  <c r="AH553" i="21" s="1"/>
  <c r="AD45" i="9"/>
  <c r="AF553" i="9"/>
  <c r="AJ553" i="21" s="1"/>
  <c r="AH45" i="9"/>
  <c r="AH553" i="9"/>
  <c r="AL553" i="21" s="1"/>
  <c r="AJ553" i="9"/>
  <c r="AN553" i="21" s="1"/>
  <c r="AJ45" i="9"/>
  <c r="AL553" i="9"/>
  <c r="AP553" i="21" s="1"/>
  <c r="AB557" i="9"/>
  <c r="AQ18" i="9"/>
  <c r="AP553" i="9"/>
  <c r="AT553" i="21" s="1"/>
  <c r="O88" i="9"/>
  <c r="G226" i="20"/>
  <c r="O446" i="9"/>
  <c r="Q226" i="20"/>
  <c r="Y446" i="9"/>
  <c r="Y88" i="9"/>
  <c r="W88" i="9"/>
  <c r="O226" i="20"/>
  <c r="W446" i="9"/>
  <c r="M226" i="20"/>
  <c r="U446" i="9"/>
  <c r="U88" i="9"/>
  <c r="S88" i="9"/>
  <c r="K226" i="20"/>
  <c r="S446" i="9"/>
  <c r="T226" i="20"/>
  <c r="AB446" i="9"/>
  <c r="AB88" i="9"/>
  <c r="AF88" i="9"/>
  <c r="X226" i="20"/>
  <c r="AF446" i="9"/>
  <c r="AH88" i="9"/>
  <c r="AH446" i="9"/>
  <c r="Z226" i="20"/>
  <c r="AJ88" i="9"/>
  <c r="AB226" i="20"/>
  <c r="AJ446" i="9"/>
  <c r="AD226" i="20"/>
  <c r="AL446" i="9"/>
  <c r="AL88" i="9"/>
  <c r="AQ131" i="9"/>
  <c r="AP517" i="9"/>
  <c r="T281" i="20"/>
  <c r="AA186" i="9"/>
  <c r="G281" i="20"/>
  <c r="S281" i="20" s="1"/>
  <c r="G161" i="20"/>
  <c r="H161" i="20" s="1"/>
  <c r="I161" i="20" s="1"/>
  <c r="J161" i="20" s="1"/>
  <c r="K161" i="20" s="1"/>
  <c r="L161" i="20" s="1"/>
  <c r="M161" i="20" s="1"/>
  <c r="N161" i="20" s="1"/>
  <c r="O161" i="20" s="1"/>
  <c r="P161" i="20" s="1"/>
  <c r="Q161" i="20" s="1"/>
  <c r="R161" i="20" s="1"/>
  <c r="Q191" i="9"/>
  <c r="U191" i="9"/>
  <c r="Y191" i="9"/>
  <c r="Z559" i="9"/>
  <c r="AD559" i="21" s="1"/>
  <c r="X559" i="9"/>
  <c r="AB559" i="21" s="1"/>
  <c r="V559" i="9"/>
  <c r="Z559" i="21" s="1"/>
  <c r="T559" i="9"/>
  <c r="X559" i="21" s="1"/>
  <c r="R559" i="9"/>
  <c r="V559" i="21" s="1"/>
  <c r="P559" i="9"/>
  <c r="T559" i="21" s="1"/>
  <c r="AM559" i="9"/>
  <c r="AQ559" i="21" s="1"/>
  <c r="AK559" i="9"/>
  <c r="AO559" i="21" s="1"/>
  <c r="AI559" i="9"/>
  <c r="AM559" i="21" s="1"/>
  <c r="AG559" i="9"/>
  <c r="AK559" i="21" s="1"/>
  <c r="AE559" i="9"/>
  <c r="AI559" i="21" s="1"/>
  <c r="AC559" i="9"/>
  <c r="AG559" i="21" s="1"/>
  <c r="AA109" i="9"/>
  <c r="O551" i="9"/>
  <c r="O527" i="9"/>
  <c r="AA107" i="9"/>
  <c r="AN109" i="9"/>
  <c r="AB551" i="9"/>
  <c r="AN107" i="9"/>
  <c r="AB527" i="9"/>
  <c r="Z533" i="9"/>
  <c r="AD533" i="21" s="1"/>
  <c r="R533" i="9"/>
  <c r="V533" i="21" s="1"/>
  <c r="AI533" i="9"/>
  <c r="AM533" i="21" s="1"/>
  <c r="W533" i="9"/>
  <c r="AA533" i="21" s="1"/>
  <c r="S533" i="9"/>
  <c r="W533" i="21" s="1"/>
  <c r="AJ533" i="9"/>
  <c r="AN533" i="21" s="1"/>
  <c r="AF533" i="9"/>
  <c r="AJ533" i="21" s="1"/>
  <c r="AL111" i="9"/>
  <c r="AL523" i="9"/>
  <c r="AP523" i="21" s="1"/>
  <c r="AJ111" i="9"/>
  <c r="AJ112" i="9" s="1"/>
  <c r="AJ523" i="9"/>
  <c r="AN523" i="21" s="1"/>
  <c r="AH523" i="9"/>
  <c r="AL523" i="21" s="1"/>
  <c r="AF111" i="9"/>
  <c r="AF523" i="9"/>
  <c r="AJ523" i="21" s="1"/>
  <c r="AD523" i="9"/>
  <c r="AH523" i="21" s="1"/>
  <c r="AD111" i="9"/>
  <c r="AD112" i="9" s="1"/>
  <c r="AB111" i="9"/>
  <c r="AN92" i="9"/>
  <c r="AB523" i="9"/>
  <c r="Z553" i="9"/>
  <c r="AD553" i="21" s="1"/>
  <c r="Y523" i="9"/>
  <c r="AC523" i="21" s="1"/>
  <c r="Y111" i="9"/>
  <c r="X480" i="9"/>
  <c r="AB480" i="21" s="1"/>
  <c r="W111" i="9"/>
  <c r="W523" i="9"/>
  <c r="AA523" i="21" s="1"/>
  <c r="U523" i="9"/>
  <c r="Y523" i="21" s="1"/>
  <c r="T480" i="9"/>
  <c r="X480" i="21" s="1"/>
  <c r="S523" i="9"/>
  <c r="W523" i="21" s="1"/>
  <c r="Q523" i="9"/>
  <c r="U523" i="21" s="1"/>
  <c r="Q111" i="9"/>
  <c r="P480" i="9"/>
  <c r="T480" i="21" s="1"/>
  <c r="O507" i="9"/>
  <c r="O557" i="9"/>
  <c r="AA37" i="9"/>
  <c r="O540" i="9"/>
  <c r="AA100" i="9"/>
  <c r="AA94" i="9"/>
  <c r="O523" i="9"/>
  <c r="AA92" i="9"/>
  <c r="O471" i="9"/>
  <c r="AA52" i="9"/>
  <c r="W563" i="9"/>
  <c r="AA563" i="21" s="1"/>
  <c r="P563" i="9"/>
  <c r="T563" i="21" s="1"/>
  <c r="AG469" i="9"/>
  <c r="AK469" i="21" s="1"/>
  <c r="AK469" i="9"/>
  <c r="AO469" i="21" s="1"/>
  <c r="Q469" i="9"/>
  <c r="U469" i="21" s="1"/>
  <c r="V499" i="9"/>
  <c r="Z499" i="21" s="1"/>
  <c r="R499" i="9"/>
  <c r="V499" i="21" s="1"/>
  <c r="AA490" i="21"/>
  <c r="Q510" i="9"/>
  <c r="U510" i="21" s="1"/>
  <c r="Z499" i="9"/>
  <c r="AD499" i="21" s="1"/>
  <c r="Y569" i="9"/>
  <c r="AC569" i="21" s="1"/>
  <c r="Q105" i="20" s="1"/>
  <c r="Q569" i="9"/>
  <c r="U569" i="21" s="1"/>
  <c r="I105" i="20" s="1"/>
  <c r="AC469" i="9"/>
  <c r="AG469" i="21" s="1"/>
  <c r="AA40" i="9"/>
  <c r="AE281" i="20"/>
  <c r="AC281" i="20"/>
  <c r="AA281" i="20"/>
  <c r="Y281" i="20"/>
  <c r="W281" i="20"/>
  <c r="U281" i="20"/>
  <c r="AG281" i="20"/>
  <c r="W569" i="9"/>
  <c r="AA569" i="21" s="1"/>
  <c r="O105" i="20" s="1"/>
  <c r="U569" i="9"/>
  <c r="Y569" i="21" s="1"/>
  <c r="M105" i="20" s="1"/>
  <c r="S569" i="9"/>
  <c r="W569" i="21" s="1"/>
  <c r="K105" i="20" s="1"/>
  <c r="P531" i="9"/>
  <c r="T531" i="21" s="1"/>
  <c r="AO528" i="9"/>
  <c r="AS528" i="21" s="1"/>
  <c r="AO551" i="9"/>
  <c r="AS551" i="21" s="1"/>
  <c r="AG94" i="20" s="1"/>
  <c r="AO527" i="9"/>
  <c r="AS527" i="21" s="1"/>
  <c r="AQ95" i="9"/>
  <c r="AR95" i="9" s="1"/>
  <c r="AS95" i="9" s="1"/>
  <c r="AT95" i="9" s="1"/>
  <c r="AU95" i="9" s="1"/>
  <c r="AV95" i="9" s="1"/>
  <c r="AW95" i="9" s="1"/>
  <c r="AX95" i="9" s="1"/>
  <c r="AY95" i="9" s="1"/>
  <c r="P549" i="9"/>
  <c r="T549" i="21" s="1"/>
  <c r="AF554" i="9"/>
  <c r="AJ554" i="21" s="1"/>
  <c r="AL569" i="9"/>
  <c r="AP569" i="21" s="1"/>
  <c r="AD105" i="20" s="1"/>
  <c r="AH545" i="9"/>
  <c r="AL545" i="21" s="1"/>
  <c r="AC111" i="9"/>
  <c r="AC112" i="9" s="1"/>
  <c r="X545" i="9"/>
  <c r="AB545" i="21" s="1"/>
  <c r="AQ93" i="9"/>
  <c r="AR93" i="9" s="1"/>
  <c r="AS93" i="9" s="1"/>
  <c r="AT93" i="9" s="1"/>
  <c r="AU93" i="9" s="1"/>
  <c r="AV93" i="9" s="1"/>
  <c r="AW93" i="9" s="1"/>
  <c r="AX93" i="9" s="1"/>
  <c r="AY93" i="9" s="1"/>
  <c r="AO540" i="9"/>
  <c r="AS540" i="21" s="1"/>
  <c r="S547" i="9"/>
  <c r="W547" i="21" s="1"/>
  <c r="AO545" i="9"/>
  <c r="AS545" i="21" s="1"/>
  <c r="AO537" i="9"/>
  <c r="AS537" i="21" s="1"/>
  <c r="AA95" i="9"/>
  <c r="AO555" i="9"/>
  <c r="AS555" i="21" s="1"/>
  <c r="AG98" i="20" s="1"/>
  <c r="AO569" i="9"/>
  <c r="AS569" i="21" s="1"/>
  <c r="AG105" i="20" s="1"/>
  <c r="AO554" i="9"/>
  <c r="AS554" i="21" s="1"/>
  <c r="AM557" i="9"/>
  <c r="AQ557" i="21" s="1"/>
  <c r="P552" i="9"/>
  <c r="T552" i="21" s="1"/>
  <c r="H97" i="20" s="1"/>
  <c r="P548" i="9"/>
  <c r="T548" i="21" s="1"/>
  <c r="P536" i="9"/>
  <c r="T536" i="21" s="1"/>
  <c r="P506" i="9"/>
  <c r="T506" i="21" s="1"/>
  <c r="X512" i="9"/>
  <c r="AB512" i="21" s="1"/>
  <c r="P512" i="9"/>
  <c r="T512" i="21" s="1"/>
  <c r="AM563" i="9"/>
  <c r="AQ563" i="21" s="1"/>
  <c r="AI563" i="9"/>
  <c r="AM563" i="21" s="1"/>
  <c r="AE563" i="9"/>
  <c r="AI563" i="21" s="1"/>
  <c r="P516" i="9"/>
  <c r="T516" i="21" s="1"/>
  <c r="P509" i="9"/>
  <c r="T509" i="21" s="1"/>
  <c r="P505" i="9"/>
  <c r="T505" i="21" s="1"/>
  <c r="Z563" i="9"/>
  <c r="AD563" i="21" s="1"/>
  <c r="AK512" i="9"/>
  <c r="AO512" i="21" s="1"/>
  <c r="Z512" i="9"/>
  <c r="AD512" i="21" s="1"/>
  <c r="R534" i="9"/>
  <c r="V534" i="21" s="1"/>
  <c r="V512" i="9"/>
  <c r="Z512" i="21" s="1"/>
  <c r="Y563" i="9"/>
  <c r="AC563" i="21" s="1"/>
  <c r="U563" i="9"/>
  <c r="Y563" i="21" s="1"/>
  <c r="P525" i="9"/>
  <c r="T525" i="21" s="1"/>
  <c r="AC512" i="9"/>
  <c r="AG512" i="21" s="1"/>
  <c r="X563" i="9"/>
  <c r="AB563" i="21" s="1"/>
  <c r="T563" i="9"/>
  <c r="X563" i="21" s="1"/>
  <c r="R512" i="9"/>
  <c r="V512" i="21" s="1"/>
  <c r="R524" i="9"/>
  <c r="V524" i="21" s="1"/>
  <c r="AG512" i="9"/>
  <c r="AK512" i="21" s="1"/>
  <c r="AO563" i="9"/>
  <c r="AS563" i="21" s="1"/>
  <c r="T489" i="21"/>
  <c r="P478" i="9"/>
  <c r="T478" i="21" s="1"/>
  <c r="AO503" i="9"/>
  <c r="AS503" i="21" s="1"/>
  <c r="R556" i="9"/>
  <c r="V556" i="21" s="1"/>
  <c r="AM507" i="9"/>
  <c r="AQ507" i="21" s="1"/>
  <c r="W499" i="9"/>
  <c r="AA499" i="21" s="1"/>
  <c r="R510" i="9"/>
  <c r="V510" i="21" s="1"/>
  <c r="AN130" i="9"/>
  <c r="AA130" i="9"/>
  <c r="AE499" i="9"/>
  <c r="AI499" i="21" s="1"/>
  <c r="AO480" i="9"/>
  <c r="AS480" i="21" s="1"/>
  <c r="AC499" i="9"/>
  <c r="AG499" i="21" s="1"/>
  <c r="AO496" i="9"/>
  <c r="AS496" i="21" s="1"/>
  <c r="AO510" i="9"/>
  <c r="AS510" i="21" s="1"/>
  <c r="AO491" i="9"/>
  <c r="AS491" i="21" s="1"/>
  <c r="AO513" i="9"/>
  <c r="AS513" i="21" s="1"/>
  <c r="AO508" i="9"/>
  <c r="AS508" i="21" s="1"/>
  <c r="AO507" i="9"/>
  <c r="AS507" i="21" s="1"/>
  <c r="AQ118" i="9"/>
  <c r="AR118" i="9" s="1"/>
  <c r="AS118" i="9" s="1"/>
  <c r="AT118" i="9" s="1"/>
  <c r="AU118" i="9" s="1"/>
  <c r="AV118" i="9" s="1"/>
  <c r="AW118" i="9" s="1"/>
  <c r="AX118" i="9" s="1"/>
  <c r="AY118" i="9" s="1"/>
  <c r="AQ74" i="9"/>
  <c r="AR74" i="9" s="1"/>
  <c r="AS74" i="9" s="1"/>
  <c r="AT74" i="9" s="1"/>
  <c r="AU74" i="9" s="1"/>
  <c r="AV74" i="9" s="1"/>
  <c r="AW74" i="9" s="1"/>
  <c r="AX74" i="9" s="1"/>
  <c r="AY74" i="9" s="1"/>
  <c r="AQ64" i="9"/>
  <c r="AR64" i="9" s="1"/>
  <c r="AS64" i="9" s="1"/>
  <c r="AT64" i="9" s="1"/>
  <c r="AU64" i="9" s="1"/>
  <c r="AV64" i="9" s="1"/>
  <c r="AW64" i="9" s="1"/>
  <c r="AX64" i="9" s="1"/>
  <c r="AY64" i="9" s="1"/>
  <c r="AQ78" i="9"/>
  <c r="AR78" i="9" s="1"/>
  <c r="AS78" i="9" s="1"/>
  <c r="AT78" i="9" s="1"/>
  <c r="AU78" i="9" s="1"/>
  <c r="AV78" i="9" s="1"/>
  <c r="AW78" i="9" s="1"/>
  <c r="AX78" i="9" s="1"/>
  <c r="AY78" i="9" s="1"/>
  <c r="AQ65" i="9"/>
  <c r="AR65" i="9" s="1"/>
  <c r="AS65" i="9" s="1"/>
  <c r="AT65" i="9" s="1"/>
  <c r="AU65" i="9" s="1"/>
  <c r="AV65" i="9" s="1"/>
  <c r="AW65" i="9" s="1"/>
  <c r="AX65" i="9" s="1"/>
  <c r="AY65" i="9" s="1"/>
  <c r="AQ77" i="9"/>
  <c r="AR77" i="9" s="1"/>
  <c r="AS77" i="9" s="1"/>
  <c r="AT77" i="9" s="1"/>
  <c r="AU77" i="9" s="1"/>
  <c r="AV77" i="9" s="1"/>
  <c r="AW77" i="9" s="1"/>
  <c r="AX77" i="9" s="1"/>
  <c r="AY77" i="9" s="1"/>
  <c r="AQ73" i="9"/>
  <c r="AR73" i="9" s="1"/>
  <c r="AS73" i="9" s="1"/>
  <c r="AT73" i="9" s="1"/>
  <c r="AU73" i="9" s="1"/>
  <c r="AV73" i="9" s="1"/>
  <c r="AW73" i="9" s="1"/>
  <c r="AX73" i="9" s="1"/>
  <c r="AY73" i="9" s="1"/>
  <c r="AQ82" i="9"/>
  <c r="AR82" i="9" s="1"/>
  <c r="AS82" i="9" s="1"/>
  <c r="AT82" i="9" s="1"/>
  <c r="AU82" i="9" s="1"/>
  <c r="AV82" i="9" s="1"/>
  <c r="AW82" i="9" s="1"/>
  <c r="AX82" i="9" s="1"/>
  <c r="AY82" i="9" s="1"/>
  <c r="AS490" i="21"/>
  <c r="W506" i="9"/>
  <c r="AA506" i="21" s="1"/>
  <c r="S506" i="9"/>
  <c r="W506" i="21" s="1"/>
  <c r="Y506" i="9"/>
  <c r="AC506" i="21" s="1"/>
  <c r="U506" i="9"/>
  <c r="Y506" i="21" s="1"/>
  <c r="Z506" i="9"/>
  <c r="AD506" i="21" s="1"/>
  <c r="Y556" i="9"/>
  <c r="AC556" i="21" s="1"/>
  <c r="Y505" i="9"/>
  <c r="AC505" i="21" s="1"/>
  <c r="AC489" i="21"/>
  <c r="Y478" i="9"/>
  <c r="AC478" i="21" s="1"/>
  <c r="Y516" i="9"/>
  <c r="AC516" i="21" s="1"/>
  <c r="X506" i="9"/>
  <c r="AB506" i="21" s="1"/>
  <c r="W556" i="9"/>
  <c r="AA556" i="21" s="1"/>
  <c r="W505" i="9"/>
  <c r="AA505" i="21" s="1"/>
  <c r="AA489" i="21"/>
  <c r="W478" i="9"/>
  <c r="AA478" i="21" s="1"/>
  <c r="W516" i="9"/>
  <c r="AA516" i="21" s="1"/>
  <c r="V506" i="9"/>
  <c r="Z506" i="21" s="1"/>
  <c r="U556" i="9"/>
  <c r="Y556" i="21" s="1"/>
  <c r="U505" i="9"/>
  <c r="Y505" i="21" s="1"/>
  <c r="Y489" i="21"/>
  <c r="U478" i="9"/>
  <c r="Y478" i="21" s="1"/>
  <c r="T506" i="9"/>
  <c r="X506" i="21" s="1"/>
  <c r="S505" i="9"/>
  <c r="W505" i="21" s="1"/>
  <c r="W489" i="21"/>
  <c r="S478" i="9"/>
  <c r="W478" i="21" s="1"/>
  <c r="S516" i="9"/>
  <c r="W516" i="21" s="1"/>
  <c r="R506" i="9"/>
  <c r="V506" i="21" s="1"/>
  <c r="Z556" i="9"/>
  <c r="AD556" i="21" s="1"/>
  <c r="Z505" i="9"/>
  <c r="AD505" i="21" s="1"/>
  <c r="AD489" i="21"/>
  <c r="Z478" i="9"/>
  <c r="AD478" i="21" s="1"/>
  <c r="Z516" i="9"/>
  <c r="AD516" i="21" s="1"/>
  <c r="X556" i="9"/>
  <c r="AB556" i="21" s="1"/>
  <c r="X505" i="9"/>
  <c r="AB505" i="21" s="1"/>
  <c r="AB489" i="21"/>
  <c r="X478" i="9"/>
  <c r="AB478" i="21" s="1"/>
  <c r="X516" i="9"/>
  <c r="AB516" i="21" s="1"/>
  <c r="V556" i="9"/>
  <c r="Z556" i="21" s="1"/>
  <c r="V505" i="9"/>
  <c r="Z505" i="21" s="1"/>
  <c r="Z489" i="21"/>
  <c r="V478" i="9"/>
  <c r="Z478" i="21" s="1"/>
  <c r="V516" i="9"/>
  <c r="Z516" i="21" s="1"/>
  <c r="T556" i="9"/>
  <c r="X556" i="21" s="1"/>
  <c r="T505" i="9"/>
  <c r="X505" i="21" s="1"/>
  <c r="X489" i="21"/>
  <c r="T478" i="9"/>
  <c r="X478" i="21" s="1"/>
  <c r="T516" i="9"/>
  <c r="X516" i="21" s="1"/>
  <c r="R505" i="9"/>
  <c r="V505" i="21" s="1"/>
  <c r="V489" i="21"/>
  <c r="R478" i="9"/>
  <c r="V478" i="21" s="1"/>
  <c r="R516" i="9"/>
  <c r="V516" i="21" s="1"/>
  <c r="Q505" i="9"/>
  <c r="U505" i="21" s="1"/>
  <c r="Q506" i="9"/>
  <c r="U506" i="21" s="1"/>
  <c r="Q478" i="9"/>
  <c r="U478" i="21" s="1"/>
  <c r="Q516" i="9"/>
  <c r="U516" i="21" s="1"/>
  <c r="Y526" i="9"/>
  <c r="AC526" i="21" s="1"/>
  <c r="W526" i="9"/>
  <c r="AA526" i="21" s="1"/>
  <c r="U526" i="9"/>
  <c r="Y526" i="21" s="1"/>
  <c r="S526" i="9"/>
  <c r="W526" i="21" s="1"/>
  <c r="Q526" i="9"/>
  <c r="U526" i="21" s="1"/>
  <c r="AL526" i="9"/>
  <c r="AP526" i="21" s="1"/>
  <c r="AJ526" i="9"/>
  <c r="AN526" i="21" s="1"/>
  <c r="AH526" i="9"/>
  <c r="AL526" i="21" s="1"/>
  <c r="AF526" i="9"/>
  <c r="AJ526" i="21" s="1"/>
  <c r="AD526" i="9"/>
  <c r="AH526" i="21" s="1"/>
  <c r="AM495" i="9"/>
  <c r="AQ495" i="21" s="1"/>
  <c r="AK495" i="9"/>
  <c r="AO495" i="21" s="1"/>
  <c r="AI495" i="9"/>
  <c r="AM495" i="21" s="1"/>
  <c r="AG495" i="9"/>
  <c r="AK495" i="21" s="1"/>
  <c r="AE495" i="9"/>
  <c r="AI495" i="21" s="1"/>
  <c r="AC495" i="9"/>
  <c r="AG495" i="21" s="1"/>
  <c r="Z495" i="9"/>
  <c r="AD495" i="21" s="1"/>
  <c r="X495" i="9"/>
  <c r="AB495" i="21" s="1"/>
  <c r="V495" i="9"/>
  <c r="Z495" i="21" s="1"/>
  <c r="T495" i="9"/>
  <c r="X495" i="21" s="1"/>
  <c r="R495" i="9"/>
  <c r="V495" i="21" s="1"/>
  <c r="P495" i="9"/>
  <c r="T495" i="21" s="1"/>
  <c r="AM514" i="9"/>
  <c r="AQ514" i="21" s="1"/>
  <c r="AK514" i="9"/>
  <c r="AO514" i="21" s="1"/>
  <c r="AI514" i="9"/>
  <c r="AM514" i="21" s="1"/>
  <c r="AG514" i="9"/>
  <c r="AK514" i="21" s="1"/>
  <c r="AE514" i="9"/>
  <c r="AI514" i="21" s="1"/>
  <c r="AC514" i="9"/>
  <c r="AG514" i="21" s="1"/>
  <c r="Z514" i="9"/>
  <c r="AD514" i="21" s="1"/>
  <c r="X514" i="9"/>
  <c r="AB514" i="21" s="1"/>
  <c r="V514" i="9"/>
  <c r="Z514" i="21" s="1"/>
  <c r="T514" i="9"/>
  <c r="X514" i="21" s="1"/>
  <c r="R514" i="9"/>
  <c r="V514" i="21" s="1"/>
  <c r="P514" i="9"/>
  <c r="T514" i="21" s="1"/>
  <c r="Z530" i="9"/>
  <c r="AD530" i="21" s="1"/>
  <c r="X530" i="9"/>
  <c r="AB530" i="21" s="1"/>
  <c r="V530" i="9"/>
  <c r="Z530" i="21" s="1"/>
  <c r="T530" i="9"/>
  <c r="X530" i="21" s="1"/>
  <c r="R530" i="9"/>
  <c r="V530" i="21" s="1"/>
  <c r="P530" i="9"/>
  <c r="T530" i="21" s="1"/>
  <c r="AM530" i="9"/>
  <c r="AQ530" i="21" s="1"/>
  <c r="AK530" i="9"/>
  <c r="AO530" i="21" s="1"/>
  <c r="AI530" i="9"/>
  <c r="AM530" i="21" s="1"/>
  <c r="AG530" i="9"/>
  <c r="AK530" i="21" s="1"/>
  <c r="AE530" i="9"/>
  <c r="AI530" i="21" s="1"/>
  <c r="AC530" i="9"/>
  <c r="AG530" i="21" s="1"/>
  <c r="AM566" i="9"/>
  <c r="AQ566" i="21" s="1"/>
  <c r="AK566" i="9"/>
  <c r="AO566" i="21" s="1"/>
  <c r="AI566" i="9"/>
  <c r="AM566" i="21" s="1"/>
  <c r="AG566" i="9"/>
  <c r="AK566" i="21" s="1"/>
  <c r="AE566" i="9"/>
  <c r="AI566" i="21" s="1"/>
  <c r="AC566" i="9"/>
  <c r="AG566" i="21" s="1"/>
  <c r="AL560" i="9"/>
  <c r="AP560" i="21" s="1"/>
  <c r="AJ560" i="9"/>
  <c r="AN560" i="21" s="1"/>
  <c r="AH560" i="9"/>
  <c r="AL560" i="21" s="1"/>
  <c r="AF560" i="9"/>
  <c r="AJ560" i="21" s="1"/>
  <c r="AD560" i="9"/>
  <c r="AH560" i="21" s="1"/>
  <c r="AM532" i="9"/>
  <c r="AQ532" i="21" s="1"/>
  <c r="AK532" i="9"/>
  <c r="AO532" i="21" s="1"/>
  <c r="AI532" i="9"/>
  <c r="AM532" i="21" s="1"/>
  <c r="AG532" i="9"/>
  <c r="AK532" i="21" s="1"/>
  <c r="AE532" i="9"/>
  <c r="AI532" i="21" s="1"/>
  <c r="AC532" i="9"/>
  <c r="AG532" i="21" s="1"/>
  <c r="Z566" i="9"/>
  <c r="AD566" i="21" s="1"/>
  <c r="X566" i="9"/>
  <c r="AB566" i="21" s="1"/>
  <c r="V566" i="9"/>
  <c r="Z566" i="21" s="1"/>
  <c r="T566" i="9"/>
  <c r="X566" i="21" s="1"/>
  <c r="R566" i="9"/>
  <c r="V566" i="21" s="1"/>
  <c r="P566" i="9"/>
  <c r="T566" i="21" s="1"/>
  <c r="Y560" i="9"/>
  <c r="AC560" i="21" s="1"/>
  <c r="W560" i="9"/>
  <c r="AA560" i="21" s="1"/>
  <c r="U560" i="9"/>
  <c r="Y560" i="21" s="1"/>
  <c r="S560" i="9"/>
  <c r="W560" i="21" s="1"/>
  <c r="Y517" i="9"/>
  <c r="W517" i="9"/>
  <c r="U517" i="9"/>
  <c r="S517" i="9"/>
  <c r="Q517" i="9"/>
  <c r="AL517" i="9"/>
  <c r="AJ517" i="9"/>
  <c r="AH517" i="9"/>
  <c r="AF517" i="9"/>
  <c r="AD517" i="9"/>
  <c r="Z526" i="9"/>
  <c r="AD526" i="21" s="1"/>
  <c r="X526" i="9"/>
  <c r="AB526" i="21" s="1"/>
  <c r="V526" i="9"/>
  <c r="Z526" i="21" s="1"/>
  <c r="T526" i="9"/>
  <c r="X526" i="21" s="1"/>
  <c r="R526" i="9"/>
  <c r="V526" i="21" s="1"/>
  <c r="P526" i="9"/>
  <c r="T526" i="21" s="1"/>
  <c r="AM526" i="9"/>
  <c r="AQ526" i="21" s="1"/>
  <c r="AK526" i="9"/>
  <c r="AO526" i="21" s="1"/>
  <c r="AI526" i="9"/>
  <c r="AM526" i="21" s="1"/>
  <c r="AG526" i="9"/>
  <c r="AK526" i="21" s="1"/>
  <c r="AE526" i="9"/>
  <c r="AI526" i="21" s="1"/>
  <c r="AC526" i="9"/>
  <c r="AG526" i="21" s="1"/>
  <c r="AL495" i="9"/>
  <c r="AP495" i="21" s="1"/>
  <c r="AJ495" i="9"/>
  <c r="AN495" i="21" s="1"/>
  <c r="AH495" i="9"/>
  <c r="AL495" i="21" s="1"/>
  <c r="AF495" i="9"/>
  <c r="AJ495" i="21" s="1"/>
  <c r="AD495" i="9"/>
  <c r="AH495" i="21" s="1"/>
  <c r="Y495" i="9"/>
  <c r="AC495" i="21" s="1"/>
  <c r="W495" i="9"/>
  <c r="AA495" i="21" s="1"/>
  <c r="U495" i="9"/>
  <c r="Y495" i="21" s="1"/>
  <c r="S495" i="9"/>
  <c r="W495" i="21" s="1"/>
  <c r="Q495" i="9"/>
  <c r="U495" i="21" s="1"/>
  <c r="AL514" i="9"/>
  <c r="AP514" i="21" s="1"/>
  <c r="AJ514" i="9"/>
  <c r="AN514" i="21" s="1"/>
  <c r="AH514" i="9"/>
  <c r="AL514" i="21" s="1"/>
  <c r="AF514" i="9"/>
  <c r="AJ514" i="21" s="1"/>
  <c r="AD514" i="9"/>
  <c r="AH514" i="21" s="1"/>
  <c r="Y514" i="9"/>
  <c r="AC514" i="21" s="1"/>
  <c r="W514" i="9"/>
  <c r="AA514" i="21" s="1"/>
  <c r="U514" i="9"/>
  <c r="Y514" i="21" s="1"/>
  <c r="S514" i="9"/>
  <c r="W514" i="21" s="1"/>
  <c r="Q514" i="9"/>
  <c r="U514" i="21" s="1"/>
  <c r="Y530" i="9"/>
  <c r="AC530" i="21" s="1"/>
  <c r="W530" i="9"/>
  <c r="AA530" i="21" s="1"/>
  <c r="U530" i="9"/>
  <c r="Y530" i="21" s="1"/>
  <c r="S530" i="9"/>
  <c r="W530" i="21" s="1"/>
  <c r="Q530" i="9"/>
  <c r="U530" i="21" s="1"/>
  <c r="AL530" i="9"/>
  <c r="AP530" i="21" s="1"/>
  <c r="AJ530" i="9"/>
  <c r="AN530" i="21" s="1"/>
  <c r="AH530" i="9"/>
  <c r="AL530" i="21" s="1"/>
  <c r="AF530" i="9"/>
  <c r="AJ530" i="21" s="1"/>
  <c r="AD530" i="9"/>
  <c r="AH530" i="21" s="1"/>
  <c r="AL566" i="9"/>
  <c r="AP566" i="21" s="1"/>
  <c r="AJ566" i="9"/>
  <c r="AN566" i="21" s="1"/>
  <c r="AH566" i="9"/>
  <c r="AL566" i="21" s="1"/>
  <c r="AF566" i="9"/>
  <c r="AJ566" i="21" s="1"/>
  <c r="AD566" i="9"/>
  <c r="AH566" i="21" s="1"/>
  <c r="AM560" i="9"/>
  <c r="AQ560" i="21" s="1"/>
  <c r="AK560" i="9"/>
  <c r="AO560" i="21" s="1"/>
  <c r="AI560" i="9"/>
  <c r="AM560" i="21" s="1"/>
  <c r="AG560" i="9"/>
  <c r="AK560" i="21" s="1"/>
  <c r="AE560" i="9"/>
  <c r="AI560" i="21" s="1"/>
  <c r="AC560" i="9"/>
  <c r="AG560" i="21" s="1"/>
  <c r="AL532" i="9"/>
  <c r="AP532" i="21" s="1"/>
  <c r="AJ532" i="9"/>
  <c r="AN532" i="21" s="1"/>
  <c r="AH532" i="9"/>
  <c r="AL532" i="21" s="1"/>
  <c r="AF532" i="9"/>
  <c r="AJ532" i="21" s="1"/>
  <c r="AD532" i="9"/>
  <c r="AH532" i="21" s="1"/>
  <c r="Y566" i="9"/>
  <c r="AC566" i="21" s="1"/>
  <c r="W566" i="9"/>
  <c r="AA566" i="21" s="1"/>
  <c r="U566" i="9"/>
  <c r="Y566" i="21" s="1"/>
  <c r="S566" i="9"/>
  <c r="W566" i="21" s="1"/>
  <c r="Q566" i="9"/>
  <c r="U566" i="21" s="1"/>
  <c r="Z560" i="9"/>
  <c r="AD560" i="21" s="1"/>
  <c r="X560" i="9"/>
  <c r="AB560" i="21" s="1"/>
  <c r="V560" i="9"/>
  <c r="Z560" i="21" s="1"/>
  <c r="T560" i="9"/>
  <c r="X560" i="21" s="1"/>
  <c r="R560" i="9"/>
  <c r="V560" i="21" s="1"/>
  <c r="Y532" i="9"/>
  <c r="AC532" i="21" s="1"/>
  <c r="W532" i="9"/>
  <c r="AA532" i="21" s="1"/>
  <c r="U532" i="9"/>
  <c r="Y532" i="21" s="1"/>
  <c r="S532" i="9"/>
  <c r="W532" i="21" s="1"/>
  <c r="Q532" i="9"/>
  <c r="U532" i="21" s="1"/>
  <c r="Z517" i="9"/>
  <c r="X517" i="9"/>
  <c r="V517" i="9"/>
  <c r="T517" i="9"/>
  <c r="R517" i="9"/>
  <c r="P517" i="9"/>
  <c r="AM517" i="9"/>
  <c r="AK517" i="9"/>
  <c r="AI517" i="9"/>
  <c r="AG517" i="9"/>
  <c r="AE517" i="9"/>
  <c r="AC517" i="9"/>
  <c r="AO471" i="9"/>
  <c r="AS471" i="21" s="1"/>
  <c r="U516" i="9" l="1"/>
  <c r="Y516" i="21" s="1"/>
  <c r="AP45" i="9"/>
  <c r="AE133" i="9"/>
  <c r="AI133" i="9"/>
  <c r="AM133" i="9"/>
  <c r="R133" i="9"/>
  <c r="V133" i="9"/>
  <c r="Z133" i="9"/>
  <c r="AD133" i="9"/>
  <c r="AH133" i="9"/>
  <c r="AL133" i="9"/>
  <c r="Y133" i="9"/>
  <c r="S191" i="9"/>
  <c r="AK133" i="9"/>
  <c r="T133" i="9"/>
  <c r="X133" i="9"/>
  <c r="AA65" i="9"/>
  <c r="AN65" i="9"/>
  <c r="AF133" i="9"/>
  <c r="AJ133" i="9"/>
  <c r="AO111" i="9"/>
  <c r="AP471" i="9"/>
  <c r="AT471" i="21" s="1"/>
  <c r="AQ52" i="9"/>
  <c r="AA63" i="9"/>
  <c r="AN63" i="9"/>
  <c r="AN62" i="9"/>
  <c r="AN59" i="9"/>
  <c r="AA58" i="9"/>
  <c r="AD488" i="9"/>
  <c r="AH488" i="21" s="1"/>
  <c r="AD67" i="9"/>
  <c r="AF488" i="9"/>
  <c r="AJ488" i="21" s="1"/>
  <c r="AF67" i="9"/>
  <c r="AH488" i="9"/>
  <c r="AL488" i="21" s="1"/>
  <c r="AH67" i="9"/>
  <c r="AJ488" i="9"/>
  <c r="AN488" i="21" s="1"/>
  <c r="AJ67" i="9"/>
  <c r="AL488" i="9"/>
  <c r="AP488" i="21" s="1"/>
  <c r="AL67" i="9"/>
  <c r="AN82" i="9"/>
  <c r="AN80" i="9"/>
  <c r="AN74" i="9"/>
  <c r="Q84" i="9"/>
  <c r="Q475" i="9"/>
  <c r="U475" i="21" s="1"/>
  <c r="S84" i="9"/>
  <c r="S475" i="9"/>
  <c r="W475" i="21" s="1"/>
  <c r="U84" i="9"/>
  <c r="U475" i="9"/>
  <c r="Y475" i="21" s="1"/>
  <c r="W84" i="9"/>
  <c r="W475" i="9"/>
  <c r="AA475" i="21" s="1"/>
  <c r="Y84" i="9"/>
  <c r="Y475" i="9"/>
  <c r="AC475" i="21" s="1"/>
  <c r="AA79" i="9"/>
  <c r="O526" i="9"/>
  <c r="AA78" i="9"/>
  <c r="AA74" i="9"/>
  <c r="AA73" i="9"/>
  <c r="AG226" i="20"/>
  <c r="AO446" i="9"/>
  <c r="AO88" i="9"/>
  <c r="AD446" i="9"/>
  <c r="V226" i="20"/>
  <c r="AD88" i="9"/>
  <c r="AA131" i="9"/>
  <c r="O517" i="9"/>
  <c r="AA517" i="9" s="1"/>
  <c r="AN118" i="9"/>
  <c r="P532" i="9"/>
  <c r="T532" i="21" s="1"/>
  <c r="H93" i="20" s="1"/>
  <c r="T532" i="9"/>
  <c r="X532" i="21" s="1"/>
  <c r="X532" i="9"/>
  <c r="AB532" i="21" s="1"/>
  <c r="O67" i="9"/>
  <c r="P67" i="9"/>
  <c r="P488" i="9"/>
  <c r="T488" i="21" s="1"/>
  <c r="R67" i="9"/>
  <c r="R488" i="9"/>
  <c r="V488" i="21" s="1"/>
  <c r="T67" i="9"/>
  <c r="T488" i="9"/>
  <c r="X488" i="21" s="1"/>
  <c r="V67" i="9"/>
  <c r="V488" i="9"/>
  <c r="Z488" i="21" s="1"/>
  <c r="X67" i="9"/>
  <c r="X488" i="9"/>
  <c r="AB488" i="21" s="1"/>
  <c r="Z67" i="9"/>
  <c r="Z488" i="9"/>
  <c r="AD488" i="21" s="1"/>
  <c r="AO559" i="9"/>
  <c r="AS559" i="21" s="1"/>
  <c r="AN81" i="9"/>
  <c r="AN79" i="9"/>
  <c r="AB526" i="9"/>
  <c r="P475" i="9"/>
  <c r="T475" i="21" s="1"/>
  <c r="P84" i="9"/>
  <c r="T475" i="9"/>
  <c r="X475" i="21" s="1"/>
  <c r="T84" i="9"/>
  <c r="X475" i="9"/>
  <c r="AB475" i="21" s="1"/>
  <c r="X84" i="9"/>
  <c r="L99" i="20"/>
  <c r="P99" i="20"/>
  <c r="M99" i="20"/>
  <c r="O99" i="20"/>
  <c r="Q99" i="20"/>
  <c r="AD470" i="9"/>
  <c r="AH470" i="21" s="1"/>
  <c r="V87" i="20" s="1"/>
  <c r="AH470" i="9"/>
  <c r="AL470" i="21" s="1"/>
  <c r="Z87" i="20" s="1"/>
  <c r="AL470" i="9"/>
  <c r="AP470" i="21" s="1"/>
  <c r="AD87" i="20" s="1"/>
  <c r="S470" i="9"/>
  <c r="W470" i="21" s="1"/>
  <c r="K87" i="20" s="1"/>
  <c r="W470" i="9"/>
  <c r="AA470" i="21" s="1"/>
  <c r="O87" i="20" s="1"/>
  <c r="AQ124" i="9"/>
  <c r="AP507" i="9"/>
  <c r="AT507" i="21" s="1"/>
  <c r="AP491" i="9"/>
  <c r="AT491" i="21" s="1"/>
  <c r="AQ117" i="9"/>
  <c r="AC470" i="9"/>
  <c r="AG470" i="21" s="1"/>
  <c r="U87" i="20" s="1"/>
  <c r="AG470" i="9"/>
  <c r="AK470" i="21" s="1"/>
  <c r="Y87" i="20" s="1"/>
  <c r="AK470" i="9"/>
  <c r="AO470" i="21" s="1"/>
  <c r="AQ148" i="9"/>
  <c r="AP512" i="9"/>
  <c r="AT512" i="21" s="1"/>
  <c r="AQ63" i="9"/>
  <c r="AP495" i="9"/>
  <c r="AT495" i="21" s="1"/>
  <c r="AQ59" i="9"/>
  <c r="AQ62" i="9"/>
  <c r="AP526" i="9"/>
  <c r="AT526" i="21" s="1"/>
  <c r="AQ79" i="9"/>
  <c r="AP513" i="9"/>
  <c r="AT513" i="21" s="1"/>
  <c r="AQ127" i="9"/>
  <c r="AP508" i="9"/>
  <c r="AT508" i="21" s="1"/>
  <c r="AQ125" i="9"/>
  <c r="O513" i="9"/>
  <c r="AA127" i="9"/>
  <c r="AQ123" i="9"/>
  <c r="AP504" i="9"/>
  <c r="AT504" i="21" s="1"/>
  <c r="J99" i="20"/>
  <c r="AP560" i="9"/>
  <c r="AT560" i="21" s="1"/>
  <c r="AQ40" i="9"/>
  <c r="AP537" i="9"/>
  <c r="AT537" i="21" s="1"/>
  <c r="AQ97" i="9"/>
  <c r="AP555" i="9"/>
  <c r="AT555" i="21" s="1"/>
  <c r="AH98" i="20" s="1"/>
  <c r="AQ22" i="9"/>
  <c r="AP569" i="9"/>
  <c r="AT569" i="21" s="1"/>
  <c r="AH105" i="20" s="1"/>
  <c r="AQ41" i="9"/>
  <c r="AB554" i="9"/>
  <c r="AN19" i="9"/>
  <c r="O537" i="9"/>
  <c r="AA97" i="9"/>
  <c r="W453" i="9"/>
  <c r="AA453" i="21" s="1"/>
  <c r="O114" i="20" s="1"/>
  <c r="O214" i="20"/>
  <c r="S453" i="9"/>
  <c r="W453" i="21" s="1"/>
  <c r="K114" i="20" s="1"/>
  <c r="K214" i="20"/>
  <c r="AC191" i="9"/>
  <c r="AE191" i="9"/>
  <c r="AN40" i="9"/>
  <c r="AB560" i="9"/>
  <c r="Z453" i="9"/>
  <c r="AD453" i="21" s="1"/>
  <c r="R114" i="20" s="1"/>
  <c r="R214" i="20"/>
  <c r="P453" i="9"/>
  <c r="T453" i="21" s="1"/>
  <c r="H114" i="20" s="1"/>
  <c r="H214" i="20"/>
  <c r="S540" i="21"/>
  <c r="AE540" i="21" s="1"/>
  <c r="AA540" i="9"/>
  <c r="AA557" i="9"/>
  <c r="S557" i="21"/>
  <c r="AE557" i="21" s="1"/>
  <c r="S507" i="21"/>
  <c r="Z45" i="9"/>
  <c r="Z112" i="9" s="1"/>
  <c r="AH111" i="9"/>
  <c r="AH112" i="9" s="1"/>
  <c r="AN49" i="9"/>
  <c r="AB533" i="9"/>
  <c r="AA49" i="9"/>
  <c r="O533" i="9"/>
  <c r="Q55" i="9"/>
  <c r="Q520" i="9"/>
  <c r="U520" i="21" s="1"/>
  <c r="T55" i="9"/>
  <c r="T520" i="9"/>
  <c r="X520" i="21" s="1"/>
  <c r="W55" i="9"/>
  <c r="W520" i="9"/>
  <c r="AA520" i="21" s="1"/>
  <c r="Y55" i="9"/>
  <c r="Y520" i="9"/>
  <c r="AC520" i="21" s="1"/>
  <c r="AC55" i="9"/>
  <c r="AC520" i="9"/>
  <c r="AG520" i="21" s="1"/>
  <c r="AF55" i="9"/>
  <c r="AF520" i="9"/>
  <c r="AJ520" i="21" s="1"/>
  <c r="AH55" i="9"/>
  <c r="AH520" i="9"/>
  <c r="AL520" i="21" s="1"/>
  <c r="AK55" i="9"/>
  <c r="AK520" i="9"/>
  <c r="AO520" i="21" s="1"/>
  <c r="AN48" i="9"/>
  <c r="AB55" i="9"/>
  <c r="AB520" i="9"/>
  <c r="AE55" i="9"/>
  <c r="AE520" i="9"/>
  <c r="AI520" i="21" s="1"/>
  <c r="AI55" i="9"/>
  <c r="AI520" i="9"/>
  <c r="AM520" i="21" s="1"/>
  <c r="AM55" i="9"/>
  <c r="AM520" i="9"/>
  <c r="AQ520" i="21" s="1"/>
  <c r="R55" i="9"/>
  <c r="R520" i="9"/>
  <c r="V520" i="21" s="1"/>
  <c r="V55" i="9"/>
  <c r="V520" i="9"/>
  <c r="Z520" i="21" s="1"/>
  <c r="Z55" i="9"/>
  <c r="Z520" i="9"/>
  <c r="AD520" i="21" s="1"/>
  <c r="AF527" i="21"/>
  <c r="AR527" i="21" s="1"/>
  <c r="AN527" i="9"/>
  <c r="AF551" i="21"/>
  <c r="AN551" i="9"/>
  <c r="S551" i="21"/>
  <c r="AA551" i="9"/>
  <c r="AN186" i="9"/>
  <c r="AN87" i="9"/>
  <c r="AF446" i="21"/>
  <c r="W446" i="21"/>
  <c r="K109" i="20" s="1"/>
  <c r="Y446" i="21"/>
  <c r="M109" i="20" s="1"/>
  <c r="AA446" i="21"/>
  <c r="O109" i="20" s="1"/>
  <c r="AC446" i="21"/>
  <c r="Q109" i="20" s="1"/>
  <c r="AQ553" i="9"/>
  <c r="AU553" i="21" s="1"/>
  <c r="AR18" i="9"/>
  <c r="AN557" i="9"/>
  <c r="AF557" i="21"/>
  <c r="AR557" i="21" s="1"/>
  <c r="AF553" i="21"/>
  <c r="AR553" i="21" s="1"/>
  <c r="AN553" i="9"/>
  <c r="AA554" i="9"/>
  <c r="S554" i="21"/>
  <c r="AE554" i="21" s="1"/>
  <c r="AN549" i="9"/>
  <c r="AF549" i="21"/>
  <c r="AR549" i="21" s="1"/>
  <c r="AF545" i="21"/>
  <c r="AR545" i="21" s="1"/>
  <c r="AN545" i="9"/>
  <c r="S545" i="21"/>
  <c r="AE545" i="21" s="1"/>
  <c r="AA545" i="9"/>
  <c r="AA549" i="9"/>
  <c r="S549" i="21"/>
  <c r="AE549" i="21" s="1"/>
  <c r="AR96" i="9"/>
  <c r="AQ535" i="9"/>
  <c r="AU535" i="21" s="1"/>
  <c r="AN94" i="9"/>
  <c r="S535" i="21"/>
  <c r="AE535" i="21" s="1"/>
  <c r="AA535" i="9"/>
  <c r="AN469" i="9"/>
  <c r="AF469" i="21"/>
  <c r="AF453" i="21"/>
  <c r="AN453" i="9"/>
  <c r="AN563" i="9"/>
  <c r="AF563" i="21"/>
  <c r="AR563" i="21" s="1"/>
  <c r="AN504" i="9"/>
  <c r="AF504" i="21"/>
  <c r="AR504" i="21" s="1"/>
  <c r="AF507" i="21"/>
  <c r="AN513" i="9"/>
  <c r="AF513" i="21"/>
  <c r="AR513" i="21" s="1"/>
  <c r="AF480" i="21"/>
  <c r="AR480" i="21" s="1"/>
  <c r="AN480" i="9"/>
  <c r="AN491" i="9"/>
  <c r="AF491" i="21"/>
  <c r="AR491" i="21" s="1"/>
  <c r="AN120" i="9"/>
  <c r="S480" i="21"/>
  <c r="S490" i="21"/>
  <c r="AE490" i="21" s="1"/>
  <c r="AA490" i="9"/>
  <c r="AA499" i="9"/>
  <c r="S499" i="21"/>
  <c r="AE499" i="21" s="1"/>
  <c r="AA51" i="9"/>
  <c r="P55" i="9"/>
  <c r="P520" i="9"/>
  <c r="T520" i="21" s="1"/>
  <c r="S55" i="9"/>
  <c r="S520" i="9"/>
  <c r="W520" i="21" s="1"/>
  <c r="U55" i="9"/>
  <c r="U520" i="9"/>
  <c r="Y520" i="21" s="1"/>
  <c r="X55" i="9"/>
  <c r="X520" i="9"/>
  <c r="AB520" i="21" s="1"/>
  <c r="AA48" i="9"/>
  <c r="O55" i="9"/>
  <c r="O520" i="9"/>
  <c r="AD55" i="9"/>
  <c r="AD520" i="9"/>
  <c r="AH520" i="21" s="1"/>
  <c r="AG55" i="9"/>
  <c r="AG520" i="9"/>
  <c r="AK520" i="21" s="1"/>
  <c r="AJ55" i="9"/>
  <c r="AJ520" i="9"/>
  <c r="AN520" i="21" s="1"/>
  <c r="AL55" i="9"/>
  <c r="AL520" i="9"/>
  <c r="AP520" i="21" s="1"/>
  <c r="AN108" i="9"/>
  <c r="AB528" i="9"/>
  <c r="V93" i="3"/>
  <c r="V224" i="3" s="1"/>
  <c r="P198" i="20"/>
  <c r="P337" i="20"/>
  <c r="S453" i="21"/>
  <c r="AN185" i="9"/>
  <c r="AB559" i="9"/>
  <c r="AA185" i="9"/>
  <c r="O559" i="9"/>
  <c r="Z191" i="9"/>
  <c r="W191" i="9"/>
  <c r="T191" i="9"/>
  <c r="R191" i="9"/>
  <c r="O191" i="9"/>
  <c r="AL191" i="9"/>
  <c r="AH191" i="9"/>
  <c r="AD191" i="9"/>
  <c r="AN184" i="9"/>
  <c r="AQ446" i="21"/>
  <c r="AE109" i="20" s="1"/>
  <c r="AO446" i="21"/>
  <c r="AC109" i="20" s="1"/>
  <c r="AM446" i="21"/>
  <c r="AA109" i="20" s="1"/>
  <c r="T446" i="21"/>
  <c r="H109" i="20" s="1"/>
  <c r="AS39" i="9"/>
  <c r="AR37" i="9"/>
  <c r="AQ557" i="9"/>
  <c r="AU557" i="21" s="1"/>
  <c r="AN569" i="9"/>
  <c r="AF569" i="21"/>
  <c r="AA569" i="9"/>
  <c r="S569" i="21"/>
  <c r="S565" i="21"/>
  <c r="AE565" i="21" s="1"/>
  <c r="AA565" i="9"/>
  <c r="AA555" i="9"/>
  <c r="S555" i="21"/>
  <c r="AA553" i="9"/>
  <c r="S553" i="21"/>
  <c r="AE553" i="21" s="1"/>
  <c r="AQ547" i="9"/>
  <c r="AU547" i="21" s="1"/>
  <c r="AR103" i="9"/>
  <c r="S543" i="21"/>
  <c r="AE543" i="21" s="1"/>
  <c r="AA543" i="9"/>
  <c r="AA103" i="9"/>
  <c r="AF537" i="21"/>
  <c r="AR537" i="21" s="1"/>
  <c r="AN537" i="9"/>
  <c r="AF503" i="21"/>
  <c r="AR503" i="21" s="1"/>
  <c r="AN503" i="9"/>
  <c r="AN148" i="9"/>
  <c r="AA148" i="9"/>
  <c r="AA166" i="9"/>
  <c r="S455" i="21"/>
  <c r="AE455" i="21" s="1"/>
  <c r="AA455" i="9"/>
  <c r="AA126" i="9"/>
  <c r="AA62" i="9"/>
  <c r="AA60" i="9"/>
  <c r="AN60" i="9"/>
  <c r="AA59" i="9"/>
  <c r="O495" i="9"/>
  <c r="Q488" i="9"/>
  <c r="U488" i="21" s="1"/>
  <c r="Q67" i="9"/>
  <c r="S488" i="9"/>
  <c r="W488" i="21" s="1"/>
  <c r="S67" i="9"/>
  <c r="U488" i="9"/>
  <c r="Y488" i="21" s="1"/>
  <c r="U67" i="9"/>
  <c r="W488" i="9"/>
  <c r="AA488" i="21" s="1"/>
  <c r="W67" i="9"/>
  <c r="Y488" i="9"/>
  <c r="AC488" i="21" s="1"/>
  <c r="Y67" i="9"/>
  <c r="AN58" i="9"/>
  <c r="AB67" i="9"/>
  <c r="AD475" i="9"/>
  <c r="AH475" i="21" s="1"/>
  <c r="AD84" i="9"/>
  <c r="AF475" i="9"/>
  <c r="AJ475" i="21" s="1"/>
  <c r="AF84" i="9"/>
  <c r="AH475" i="9"/>
  <c r="AL475" i="21" s="1"/>
  <c r="AH84" i="9"/>
  <c r="AJ475" i="9"/>
  <c r="AN475" i="21" s="1"/>
  <c r="AJ84" i="9"/>
  <c r="AL475" i="9"/>
  <c r="AP475" i="21" s="1"/>
  <c r="AL84" i="9"/>
  <c r="AN78" i="9"/>
  <c r="AN72" i="9"/>
  <c r="AB475" i="9"/>
  <c r="AA72" i="9"/>
  <c r="O475" i="9"/>
  <c r="R88" i="9"/>
  <c r="J226" i="20"/>
  <c r="R446" i="9"/>
  <c r="AB517" i="9"/>
  <c r="AN517" i="9" s="1"/>
  <c r="AN131" i="9"/>
  <c r="AA118" i="9"/>
  <c r="R532" i="9"/>
  <c r="V532" i="21" s="1"/>
  <c r="V532" i="9"/>
  <c r="Z532" i="21" s="1"/>
  <c r="Z532" i="9"/>
  <c r="AD532" i="21" s="1"/>
  <c r="O560" i="9"/>
  <c r="AA64" i="9"/>
  <c r="AN64" i="9"/>
  <c r="AC488" i="9"/>
  <c r="AG488" i="21" s="1"/>
  <c r="AC67" i="9"/>
  <c r="AE488" i="9"/>
  <c r="AI488" i="21" s="1"/>
  <c r="AE67" i="9"/>
  <c r="AG488" i="9"/>
  <c r="AK488" i="21" s="1"/>
  <c r="AG67" i="9"/>
  <c r="AI488" i="9"/>
  <c r="AM488" i="21" s="1"/>
  <c r="AI67" i="9"/>
  <c r="AK488" i="9"/>
  <c r="AO488" i="21" s="1"/>
  <c r="AK67" i="9"/>
  <c r="AM488" i="9"/>
  <c r="AQ488" i="21" s="1"/>
  <c r="AM67" i="9"/>
  <c r="AC475" i="9"/>
  <c r="AG475" i="21" s="1"/>
  <c r="AC84" i="9"/>
  <c r="AE475" i="9"/>
  <c r="AI475" i="21" s="1"/>
  <c r="AE84" i="9"/>
  <c r="AG475" i="9"/>
  <c r="AK475" i="21" s="1"/>
  <c r="AG84" i="9"/>
  <c r="AI475" i="9"/>
  <c r="AM475" i="21" s="1"/>
  <c r="AI84" i="9"/>
  <c r="AK475" i="9"/>
  <c r="AO475" i="21" s="1"/>
  <c r="AK84" i="9"/>
  <c r="AM475" i="9"/>
  <c r="AQ475" i="21" s="1"/>
  <c r="AM84" i="9"/>
  <c r="AN77" i="9"/>
  <c r="AN73" i="9"/>
  <c r="R475" i="9"/>
  <c r="V475" i="21" s="1"/>
  <c r="R84" i="9"/>
  <c r="V475" i="9"/>
  <c r="Z475" i="21" s="1"/>
  <c r="V84" i="9"/>
  <c r="Z475" i="9"/>
  <c r="AD475" i="21" s="1"/>
  <c r="Z84" i="9"/>
  <c r="AA80" i="9"/>
  <c r="AA82" i="9"/>
  <c r="AA77" i="9"/>
  <c r="AE88" i="9"/>
  <c r="W226" i="20"/>
  <c r="AE446" i="9"/>
  <c r="N99" i="20"/>
  <c r="R99" i="20"/>
  <c r="AF470" i="9"/>
  <c r="AJ470" i="21" s="1"/>
  <c r="X87" i="20" s="1"/>
  <c r="AJ470" i="9"/>
  <c r="AN470" i="21" s="1"/>
  <c r="AB87" i="20" s="1"/>
  <c r="Q470" i="9"/>
  <c r="U470" i="21" s="1"/>
  <c r="I87" i="20" s="1"/>
  <c r="U470" i="9"/>
  <c r="Y470" i="21" s="1"/>
  <c r="M87" i="20" s="1"/>
  <c r="Y470" i="9"/>
  <c r="AC470" i="21" s="1"/>
  <c r="Q87" i="20" s="1"/>
  <c r="AP480" i="9"/>
  <c r="AT480" i="21" s="1"/>
  <c r="AQ115" i="9"/>
  <c r="AQ119" i="9"/>
  <c r="AP496" i="9"/>
  <c r="AT496" i="21" s="1"/>
  <c r="AE470" i="9"/>
  <c r="AI470" i="21" s="1"/>
  <c r="W87" i="20" s="1"/>
  <c r="AI470" i="9"/>
  <c r="AM470" i="21" s="1"/>
  <c r="AA87" i="20" s="1"/>
  <c r="AM470" i="9"/>
  <c r="AQ470" i="21" s="1"/>
  <c r="AE87" i="20" s="1"/>
  <c r="AQ58" i="9"/>
  <c r="AP488" i="9"/>
  <c r="AT488" i="21" s="1"/>
  <c r="AP67" i="9"/>
  <c r="AQ61" i="9"/>
  <c r="AQ60" i="9"/>
  <c r="AP514" i="9"/>
  <c r="AT514" i="21" s="1"/>
  <c r="AP446" i="9"/>
  <c r="AP88" i="9"/>
  <c r="AQ87" i="9"/>
  <c r="AH226" i="20"/>
  <c r="AQ116" i="9"/>
  <c r="AT490" i="21"/>
  <c r="AP510" i="9"/>
  <c r="AT510" i="21" s="1"/>
  <c r="AQ126" i="9"/>
  <c r="U133" i="9"/>
  <c r="AG133" i="9"/>
  <c r="AP133" i="9"/>
  <c r="AO499" i="9"/>
  <c r="AS499" i="21" s="1"/>
  <c r="AN119" i="9"/>
  <c r="AF496" i="9"/>
  <c r="AP563" i="9"/>
  <c r="AT563" i="21" s="1"/>
  <c r="AQ166" i="9"/>
  <c r="AQ19" i="9"/>
  <c r="AP554" i="9"/>
  <c r="AT554" i="21" s="1"/>
  <c r="AO560" i="9"/>
  <c r="AS560" i="21" s="1"/>
  <c r="AP543" i="9"/>
  <c r="AT543" i="21" s="1"/>
  <c r="AQ101" i="9"/>
  <c r="AP527" i="9"/>
  <c r="AT527" i="21" s="1"/>
  <c r="AQ107" i="9"/>
  <c r="Y453" i="9"/>
  <c r="AC453" i="21" s="1"/>
  <c r="Q114" i="20" s="1"/>
  <c r="Q214" i="20"/>
  <c r="U453" i="9"/>
  <c r="Y453" i="21" s="1"/>
  <c r="M114" i="20" s="1"/>
  <c r="M214" i="20"/>
  <c r="Q453" i="9"/>
  <c r="U453" i="21" s="1"/>
  <c r="I114" i="20" s="1"/>
  <c r="I214" i="20"/>
  <c r="AQ184" i="9"/>
  <c r="AO191" i="9"/>
  <c r="AQ186" i="9"/>
  <c r="AH281" i="20"/>
  <c r="AG191" i="9"/>
  <c r="AI191" i="9"/>
  <c r="AK191" i="9"/>
  <c r="AM191" i="9"/>
  <c r="P560" i="9"/>
  <c r="T560" i="21" s="1"/>
  <c r="H99" i="20" s="1"/>
  <c r="H212" i="20" s="1"/>
  <c r="AB566" i="9"/>
  <c r="AN39" i="9"/>
  <c r="AB555" i="9"/>
  <c r="AN22" i="9"/>
  <c r="R453" i="9"/>
  <c r="V453" i="21" s="1"/>
  <c r="J114" i="20" s="1"/>
  <c r="J214" i="20"/>
  <c r="X453" i="9"/>
  <c r="AB453" i="21" s="1"/>
  <c r="P114" i="20" s="1"/>
  <c r="P214" i="20"/>
  <c r="V453" i="9"/>
  <c r="Z453" i="21" s="1"/>
  <c r="N114" i="20" s="1"/>
  <c r="N214" i="20"/>
  <c r="AQ109" i="9"/>
  <c r="AP551" i="9"/>
  <c r="AT551" i="21" s="1"/>
  <c r="AH94" i="20" s="1"/>
  <c r="AC87" i="20"/>
  <c r="AO533" i="9"/>
  <c r="AS533" i="21" s="1"/>
  <c r="AQ108" i="9"/>
  <c r="AP528" i="9"/>
  <c r="AT528" i="21" s="1"/>
  <c r="AQ38" i="9"/>
  <c r="AP565" i="9"/>
  <c r="AT565" i="21" s="1"/>
  <c r="Q560" i="9"/>
  <c r="U560" i="21" s="1"/>
  <c r="S471" i="21"/>
  <c r="AE471" i="21" s="1"/>
  <c r="AA471" i="9"/>
  <c r="O111" i="9"/>
  <c r="S523" i="21"/>
  <c r="AE523" i="21" s="1"/>
  <c r="AA523" i="9"/>
  <c r="S111" i="9"/>
  <c r="U111" i="9"/>
  <c r="AF523" i="21"/>
  <c r="AR523" i="21" s="1"/>
  <c r="AN523" i="9"/>
  <c r="AN111" i="9"/>
  <c r="S527" i="21"/>
  <c r="AE527" i="21" s="1"/>
  <c r="AA527" i="9"/>
  <c r="T161" i="20"/>
  <c r="U161" i="20" s="1"/>
  <c r="V161" i="20" s="1"/>
  <c r="W161" i="20" s="1"/>
  <c r="X161" i="20" s="1"/>
  <c r="Y161" i="20" s="1"/>
  <c r="Z161" i="20" s="1"/>
  <c r="AA161" i="20" s="1"/>
  <c r="AB161" i="20" s="1"/>
  <c r="AC161" i="20" s="1"/>
  <c r="AD161" i="20" s="1"/>
  <c r="AE161" i="20" s="1"/>
  <c r="S161" i="20"/>
  <c r="AF281" i="20"/>
  <c r="AQ517" i="9"/>
  <c r="AR131" i="9"/>
  <c r="AP446" i="21"/>
  <c r="AD109" i="20" s="1"/>
  <c r="AN446" i="21"/>
  <c r="AB109" i="20" s="1"/>
  <c r="AL446" i="21"/>
  <c r="Z109" i="20" s="1"/>
  <c r="AJ446" i="21"/>
  <c r="X109" i="20" s="1"/>
  <c r="AF226" i="20"/>
  <c r="S446" i="21"/>
  <c r="AN37" i="9"/>
  <c r="AL45" i="9"/>
  <c r="AL112" i="9" s="1"/>
  <c r="AF45" i="9"/>
  <c r="AF112" i="9" s="1"/>
  <c r="AB45" i="9"/>
  <c r="P45" i="9"/>
  <c r="S45" i="9"/>
  <c r="U45" i="9"/>
  <c r="W45" i="9"/>
  <c r="W112" i="9" s="1"/>
  <c r="AQ549" i="9"/>
  <c r="AU549" i="21" s="1"/>
  <c r="AR104" i="9"/>
  <c r="AQ545" i="9"/>
  <c r="AU545" i="21" s="1"/>
  <c r="AR102" i="9"/>
  <c r="AR100" i="9"/>
  <c r="AQ540" i="9"/>
  <c r="AU540" i="21" s="1"/>
  <c r="AN102" i="9"/>
  <c r="AN540" i="9"/>
  <c r="AF540" i="21"/>
  <c r="AR540" i="21" s="1"/>
  <c r="AA102" i="9"/>
  <c r="AA104" i="9"/>
  <c r="AP111" i="9"/>
  <c r="AP112" i="9" s="1"/>
  <c r="AQ523" i="9"/>
  <c r="AU523" i="21" s="1"/>
  <c r="AR92" i="9"/>
  <c r="AF535" i="21"/>
  <c r="AR535" i="21" s="1"/>
  <c r="AN535" i="9"/>
  <c r="AN51" i="9"/>
  <c r="AR27" i="9"/>
  <c r="AQ455" i="9"/>
  <c r="AU455" i="21" s="1"/>
  <c r="AH114" i="20"/>
  <c r="AR26" i="9"/>
  <c r="AI214" i="20"/>
  <c r="AQ453" i="9"/>
  <c r="AU453" i="21" s="1"/>
  <c r="AA503" i="9"/>
  <c r="S503" i="21"/>
  <c r="AE503" i="21" s="1"/>
  <c r="AN166" i="9"/>
  <c r="AF508" i="21"/>
  <c r="AR508" i="21" s="1"/>
  <c r="AN508" i="9"/>
  <c r="AB133" i="9"/>
  <c r="AF490" i="21"/>
  <c r="AF499" i="21"/>
  <c r="AR499" i="21" s="1"/>
  <c r="AN499" i="9"/>
  <c r="O133" i="9"/>
  <c r="AA116" i="9"/>
  <c r="S496" i="21"/>
  <c r="AE496" i="21" s="1"/>
  <c r="AA496" i="9"/>
  <c r="AA120" i="9"/>
  <c r="S469" i="21"/>
  <c r="AA469" i="9"/>
  <c r="AF471" i="21"/>
  <c r="AR471" i="21" s="1"/>
  <c r="AN471" i="9"/>
  <c r="P111" i="9"/>
  <c r="Q45" i="9"/>
  <c r="Q112" i="9" s="1"/>
  <c r="X111" i="9"/>
  <c r="Y45" i="9"/>
  <c r="Y112" i="9" s="1"/>
  <c r="L198" i="20"/>
  <c r="L337" i="20"/>
  <c r="R93" i="3"/>
  <c r="R224" i="3" s="1"/>
  <c r="AA108" i="9"/>
  <c r="O528" i="9"/>
  <c r="AA26" i="9"/>
  <c r="X191" i="9"/>
  <c r="V191" i="9"/>
  <c r="P191" i="9"/>
  <c r="AA191" i="9"/>
  <c r="AJ191" i="9"/>
  <c r="AF191" i="9"/>
  <c r="AB191" i="9"/>
  <c r="AK446" i="21"/>
  <c r="Y109" i="20" s="1"/>
  <c r="AG446" i="21"/>
  <c r="U109" i="20" s="1"/>
  <c r="X446" i="21"/>
  <c r="L109" i="20" s="1"/>
  <c r="Z446" i="21"/>
  <c r="N109" i="20" s="1"/>
  <c r="AB446" i="21"/>
  <c r="P109" i="20" s="1"/>
  <c r="AD446" i="21"/>
  <c r="R109" i="20" s="1"/>
  <c r="AP566" i="9"/>
  <c r="AT566" i="21" s="1"/>
  <c r="AN41" i="9"/>
  <c r="AF565" i="21"/>
  <c r="AR565" i="21" s="1"/>
  <c r="AN565" i="9"/>
  <c r="AM45" i="9"/>
  <c r="AM112" i="9" s="1"/>
  <c r="AA41" i="9"/>
  <c r="O566" i="9"/>
  <c r="R45" i="9"/>
  <c r="R112" i="9" s="1"/>
  <c r="V45" i="9"/>
  <c r="V112" i="9" s="1"/>
  <c r="X45" i="9"/>
  <c r="AF547" i="21"/>
  <c r="AR547" i="21" s="1"/>
  <c r="AN547" i="9"/>
  <c r="AN543" i="9"/>
  <c r="AF543" i="21"/>
  <c r="AR543" i="21" s="1"/>
  <c r="S547" i="21"/>
  <c r="AE547" i="21" s="1"/>
  <c r="AA547" i="9"/>
  <c r="AF455" i="21"/>
  <c r="AR455" i="21" s="1"/>
  <c r="AN455" i="9"/>
  <c r="AF512" i="21"/>
  <c r="AR512" i="21" s="1"/>
  <c r="AN512" i="9"/>
  <c r="S512" i="21"/>
  <c r="AE512" i="21" s="1"/>
  <c r="AA512" i="9"/>
  <c r="S563" i="21"/>
  <c r="AE563" i="21" s="1"/>
  <c r="AA563" i="9"/>
  <c r="S504" i="21"/>
  <c r="S508" i="21"/>
  <c r="S510" i="21"/>
  <c r="AE510" i="21" s="1"/>
  <c r="AA510" i="9"/>
  <c r="S491" i="21"/>
  <c r="AO504" i="9"/>
  <c r="AS504" i="21" s="1"/>
  <c r="AO495" i="9"/>
  <c r="AS495" i="21" s="1"/>
  <c r="AO512" i="9"/>
  <c r="AS512" i="21" s="1"/>
  <c r="P502" i="9"/>
  <c r="T502" i="21" s="1"/>
  <c r="Z552" i="9"/>
  <c r="AD552" i="21" s="1"/>
  <c r="R97" i="20" s="1"/>
  <c r="V552" i="9"/>
  <c r="Z552" i="21" s="1"/>
  <c r="N97" i="20" s="1"/>
  <c r="R552" i="9"/>
  <c r="V552" i="21" s="1"/>
  <c r="J97" i="20" s="1"/>
  <c r="T552" i="9"/>
  <c r="X552" i="21" s="1"/>
  <c r="L97" i="20" s="1"/>
  <c r="P494" i="9"/>
  <c r="T494" i="21" s="1"/>
  <c r="P498" i="9"/>
  <c r="T498" i="21" s="1"/>
  <c r="R542" i="9"/>
  <c r="V542" i="21" s="1"/>
  <c r="V487" i="9"/>
  <c r="Z487" i="21" s="1"/>
  <c r="Z487" i="9"/>
  <c r="AD487" i="21" s="1"/>
  <c r="R487" i="9"/>
  <c r="V487" i="21" s="1"/>
  <c r="Q556" i="9"/>
  <c r="U556" i="21" s="1"/>
  <c r="I99" i="20" s="1"/>
  <c r="R550" i="9"/>
  <c r="V550" i="21" s="1"/>
  <c r="Q487" i="9"/>
  <c r="U487" i="21" s="1"/>
  <c r="R502" i="9"/>
  <c r="V502" i="21" s="1"/>
  <c r="R522" i="9"/>
  <c r="V522" i="21" s="1"/>
  <c r="R541" i="9"/>
  <c r="V541" i="21" s="1"/>
  <c r="U487" i="9"/>
  <c r="Y487" i="21" s="1"/>
  <c r="V502" i="9"/>
  <c r="Z502" i="21" s="1"/>
  <c r="V544" i="9"/>
  <c r="Z544" i="21" s="1"/>
  <c r="R539" i="9"/>
  <c r="V539" i="21" s="1"/>
  <c r="T544" i="9"/>
  <c r="X544" i="21" s="1"/>
  <c r="X544" i="9"/>
  <c r="AB544" i="21" s="1"/>
  <c r="P487" i="9"/>
  <c r="T487" i="21" s="1"/>
  <c r="R531" i="9"/>
  <c r="V531" i="21" s="1"/>
  <c r="Z502" i="9"/>
  <c r="AD502" i="21" s="1"/>
  <c r="Z544" i="9"/>
  <c r="AD544" i="21" s="1"/>
  <c r="R529" i="9"/>
  <c r="V529" i="21" s="1"/>
  <c r="R546" i="9"/>
  <c r="V546" i="21" s="1"/>
  <c r="T502" i="9"/>
  <c r="X502" i="21" s="1"/>
  <c r="X502" i="9"/>
  <c r="AB502" i="21" s="1"/>
  <c r="AO514" i="9"/>
  <c r="AS514" i="21" s="1"/>
  <c r="Q509" i="9"/>
  <c r="U509" i="21" s="1"/>
  <c r="Q552" i="9"/>
  <c r="U552" i="21" s="1"/>
  <c r="I97" i="20" s="1"/>
  <c r="Q542" i="9"/>
  <c r="U542" i="21" s="1"/>
  <c r="Q534" i="9"/>
  <c r="U534" i="21" s="1"/>
  <c r="Q524" i="9"/>
  <c r="U524" i="21" s="1"/>
  <c r="R498" i="9"/>
  <c r="V498" i="21" s="1"/>
  <c r="T524" i="9"/>
  <c r="X524" i="21" s="1"/>
  <c r="T534" i="9"/>
  <c r="X534" i="21" s="1"/>
  <c r="T542" i="9"/>
  <c r="X542" i="21" s="1"/>
  <c r="T550" i="9"/>
  <c r="X550" i="21" s="1"/>
  <c r="V524" i="9"/>
  <c r="Z524" i="21" s="1"/>
  <c r="V534" i="9"/>
  <c r="Z534" i="21" s="1"/>
  <c r="V542" i="9"/>
  <c r="Z542" i="21" s="1"/>
  <c r="V550" i="9"/>
  <c r="Z550" i="21" s="1"/>
  <c r="X524" i="9"/>
  <c r="AB524" i="21" s="1"/>
  <c r="X534" i="9"/>
  <c r="AB534" i="21" s="1"/>
  <c r="X542" i="9"/>
  <c r="AB542" i="21" s="1"/>
  <c r="X550" i="9"/>
  <c r="AB550" i="21" s="1"/>
  <c r="Z524" i="9"/>
  <c r="AD524" i="21" s="1"/>
  <c r="Z534" i="9"/>
  <c r="AD534" i="21" s="1"/>
  <c r="Z542" i="9"/>
  <c r="AD542" i="21" s="1"/>
  <c r="Z550" i="9"/>
  <c r="AD550" i="21" s="1"/>
  <c r="R536" i="9"/>
  <c r="V536" i="21" s="1"/>
  <c r="S524" i="9"/>
  <c r="W524" i="21" s="1"/>
  <c r="S534" i="9"/>
  <c r="W534" i="21" s="1"/>
  <c r="U524" i="9"/>
  <c r="Y524" i="21" s="1"/>
  <c r="U534" i="9"/>
  <c r="Y534" i="21" s="1"/>
  <c r="U550" i="9"/>
  <c r="Y550" i="21" s="1"/>
  <c r="V548" i="9"/>
  <c r="Z548" i="21" s="1"/>
  <c r="W498" i="9"/>
  <c r="AA498" i="21" s="1"/>
  <c r="W509" i="9"/>
  <c r="AA509" i="21" s="1"/>
  <c r="W529" i="9"/>
  <c r="AA529" i="21" s="1"/>
  <c r="W539" i="9"/>
  <c r="AA539" i="21" s="1"/>
  <c r="W546" i="9"/>
  <c r="AA546" i="21" s="1"/>
  <c r="Y524" i="9"/>
  <c r="AC524" i="21" s="1"/>
  <c r="Y534" i="9"/>
  <c r="AC534" i="21" s="1"/>
  <c r="Y550" i="9"/>
  <c r="AC550" i="21" s="1"/>
  <c r="Z548" i="9"/>
  <c r="AD548" i="21" s="1"/>
  <c r="S548" i="9"/>
  <c r="W548" i="21" s="1"/>
  <c r="W548" i="9"/>
  <c r="AA548" i="21" s="1"/>
  <c r="Q550" i="9"/>
  <c r="U550" i="21" s="1"/>
  <c r="Q541" i="9"/>
  <c r="U541" i="21" s="1"/>
  <c r="Q531" i="9"/>
  <c r="U531" i="21" s="1"/>
  <c r="Q522" i="9"/>
  <c r="U522" i="21" s="1"/>
  <c r="T498" i="9"/>
  <c r="X498" i="21" s="1"/>
  <c r="T509" i="9"/>
  <c r="X509" i="21" s="1"/>
  <c r="T529" i="9"/>
  <c r="X529" i="21" s="1"/>
  <c r="T539" i="9"/>
  <c r="X539" i="21" s="1"/>
  <c r="T546" i="9"/>
  <c r="X546" i="21" s="1"/>
  <c r="V498" i="9"/>
  <c r="Z498" i="21" s="1"/>
  <c r="V509" i="9"/>
  <c r="Z509" i="21" s="1"/>
  <c r="V529" i="9"/>
  <c r="Z529" i="21" s="1"/>
  <c r="V539" i="9"/>
  <c r="Z539" i="21" s="1"/>
  <c r="V546" i="9"/>
  <c r="Z546" i="21" s="1"/>
  <c r="X498" i="9"/>
  <c r="AB498" i="21" s="1"/>
  <c r="X509" i="9"/>
  <c r="AB509" i="21" s="1"/>
  <c r="X529" i="9"/>
  <c r="AB529" i="21" s="1"/>
  <c r="X539" i="9"/>
  <c r="AB539" i="21" s="1"/>
  <c r="X546" i="9"/>
  <c r="AB546" i="21" s="1"/>
  <c r="Z498" i="9"/>
  <c r="AD498" i="21" s="1"/>
  <c r="Z509" i="9"/>
  <c r="AD509" i="21" s="1"/>
  <c r="Z529" i="9"/>
  <c r="AD529" i="21" s="1"/>
  <c r="Z539" i="9"/>
  <c r="AD539" i="21" s="1"/>
  <c r="Z546" i="9"/>
  <c r="AD546" i="21" s="1"/>
  <c r="R525" i="9"/>
  <c r="V525" i="21" s="1"/>
  <c r="R548" i="9"/>
  <c r="V548" i="21" s="1"/>
  <c r="S498" i="9"/>
  <c r="W498" i="21" s="1"/>
  <c r="S509" i="9"/>
  <c r="W509" i="21" s="1"/>
  <c r="S529" i="9"/>
  <c r="W529" i="21" s="1"/>
  <c r="S539" i="9"/>
  <c r="W539" i="21" s="1"/>
  <c r="T548" i="9"/>
  <c r="X548" i="21" s="1"/>
  <c r="U498" i="9"/>
  <c r="Y498" i="21" s="1"/>
  <c r="U509" i="9"/>
  <c r="Y509" i="21" s="1"/>
  <c r="U529" i="9"/>
  <c r="Y529" i="21" s="1"/>
  <c r="U539" i="9"/>
  <c r="Y539" i="21" s="1"/>
  <c r="U546" i="9"/>
  <c r="Y546" i="21" s="1"/>
  <c r="W524" i="9"/>
  <c r="AA524" i="21" s="1"/>
  <c r="W534" i="9"/>
  <c r="AA534" i="21" s="1"/>
  <c r="W550" i="9"/>
  <c r="AA550" i="21" s="1"/>
  <c r="X548" i="9"/>
  <c r="AB548" i="21" s="1"/>
  <c r="Y498" i="9"/>
  <c r="AC498" i="21" s="1"/>
  <c r="Y509" i="9"/>
  <c r="AC509" i="21" s="1"/>
  <c r="Y529" i="9"/>
  <c r="AC529" i="21" s="1"/>
  <c r="Y539" i="9"/>
  <c r="AC539" i="21" s="1"/>
  <c r="Y546" i="9"/>
  <c r="AC546" i="21" s="1"/>
  <c r="AF516" i="9"/>
  <c r="AJ516" i="21" s="1"/>
  <c r="U548" i="9"/>
  <c r="Y548" i="21" s="1"/>
  <c r="Y548" i="9"/>
  <c r="AC548" i="21" s="1"/>
  <c r="P544" i="9"/>
  <c r="T544" i="21" s="1"/>
  <c r="H103" i="20" s="1"/>
  <c r="Q494" i="9"/>
  <c r="U494" i="21" s="1"/>
  <c r="Q498" i="9"/>
  <c r="U498" i="21" s="1"/>
  <c r="R494" i="9"/>
  <c r="V494" i="21" s="1"/>
  <c r="S494" i="9"/>
  <c r="W494" i="21" s="1"/>
  <c r="S522" i="9"/>
  <c r="W522" i="21" s="1"/>
  <c r="S531" i="9"/>
  <c r="W531" i="21" s="1"/>
  <c r="S541" i="9"/>
  <c r="W541" i="21" s="1"/>
  <c r="S550" i="9"/>
  <c r="W550" i="21" s="1"/>
  <c r="T494" i="9"/>
  <c r="X494" i="21" s="1"/>
  <c r="T522" i="9"/>
  <c r="X522" i="21" s="1"/>
  <c r="T531" i="9"/>
  <c r="X531" i="21" s="1"/>
  <c r="T541" i="9"/>
  <c r="X541" i="21" s="1"/>
  <c r="U525" i="9"/>
  <c r="Y525" i="21" s="1"/>
  <c r="U536" i="9"/>
  <c r="Y536" i="21" s="1"/>
  <c r="V494" i="9"/>
  <c r="Z494" i="21" s="1"/>
  <c r="V522" i="9"/>
  <c r="Z522" i="21" s="1"/>
  <c r="V531" i="9"/>
  <c r="Z531" i="21" s="1"/>
  <c r="V541" i="9"/>
  <c r="Z541" i="21" s="1"/>
  <c r="W525" i="9"/>
  <c r="AA525" i="21" s="1"/>
  <c r="W536" i="9"/>
  <c r="AA536" i="21" s="1"/>
  <c r="X494" i="9"/>
  <c r="AB494" i="21" s="1"/>
  <c r="X522" i="9"/>
  <c r="AB522" i="21" s="1"/>
  <c r="X531" i="9"/>
  <c r="AB531" i="21" s="1"/>
  <c r="X541" i="9"/>
  <c r="AB541" i="21" s="1"/>
  <c r="Y525" i="9"/>
  <c r="AC525" i="21" s="1"/>
  <c r="Y536" i="9"/>
  <c r="AC536" i="21" s="1"/>
  <c r="Z494" i="9"/>
  <c r="AD494" i="21" s="1"/>
  <c r="Z522" i="9"/>
  <c r="AD522" i="21" s="1"/>
  <c r="Z531" i="9"/>
  <c r="AD531" i="21" s="1"/>
  <c r="Z541" i="9"/>
  <c r="AD541" i="21" s="1"/>
  <c r="AO517" i="9"/>
  <c r="U489" i="21"/>
  <c r="Q544" i="9"/>
  <c r="U544" i="21" s="1"/>
  <c r="R509" i="9"/>
  <c r="V509" i="21" s="1"/>
  <c r="R544" i="9"/>
  <c r="V544" i="21" s="1"/>
  <c r="S525" i="9"/>
  <c r="W525" i="21" s="1"/>
  <c r="S536" i="9"/>
  <c r="W536" i="21" s="1"/>
  <c r="S546" i="9"/>
  <c r="W546" i="21" s="1"/>
  <c r="S556" i="9"/>
  <c r="W556" i="21" s="1"/>
  <c r="K99" i="20" s="1"/>
  <c r="T525" i="9"/>
  <c r="X525" i="21" s="1"/>
  <c r="T536" i="9"/>
  <c r="X536" i="21" s="1"/>
  <c r="U494" i="9"/>
  <c r="Y494" i="21" s="1"/>
  <c r="U522" i="9"/>
  <c r="Y522" i="21" s="1"/>
  <c r="U531" i="9"/>
  <c r="Y531" i="21" s="1"/>
  <c r="U541" i="9"/>
  <c r="Y541" i="21" s="1"/>
  <c r="V525" i="9"/>
  <c r="Z525" i="21" s="1"/>
  <c r="V536" i="9"/>
  <c r="Z536" i="21" s="1"/>
  <c r="W494" i="9"/>
  <c r="AA494" i="21" s="1"/>
  <c r="W522" i="9"/>
  <c r="AA522" i="21" s="1"/>
  <c r="W531" i="9"/>
  <c r="AA531" i="21" s="1"/>
  <c r="W541" i="9"/>
  <c r="AA541" i="21" s="1"/>
  <c r="X525" i="9"/>
  <c r="AB525" i="21" s="1"/>
  <c r="X536" i="9"/>
  <c r="AB536" i="21" s="1"/>
  <c r="Y494" i="9"/>
  <c r="AC494" i="21" s="1"/>
  <c r="Y522" i="9"/>
  <c r="AC522" i="21" s="1"/>
  <c r="Y531" i="9"/>
  <c r="AC531" i="21" s="1"/>
  <c r="Y541" i="9"/>
  <c r="AC541" i="21" s="1"/>
  <c r="Z525" i="9"/>
  <c r="AD525" i="21" s="1"/>
  <c r="Z536" i="9"/>
  <c r="AD536" i="21" s="1"/>
  <c r="AO470" i="9"/>
  <c r="AS470" i="21" s="1"/>
  <c r="AG87" i="20" s="1"/>
  <c r="AQ81" i="9"/>
  <c r="AR81" i="9" s="1"/>
  <c r="AS81" i="9" s="1"/>
  <c r="AT81" i="9" s="1"/>
  <c r="AU81" i="9" s="1"/>
  <c r="AV81" i="9" s="1"/>
  <c r="AW81" i="9" s="1"/>
  <c r="AX81" i="9" s="1"/>
  <c r="AY81" i="9" s="1"/>
  <c r="AO566" i="9"/>
  <c r="AS566" i="21" s="1"/>
  <c r="AO532" i="9"/>
  <c r="AS532" i="21" s="1"/>
  <c r="AO526" i="9"/>
  <c r="AS526" i="21" s="1"/>
  <c r="P112" i="9" l="1"/>
  <c r="AN67" i="9"/>
  <c r="AN191" i="9"/>
  <c r="AO530" i="9"/>
  <c r="AS530" i="21" s="1"/>
  <c r="Q93" i="20"/>
  <c r="M93" i="20"/>
  <c r="S214" i="20"/>
  <c r="P102" i="20"/>
  <c r="AN45" i="9"/>
  <c r="N102" i="20"/>
  <c r="AQ111" i="9"/>
  <c r="AB84" i="9"/>
  <c r="AN84" i="9" s="1"/>
  <c r="O69" i="9"/>
  <c r="AA67" i="9"/>
  <c r="O93" i="20"/>
  <c r="O84" i="9"/>
  <c r="AO84" i="9"/>
  <c r="AO475" i="9"/>
  <c r="AS475" i="21" s="1"/>
  <c r="Q88" i="9"/>
  <c r="I226" i="20"/>
  <c r="S226" i="20" s="1"/>
  <c r="Q446" i="9"/>
  <c r="AA87" i="9"/>
  <c r="R93" i="20"/>
  <c r="N93" i="20"/>
  <c r="K93" i="20"/>
  <c r="Y472" i="9"/>
  <c r="AC472" i="21" s="1"/>
  <c r="U472" i="9"/>
  <c r="Y472" i="21" s="1"/>
  <c r="R103" i="20"/>
  <c r="N103" i="20"/>
  <c r="AO133" i="9"/>
  <c r="X472" i="9"/>
  <c r="L102" i="20"/>
  <c r="J93" i="20"/>
  <c r="Z169" i="9"/>
  <c r="Z173" i="9" s="1"/>
  <c r="Z575" i="9" s="1"/>
  <c r="Z472" i="9"/>
  <c r="R169" i="9"/>
  <c r="R173" i="9" s="1"/>
  <c r="R575" i="9" s="1"/>
  <c r="R472" i="9"/>
  <c r="V472" i="21" s="1"/>
  <c r="AO67" i="9"/>
  <c r="AO488" i="9"/>
  <c r="AS488" i="21" s="1"/>
  <c r="AA45" i="9"/>
  <c r="AA566" i="9"/>
  <c r="S566" i="21"/>
  <c r="AE566" i="21" s="1"/>
  <c r="S528" i="21"/>
  <c r="AE528" i="21" s="1"/>
  <c r="AA528" i="9"/>
  <c r="X112" i="9"/>
  <c r="AE469" i="21"/>
  <c r="AS27" i="9"/>
  <c r="AR455" i="9"/>
  <c r="AV455" i="21" s="1"/>
  <c r="AR540" i="9"/>
  <c r="AV540" i="21" s="1"/>
  <c r="AS100" i="9"/>
  <c r="U112" i="9"/>
  <c r="AA111" i="9"/>
  <c r="O112" i="9"/>
  <c r="AI93" i="3"/>
  <c r="AI224" i="3" s="1"/>
  <c r="AC198" i="20"/>
  <c r="AC337" i="20"/>
  <c r="AR109" i="9"/>
  <c r="AQ551" i="9"/>
  <c r="AU551" i="21" s="1"/>
  <c r="AI94" i="20" s="1"/>
  <c r="AN555" i="9"/>
  <c r="AF555" i="21"/>
  <c r="AN566" i="9"/>
  <c r="AF566" i="21"/>
  <c r="AR566" i="21" s="1"/>
  <c r="AR184" i="9"/>
  <c r="AR107" i="9"/>
  <c r="AQ527" i="9"/>
  <c r="AU527" i="21" s="1"/>
  <c r="AQ543" i="9"/>
  <c r="AU543" i="21" s="1"/>
  <c r="AR101" i="9"/>
  <c r="AQ554" i="9"/>
  <c r="AU554" i="21" s="1"/>
  <c r="AR19" i="9"/>
  <c r="AQ120" i="9"/>
  <c r="AQ133" i="9" s="1"/>
  <c r="AP499" i="9"/>
  <c r="AT499" i="21" s="1"/>
  <c r="AQ488" i="9"/>
  <c r="AU488" i="21" s="1"/>
  <c r="AR58" i="9"/>
  <c r="AQ67" i="9"/>
  <c r="AR119" i="9"/>
  <c r="AQ496" i="9"/>
  <c r="AU496" i="21" s="1"/>
  <c r="AR115" i="9"/>
  <c r="AQ480" i="9"/>
  <c r="AU480" i="21" s="1"/>
  <c r="Q198" i="20"/>
  <c r="W93" i="3"/>
  <c r="W224" i="3" s="1"/>
  <c r="Q337" i="20"/>
  <c r="S93" i="3"/>
  <c r="S224" i="3" s="1"/>
  <c r="M337" i="20"/>
  <c r="M198" i="20"/>
  <c r="I198" i="20"/>
  <c r="O93" i="3"/>
  <c r="O224" i="3" s="1"/>
  <c r="I337" i="20"/>
  <c r="AB198" i="20"/>
  <c r="AH93" i="3"/>
  <c r="AH224" i="3" s="1"/>
  <c r="AB337" i="20"/>
  <c r="AD93" i="3"/>
  <c r="AD224" i="3" s="1"/>
  <c r="X337" i="20"/>
  <c r="X198" i="20"/>
  <c r="N212" i="20"/>
  <c r="S560" i="21"/>
  <c r="AE560" i="21" s="1"/>
  <c r="AA560" i="9"/>
  <c r="AF475" i="21"/>
  <c r="AN475" i="9"/>
  <c r="AB488" i="9"/>
  <c r="AR557" i="9"/>
  <c r="AV557" i="21" s="1"/>
  <c r="AS37" i="9"/>
  <c r="S559" i="21"/>
  <c r="AE559" i="21" s="1"/>
  <c r="AA559" i="9"/>
  <c r="AF559" i="21"/>
  <c r="AR559" i="21" s="1"/>
  <c r="AN559" i="9"/>
  <c r="AE453" i="21"/>
  <c r="G114" i="20"/>
  <c r="S114" i="20" s="1"/>
  <c r="AA55" i="9"/>
  <c r="AR469" i="21"/>
  <c r="AR535" i="9"/>
  <c r="AV535" i="21" s="1"/>
  <c r="AS96" i="9"/>
  <c r="AS18" i="9"/>
  <c r="AR553" i="9"/>
  <c r="AV553" i="21" s="1"/>
  <c r="T109" i="20"/>
  <c r="G94" i="20"/>
  <c r="S94" i="20" s="1"/>
  <c r="AE551" i="21"/>
  <c r="AR551" i="21"/>
  <c r="T94" i="20"/>
  <c r="AF94" i="20" s="1"/>
  <c r="AN55" i="9"/>
  <c r="AA533" i="9"/>
  <c r="S533" i="21"/>
  <c r="AE533" i="21" s="1"/>
  <c r="AN533" i="9"/>
  <c r="AF533" i="21"/>
  <c r="AR533" i="21" s="1"/>
  <c r="AQ49" i="9"/>
  <c r="AP533" i="9"/>
  <c r="AT533" i="21" s="1"/>
  <c r="AF560" i="21"/>
  <c r="AR560" i="21" s="1"/>
  <c r="AN560" i="9"/>
  <c r="AA537" i="9"/>
  <c r="S537" i="21"/>
  <c r="AE537" i="21" s="1"/>
  <c r="AF554" i="21"/>
  <c r="AR554" i="21" s="1"/>
  <c r="AN554" i="9"/>
  <c r="J212" i="20"/>
  <c r="AR123" i="9"/>
  <c r="AQ504" i="9"/>
  <c r="AU504" i="21" s="1"/>
  <c r="AA513" i="9"/>
  <c r="S513" i="21"/>
  <c r="AE513" i="21" s="1"/>
  <c r="AR62" i="9"/>
  <c r="AQ532" i="9"/>
  <c r="AU532" i="21" s="1"/>
  <c r="AR63" i="9"/>
  <c r="AR148" i="9"/>
  <c r="AQ512" i="9"/>
  <c r="AU512" i="21" s="1"/>
  <c r="AR124" i="9"/>
  <c r="AQ507" i="9"/>
  <c r="AU507" i="21" s="1"/>
  <c r="AB495" i="9"/>
  <c r="AB530" i="9"/>
  <c r="AB532" i="9"/>
  <c r="AO45" i="9"/>
  <c r="AO112" i="9" s="1"/>
  <c r="AO553" i="9"/>
  <c r="AS553" i="21" s="1"/>
  <c r="AQ195" i="9"/>
  <c r="AP470" i="9"/>
  <c r="AT470" i="21" s="1"/>
  <c r="AH87" i="20" s="1"/>
  <c r="AG198" i="20"/>
  <c r="E19" i="32"/>
  <c r="AM93" i="3"/>
  <c r="AM224" i="3" s="1"/>
  <c r="I33" i="27"/>
  <c r="P93" i="20"/>
  <c r="L93" i="20"/>
  <c r="O472" i="9"/>
  <c r="P103" i="20"/>
  <c r="L103" i="20"/>
  <c r="W472" i="9"/>
  <c r="S472" i="9"/>
  <c r="Q472" i="9"/>
  <c r="U472" i="21" s="1"/>
  <c r="T472" i="9"/>
  <c r="R102" i="20"/>
  <c r="J103" i="20"/>
  <c r="J102" i="20"/>
  <c r="I212" i="20"/>
  <c r="V472" i="9"/>
  <c r="V169" i="9"/>
  <c r="V173" i="9" s="1"/>
  <c r="V575" i="9" s="1"/>
  <c r="AP503" i="9"/>
  <c r="AT503" i="21" s="1"/>
  <c r="AQ144" i="9"/>
  <c r="AP475" i="9"/>
  <c r="AT475" i="21" s="1"/>
  <c r="AQ72" i="9"/>
  <c r="AS26" i="9"/>
  <c r="AJ214" i="20"/>
  <c r="AR453" i="9"/>
  <c r="AV453" i="21" s="1"/>
  <c r="AR523" i="9"/>
  <c r="AV523" i="21" s="1"/>
  <c r="AS92" i="9"/>
  <c r="AR545" i="9"/>
  <c r="AV545" i="21" s="1"/>
  <c r="AS102" i="9"/>
  <c r="AR549" i="9"/>
  <c r="AV549" i="21" s="1"/>
  <c r="AS104" i="9"/>
  <c r="G109" i="20"/>
  <c r="AR517" i="9"/>
  <c r="AS131" i="9"/>
  <c r="AG161" i="20"/>
  <c r="AH161" i="20" s="1"/>
  <c r="AI161" i="20" s="1"/>
  <c r="AF161" i="20"/>
  <c r="AB112" i="9"/>
  <c r="AN112" i="9" s="1"/>
  <c r="S112" i="9"/>
  <c r="AR38" i="9"/>
  <c r="AQ565" i="9"/>
  <c r="AU565" i="21" s="1"/>
  <c r="AR108" i="9"/>
  <c r="AQ528" i="9"/>
  <c r="AU528" i="21" s="1"/>
  <c r="AQ185" i="9"/>
  <c r="AQ191" i="9" s="1"/>
  <c r="AP559" i="9"/>
  <c r="AT559" i="21" s="1"/>
  <c r="AO55" i="9"/>
  <c r="AO520" i="9"/>
  <c r="AS520" i="21" s="1"/>
  <c r="AQ48" i="9"/>
  <c r="AP55" i="9"/>
  <c r="AP520" i="9"/>
  <c r="AT520" i="21" s="1"/>
  <c r="AQ566" i="9"/>
  <c r="AU566" i="21" s="1"/>
  <c r="AR186" i="9"/>
  <c r="AI281" i="20"/>
  <c r="AP191" i="9"/>
  <c r="AQ563" i="9"/>
  <c r="AU563" i="21" s="1"/>
  <c r="AR166" i="9"/>
  <c r="W133" i="9"/>
  <c r="W480" i="9"/>
  <c r="AA115" i="9"/>
  <c r="S504" i="9"/>
  <c r="AA123" i="9"/>
  <c r="AJ496" i="21"/>
  <c r="AR496" i="21" s="1"/>
  <c r="AN496" i="9"/>
  <c r="Q491" i="9"/>
  <c r="AA117" i="9"/>
  <c r="Q133" i="9"/>
  <c r="AG507" i="9"/>
  <c r="AN124" i="9"/>
  <c r="U508" i="9"/>
  <c r="AA125" i="9"/>
  <c r="AR126" i="9"/>
  <c r="AQ510" i="9"/>
  <c r="AU510" i="21" s="1"/>
  <c r="AR116" i="9"/>
  <c r="AU490" i="21"/>
  <c r="AI226" i="20"/>
  <c r="AQ446" i="9"/>
  <c r="AQ88" i="9"/>
  <c r="AR87" i="9"/>
  <c r="AT446" i="21"/>
  <c r="AQ514" i="9"/>
  <c r="AU514" i="21" s="1"/>
  <c r="AR60" i="9"/>
  <c r="AR61" i="9"/>
  <c r="AK93" i="3"/>
  <c r="AK224" i="3" s="1"/>
  <c r="AE337" i="20"/>
  <c r="AE198" i="20"/>
  <c r="AA198" i="20"/>
  <c r="AG93" i="3"/>
  <c r="AG224" i="3" s="1"/>
  <c r="AA337" i="20"/>
  <c r="AC93" i="3"/>
  <c r="AC224" i="3" s="1"/>
  <c r="W337" i="20"/>
  <c r="W198" i="20"/>
  <c r="R212" i="20"/>
  <c r="AI446" i="21"/>
  <c r="W109" i="20" s="1"/>
  <c r="V446" i="21"/>
  <c r="J109" i="20" s="1"/>
  <c r="R571" i="9"/>
  <c r="R576" i="9" s="1"/>
  <c r="AA475" i="9"/>
  <c r="S475" i="21"/>
  <c r="AA495" i="9"/>
  <c r="S495" i="21"/>
  <c r="AE495" i="21" s="1"/>
  <c r="AB514" i="9"/>
  <c r="O514" i="9"/>
  <c r="O530" i="9"/>
  <c r="O470" i="9"/>
  <c r="AA195" i="9"/>
  <c r="AB470" i="9"/>
  <c r="AN195" i="9"/>
  <c r="AS103" i="9"/>
  <c r="AR547" i="9"/>
  <c r="AV547" i="21" s="1"/>
  <c r="AE555" i="21"/>
  <c r="G98" i="20"/>
  <c r="S98" i="20" s="1"/>
  <c r="AE569" i="21"/>
  <c r="G105" i="20"/>
  <c r="S105" i="20" s="1"/>
  <c r="AR569" i="21"/>
  <c r="T105" i="20"/>
  <c r="AF105" i="20" s="1"/>
  <c r="AT39" i="9"/>
  <c r="AA453" i="9"/>
  <c r="AN528" i="9"/>
  <c r="AF528" i="21"/>
  <c r="AR528" i="21" s="1"/>
  <c r="S520" i="21"/>
  <c r="AE520" i="21" s="1"/>
  <c r="AA520" i="9"/>
  <c r="AR453" i="21"/>
  <c r="T114" i="20"/>
  <c r="AF114" i="20" s="1"/>
  <c r="AQ45" i="9"/>
  <c r="AQ112" i="9" s="1"/>
  <c r="AN446" i="9"/>
  <c r="AF520" i="21"/>
  <c r="AR520" i="21" s="1"/>
  <c r="AN520" i="9"/>
  <c r="AR41" i="9"/>
  <c r="AQ569" i="9"/>
  <c r="AU569" i="21" s="1"/>
  <c r="AI105" i="20" s="1"/>
  <c r="AQ555" i="9"/>
  <c r="AU555" i="21" s="1"/>
  <c r="AI98" i="20" s="1"/>
  <c r="AR22" i="9"/>
  <c r="AR97" i="9"/>
  <c r="AQ537" i="9"/>
  <c r="AU537" i="21" s="1"/>
  <c r="AR40" i="9"/>
  <c r="AQ560" i="9"/>
  <c r="AU560" i="21" s="1"/>
  <c r="P507" i="9"/>
  <c r="AA124" i="9"/>
  <c r="AC133" i="9"/>
  <c r="AN133" i="9" s="1"/>
  <c r="AN116" i="9"/>
  <c r="AN126" i="9"/>
  <c r="AB510" i="9"/>
  <c r="AQ508" i="9"/>
  <c r="AU508" i="21" s="1"/>
  <c r="AR125" i="9"/>
  <c r="AR127" i="9"/>
  <c r="AQ513" i="9"/>
  <c r="AU513" i="21" s="1"/>
  <c r="AR79" i="9"/>
  <c r="AQ526" i="9"/>
  <c r="AU526" i="21" s="1"/>
  <c r="AQ495" i="9"/>
  <c r="AU495" i="21" s="1"/>
  <c r="AR59" i="9"/>
  <c r="AP532" i="9"/>
  <c r="AT532" i="21" s="1"/>
  <c r="Y198" i="20"/>
  <c r="Y337" i="20"/>
  <c r="AE93" i="3"/>
  <c r="AE224" i="3" s="1"/>
  <c r="AA93" i="3"/>
  <c r="AA224" i="3" s="1"/>
  <c r="U198" i="20"/>
  <c r="U337" i="20"/>
  <c r="AR117" i="9"/>
  <c r="AQ491" i="9"/>
  <c r="AU491" i="21" s="1"/>
  <c r="O198" i="20"/>
  <c r="O337" i="20"/>
  <c r="U93" i="3"/>
  <c r="U224" i="3" s="1"/>
  <c r="K198" i="20"/>
  <c r="Q93" i="3"/>
  <c r="Q224" i="3" s="1"/>
  <c r="K337" i="20"/>
  <c r="AJ93" i="3"/>
  <c r="AJ224" i="3" s="1"/>
  <c r="AD337" i="20"/>
  <c r="AD198" i="20"/>
  <c r="Z198" i="20"/>
  <c r="AF93" i="3"/>
  <c r="AF224" i="3" s="1"/>
  <c r="Z337" i="20"/>
  <c r="AB93" i="3"/>
  <c r="AB224" i="3" s="1"/>
  <c r="V337" i="20"/>
  <c r="V198" i="20"/>
  <c r="L212" i="20"/>
  <c r="AF526" i="21"/>
  <c r="AR526" i="21" s="1"/>
  <c r="AN526" i="9"/>
  <c r="AA61" i="9"/>
  <c r="AN61" i="9"/>
  <c r="H211" i="20"/>
  <c r="AH446" i="21"/>
  <c r="V109" i="20" s="1"/>
  <c r="AS446" i="21"/>
  <c r="AG109" i="20" s="1"/>
  <c r="E15" i="32" s="1"/>
  <c r="S526" i="21"/>
  <c r="AE526" i="21" s="1"/>
  <c r="AA526" i="9"/>
  <c r="O488" i="9"/>
  <c r="S133" i="9"/>
  <c r="AR52" i="9"/>
  <c r="AQ471" i="9"/>
  <c r="AU471" i="21" s="1"/>
  <c r="P133" i="9"/>
  <c r="X487" i="9"/>
  <c r="AB487" i="21" s="1"/>
  <c r="X552" i="9"/>
  <c r="AB552" i="21" s="1"/>
  <c r="P97" i="20" s="1"/>
  <c r="P212" i="20" s="1"/>
  <c r="T487" i="9"/>
  <c r="X487" i="21" s="1"/>
  <c r="Q546" i="9"/>
  <c r="U546" i="21" s="1"/>
  <c r="Y487" i="9"/>
  <c r="AC487" i="21" s="1"/>
  <c r="U502" i="9"/>
  <c r="Y502" i="21" s="1"/>
  <c r="Q502" i="9"/>
  <c r="U502" i="21" s="1"/>
  <c r="I102" i="20" s="1"/>
  <c r="Q548" i="9"/>
  <c r="U548" i="21" s="1"/>
  <c r="Q529" i="9"/>
  <c r="U529" i="21" s="1"/>
  <c r="Q536" i="9"/>
  <c r="U536" i="21" s="1"/>
  <c r="W502" i="9"/>
  <c r="AA502" i="21" s="1"/>
  <c r="O102" i="20" s="1"/>
  <c r="S502" i="9"/>
  <c r="W502" i="21" s="1"/>
  <c r="Y552" i="9"/>
  <c r="AC552" i="21" s="1"/>
  <c r="Q97" i="20" s="1"/>
  <c r="Q212" i="20" s="1"/>
  <c r="W487" i="9"/>
  <c r="AA487" i="21" s="1"/>
  <c r="S487" i="9"/>
  <c r="W487" i="21" s="1"/>
  <c r="U552" i="9"/>
  <c r="Y552" i="21" s="1"/>
  <c r="M97" i="20" s="1"/>
  <c r="M212" i="20" s="1"/>
  <c r="Q539" i="9"/>
  <c r="U539" i="21" s="1"/>
  <c r="Q525" i="9"/>
  <c r="U525" i="21" s="1"/>
  <c r="W552" i="9"/>
  <c r="AA552" i="21" s="1"/>
  <c r="O97" i="20" s="1"/>
  <c r="O212" i="20" s="1"/>
  <c r="S552" i="9"/>
  <c r="W552" i="21" s="1"/>
  <c r="K97" i="20" s="1"/>
  <c r="K212" i="20" s="1"/>
  <c r="Y502" i="9"/>
  <c r="AC502" i="21" s="1"/>
  <c r="Q102" i="20" s="1"/>
  <c r="AL550" i="9"/>
  <c r="AP550" i="21" s="1"/>
  <c r="AL505" i="9"/>
  <c r="AP505" i="21" s="1"/>
  <c r="AL506" i="9"/>
  <c r="AP506" i="21" s="1"/>
  <c r="AL534" i="9"/>
  <c r="AP534" i="21" s="1"/>
  <c r="AL524" i="9"/>
  <c r="AP524" i="21" s="1"/>
  <c r="AL546" i="9"/>
  <c r="AP546" i="21" s="1"/>
  <c r="AL539" i="9"/>
  <c r="AP539" i="21" s="1"/>
  <c r="AL536" i="9"/>
  <c r="AP536" i="21" s="1"/>
  <c r="AL525" i="9"/>
  <c r="AP525" i="21" s="1"/>
  <c r="AL516" i="9"/>
  <c r="AP516" i="21" s="1"/>
  <c r="AL478" i="9"/>
  <c r="AP478" i="21" s="1"/>
  <c r="AP489" i="21"/>
  <c r="AL487" i="9"/>
  <c r="AP487" i="21" s="1"/>
  <c r="AL494" i="9"/>
  <c r="AP494" i="21" s="1"/>
  <c r="AJ548" i="9"/>
  <c r="AN548" i="21" s="1"/>
  <c r="AJ509" i="9"/>
  <c r="AN509" i="21" s="1"/>
  <c r="AJ536" i="9"/>
  <c r="AN536" i="21" s="1"/>
  <c r="AJ525" i="9"/>
  <c r="AN525" i="21" s="1"/>
  <c r="AJ541" i="9"/>
  <c r="AN541" i="21" s="1"/>
  <c r="AJ502" i="9"/>
  <c r="AN502" i="21" s="1"/>
  <c r="AJ556" i="9"/>
  <c r="AN556" i="21" s="1"/>
  <c r="AB99" i="20" s="1"/>
  <c r="AJ534" i="9"/>
  <c r="AN534" i="21" s="1"/>
  <c r="AJ524" i="9"/>
  <c r="AN524" i="21" s="1"/>
  <c r="AJ498" i="9"/>
  <c r="AN498" i="21" s="1"/>
  <c r="AH550" i="9"/>
  <c r="AL550" i="21" s="1"/>
  <c r="AH505" i="9"/>
  <c r="AL505" i="21" s="1"/>
  <c r="AH506" i="9"/>
  <c r="AL506" i="21" s="1"/>
  <c r="AH534" i="9"/>
  <c r="AL534" i="21" s="1"/>
  <c r="AH524" i="9"/>
  <c r="AL524" i="21" s="1"/>
  <c r="AH478" i="9"/>
  <c r="AL478" i="21" s="1"/>
  <c r="AH541" i="9"/>
  <c r="AL541" i="21" s="1"/>
  <c r="AH502" i="9"/>
  <c r="AL502" i="21" s="1"/>
  <c r="AH556" i="9"/>
  <c r="AL556" i="21" s="1"/>
  <c r="Z99" i="20" s="1"/>
  <c r="AH529" i="9"/>
  <c r="AL529" i="21" s="1"/>
  <c r="AL489" i="21"/>
  <c r="AH487" i="9"/>
  <c r="AL487" i="21" s="1"/>
  <c r="AH494" i="9"/>
  <c r="AL494" i="21" s="1"/>
  <c r="AF548" i="9"/>
  <c r="AJ548" i="21" s="1"/>
  <c r="AF509" i="9"/>
  <c r="AJ509" i="21" s="1"/>
  <c r="AF536" i="9"/>
  <c r="AJ536" i="21" s="1"/>
  <c r="AF525" i="9"/>
  <c r="AJ525" i="21" s="1"/>
  <c r="AF546" i="9"/>
  <c r="AJ546" i="21" s="1"/>
  <c r="AF539" i="9"/>
  <c r="AJ539" i="21" s="1"/>
  <c r="AF552" i="9"/>
  <c r="AJ552" i="21" s="1"/>
  <c r="X97" i="20" s="1"/>
  <c r="AF531" i="9"/>
  <c r="AJ531" i="21" s="1"/>
  <c r="AF522" i="9"/>
  <c r="AJ522" i="21" s="1"/>
  <c r="AF498" i="9"/>
  <c r="AJ498" i="21" s="1"/>
  <c r="AD550" i="9"/>
  <c r="AH550" i="21" s="1"/>
  <c r="AD505" i="9"/>
  <c r="AH505" i="21" s="1"/>
  <c r="AD506" i="9"/>
  <c r="AH506" i="21" s="1"/>
  <c r="AD534" i="9"/>
  <c r="AH534" i="21" s="1"/>
  <c r="AD524" i="9"/>
  <c r="AH524" i="21" s="1"/>
  <c r="AD478" i="9"/>
  <c r="AH478" i="21" s="1"/>
  <c r="AD541" i="9"/>
  <c r="AH541" i="21" s="1"/>
  <c r="AD502" i="9"/>
  <c r="AH502" i="21" s="1"/>
  <c r="AD556" i="9"/>
  <c r="AH556" i="21" s="1"/>
  <c r="V99" i="20" s="1"/>
  <c r="AD529" i="9"/>
  <c r="AH529" i="21" s="1"/>
  <c r="AH489" i="21"/>
  <c r="AD487" i="9"/>
  <c r="AH487" i="21" s="1"/>
  <c r="AD494" i="9"/>
  <c r="AH494" i="21" s="1"/>
  <c r="AM550" i="9"/>
  <c r="AQ550" i="21" s="1"/>
  <c r="AM552" i="9"/>
  <c r="AQ552" i="21" s="1"/>
  <c r="AE97" i="20" s="1"/>
  <c r="AM534" i="9"/>
  <c r="AQ534" i="21" s="1"/>
  <c r="AM524" i="9"/>
  <c r="AQ524" i="21" s="1"/>
  <c r="AM546" i="9"/>
  <c r="AQ546" i="21" s="1"/>
  <c r="AM539" i="9"/>
  <c r="AQ539" i="21" s="1"/>
  <c r="AM505" i="9"/>
  <c r="AQ505" i="21" s="1"/>
  <c r="AM506" i="9"/>
  <c r="AQ506" i="21" s="1"/>
  <c r="AM529" i="9"/>
  <c r="AQ529" i="21" s="1"/>
  <c r="AM516" i="9"/>
  <c r="AQ516" i="21" s="1"/>
  <c r="AM487" i="9"/>
  <c r="AQ487" i="21" s="1"/>
  <c r="AM494" i="9"/>
  <c r="AQ494" i="21" s="1"/>
  <c r="AK548" i="9"/>
  <c r="AO548" i="21" s="1"/>
  <c r="AK502" i="9"/>
  <c r="AO502" i="21" s="1"/>
  <c r="AK556" i="9"/>
  <c r="AO556" i="21" s="1"/>
  <c r="AC99" i="20" s="1"/>
  <c r="AK529" i="9"/>
  <c r="AO529" i="21" s="1"/>
  <c r="AK478" i="9"/>
  <c r="AO478" i="21" s="1"/>
  <c r="AK541" i="9"/>
  <c r="AO541" i="21" s="1"/>
  <c r="AK509" i="9"/>
  <c r="AO509" i="21" s="1"/>
  <c r="AK552" i="9"/>
  <c r="AO552" i="21" s="1"/>
  <c r="AC97" i="20" s="1"/>
  <c r="AK534" i="9"/>
  <c r="AO534" i="21" s="1"/>
  <c r="AK524" i="9"/>
  <c r="AO524" i="21" s="1"/>
  <c r="AK498" i="9"/>
  <c r="AO498" i="21" s="1"/>
  <c r="AI550" i="9"/>
  <c r="AM550" i="21" s="1"/>
  <c r="AI552" i="9"/>
  <c r="AM552" i="21" s="1"/>
  <c r="AA97" i="20" s="1"/>
  <c r="AI534" i="9"/>
  <c r="AM534" i="21" s="1"/>
  <c r="AI524" i="9"/>
  <c r="AM524" i="21" s="1"/>
  <c r="AI546" i="9"/>
  <c r="AM546" i="21" s="1"/>
  <c r="AI539" i="9"/>
  <c r="AM539" i="21" s="1"/>
  <c r="AI505" i="9"/>
  <c r="AM505" i="21" s="1"/>
  <c r="AI506" i="9"/>
  <c r="AM506" i="21" s="1"/>
  <c r="AI529" i="9"/>
  <c r="AM529" i="21" s="1"/>
  <c r="AI516" i="9"/>
  <c r="AM516" i="21" s="1"/>
  <c r="AM489" i="21"/>
  <c r="AI487" i="9"/>
  <c r="AM487" i="21" s="1"/>
  <c r="AI494" i="9"/>
  <c r="AM494" i="21" s="1"/>
  <c r="AG548" i="9"/>
  <c r="AK548" i="21" s="1"/>
  <c r="AG502" i="9"/>
  <c r="AK502" i="21" s="1"/>
  <c r="AG556" i="9"/>
  <c r="AK556" i="21" s="1"/>
  <c r="Y99" i="20" s="1"/>
  <c r="AG529" i="9"/>
  <c r="AK529" i="21" s="1"/>
  <c r="AG546" i="9"/>
  <c r="AK546" i="21" s="1"/>
  <c r="AG539" i="9"/>
  <c r="AK539" i="21" s="1"/>
  <c r="AG505" i="9"/>
  <c r="AK505" i="21" s="1"/>
  <c r="AG506" i="9"/>
  <c r="AK506" i="21" s="1"/>
  <c r="AG536" i="9"/>
  <c r="AK536" i="21" s="1"/>
  <c r="AG525" i="9"/>
  <c r="AK525" i="21" s="1"/>
  <c r="AG516" i="9"/>
  <c r="AK516" i="21" s="1"/>
  <c r="AG478" i="9"/>
  <c r="AK478" i="21" s="1"/>
  <c r="AG498" i="9"/>
  <c r="AK498" i="21" s="1"/>
  <c r="AE550" i="9"/>
  <c r="AI550" i="21" s="1"/>
  <c r="AE552" i="9"/>
  <c r="AI552" i="21" s="1"/>
  <c r="W97" i="20" s="1"/>
  <c r="AE534" i="9"/>
  <c r="AI534" i="21" s="1"/>
  <c r="AE524" i="9"/>
  <c r="AI524" i="21" s="1"/>
  <c r="AE541" i="9"/>
  <c r="AI541" i="21" s="1"/>
  <c r="AE509" i="9"/>
  <c r="AI509" i="21" s="1"/>
  <c r="AE531" i="9"/>
  <c r="AI531" i="21" s="1"/>
  <c r="AE522" i="9"/>
  <c r="AI522" i="21" s="1"/>
  <c r="AI489" i="21"/>
  <c r="AE487" i="9"/>
  <c r="AI487" i="21" s="1"/>
  <c r="AE494" i="9"/>
  <c r="AI494" i="21" s="1"/>
  <c r="AC548" i="9"/>
  <c r="AG548" i="21" s="1"/>
  <c r="AC502" i="9"/>
  <c r="AG502" i="21" s="1"/>
  <c r="AC556" i="9"/>
  <c r="AG556" i="21" s="1"/>
  <c r="U99" i="20" s="1"/>
  <c r="AC529" i="9"/>
  <c r="AG529" i="21" s="1"/>
  <c r="AC546" i="9"/>
  <c r="AG546" i="21" s="1"/>
  <c r="AC539" i="9"/>
  <c r="AG539" i="21" s="1"/>
  <c r="AC505" i="9"/>
  <c r="AG505" i="21" s="1"/>
  <c r="AC506" i="9"/>
  <c r="AG506" i="21" s="1"/>
  <c r="AC536" i="9"/>
  <c r="AG536" i="21" s="1"/>
  <c r="AC525" i="9"/>
  <c r="AG525" i="21" s="1"/>
  <c r="AC516" i="9"/>
  <c r="AG516" i="21" s="1"/>
  <c r="AC478" i="9"/>
  <c r="AG478" i="21" s="1"/>
  <c r="AC498" i="9"/>
  <c r="AG498" i="21" s="1"/>
  <c r="AL548" i="9"/>
  <c r="AP548" i="21" s="1"/>
  <c r="AL509" i="9"/>
  <c r="AP509" i="21" s="1"/>
  <c r="AL552" i="9"/>
  <c r="AP552" i="21" s="1"/>
  <c r="AD97" i="20" s="1"/>
  <c r="AL531" i="9"/>
  <c r="AP531" i="21" s="1"/>
  <c r="AL522" i="9"/>
  <c r="AP522" i="21" s="1"/>
  <c r="AL541" i="9"/>
  <c r="AP541" i="21" s="1"/>
  <c r="AL502" i="9"/>
  <c r="AP502" i="21" s="1"/>
  <c r="AL556" i="9"/>
  <c r="AP556" i="21" s="1"/>
  <c r="AD99" i="20" s="1"/>
  <c r="AL529" i="9"/>
  <c r="AP529" i="21" s="1"/>
  <c r="AL498" i="9"/>
  <c r="AP498" i="21" s="1"/>
  <c r="AJ550" i="9"/>
  <c r="AN550" i="21" s="1"/>
  <c r="AJ505" i="9"/>
  <c r="AN505" i="21" s="1"/>
  <c r="AJ506" i="9"/>
  <c r="AN506" i="21" s="1"/>
  <c r="AJ529" i="9"/>
  <c r="AN529" i="21" s="1"/>
  <c r="AJ546" i="9"/>
  <c r="AN546" i="21" s="1"/>
  <c r="AJ539" i="9"/>
  <c r="AN539" i="21" s="1"/>
  <c r="AJ552" i="9"/>
  <c r="AN552" i="21" s="1"/>
  <c r="AB97" i="20" s="1"/>
  <c r="AJ531" i="9"/>
  <c r="AN531" i="21" s="1"/>
  <c r="AJ522" i="9"/>
  <c r="AN522" i="21" s="1"/>
  <c r="AJ516" i="9"/>
  <c r="AN516" i="21" s="1"/>
  <c r="AJ478" i="9"/>
  <c r="AN478" i="21" s="1"/>
  <c r="AN489" i="21"/>
  <c r="AJ487" i="9"/>
  <c r="AN487" i="21" s="1"/>
  <c r="AJ494" i="9"/>
  <c r="AN494" i="21" s="1"/>
  <c r="AH548" i="9"/>
  <c r="AL548" i="21" s="1"/>
  <c r="AH509" i="9"/>
  <c r="AL509" i="21" s="1"/>
  <c r="AH552" i="9"/>
  <c r="AL552" i="21" s="1"/>
  <c r="Z97" i="20" s="1"/>
  <c r="AH531" i="9"/>
  <c r="AL531" i="21" s="1"/>
  <c r="AH522" i="9"/>
  <c r="AL522" i="21" s="1"/>
  <c r="AH546" i="9"/>
  <c r="AL546" i="21" s="1"/>
  <c r="AH539" i="9"/>
  <c r="AL539" i="21" s="1"/>
  <c r="AH536" i="9"/>
  <c r="AL536" i="21" s="1"/>
  <c r="AH525" i="9"/>
  <c r="AL525" i="21" s="1"/>
  <c r="AH516" i="9"/>
  <c r="AL516" i="21" s="1"/>
  <c r="AH498" i="9"/>
  <c r="AL498" i="21" s="1"/>
  <c r="AF550" i="9"/>
  <c r="AJ550" i="21" s="1"/>
  <c r="AF505" i="9"/>
  <c r="AJ505" i="21" s="1"/>
  <c r="AF506" i="9"/>
  <c r="AJ506" i="21" s="1"/>
  <c r="AF529" i="9"/>
  <c r="AJ529" i="21" s="1"/>
  <c r="AF478" i="9"/>
  <c r="AJ478" i="21" s="1"/>
  <c r="AF541" i="9"/>
  <c r="AJ541" i="21" s="1"/>
  <c r="AF502" i="9"/>
  <c r="AJ502" i="21" s="1"/>
  <c r="AF556" i="9"/>
  <c r="AJ556" i="21" s="1"/>
  <c r="X99" i="20" s="1"/>
  <c r="X212" i="20" s="1"/>
  <c r="AF534" i="9"/>
  <c r="AJ534" i="21" s="1"/>
  <c r="AF524" i="9"/>
  <c r="AJ524" i="21" s="1"/>
  <c r="AJ489" i="21"/>
  <c r="AF487" i="9"/>
  <c r="AJ487" i="21" s="1"/>
  <c r="AF494" i="9"/>
  <c r="AJ494" i="21" s="1"/>
  <c r="AD548" i="9"/>
  <c r="AH548" i="21" s="1"/>
  <c r="AD509" i="9"/>
  <c r="AH509" i="21" s="1"/>
  <c r="AD552" i="9"/>
  <c r="AH552" i="21" s="1"/>
  <c r="V97" i="20" s="1"/>
  <c r="AD531" i="9"/>
  <c r="AH531" i="21" s="1"/>
  <c r="AD522" i="9"/>
  <c r="AH522" i="21" s="1"/>
  <c r="AD546" i="9"/>
  <c r="AH546" i="21" s="1"/>
  <c r="AD539" i="9"/>
  <c r="AH539" i="21" s="1"/>
  <c r="AD536" i="9"/>
  <c r="AH536" i="21" s="1"/>
  <c r="AD525" i="9"/>
  <c r="AH525" i="21" s="1"/>
  <c r="AD516" i="9"/>
  <c r="AH516" i="21" s="1"/>
  <c r="AD498" i="9"/>
  <c r="AH498" i="21" s="1"/>
  <c r="AM548" i="9"/>
  <c r="AQ548" i="21" s="1"/>
  <c r="AM502" i="9"/>
  <c r="AQ502" i="21" s="1"/>
  <c r="AM556" i="9"/>
  <c r="AQ556" i="21" s="1"/>
  <c r="AE99" i="20" s="1"/>
  <c r="AM536" i="9"/>
  <c r="AQ536" i="21" s="1"/>
  <c r="AM525" i="9"/>
  <c r="AQ525" i="21" s="1"/>
  <c r="AM478" i="9"/>
  <c r="AQ478" i="21" s="1"/>
  <c r="AQ489" i="21"/>
  <c r="AM541" i="9"/>
  <c r="AQ541" i="21" s="1"/>
  <c r="AM509" i="9"/>
  <c r="AQ509" i="21" s="1"/>
  <c r="AM531" i="9"/>
  <c r="AQ531" i="21" s="1"/>
  <c r="AM522" i="9"/>
  <c r="AQ522" i="21" s="1"/>
  <c r="AM498" i="9"/>
  <c r="AQ498" i="21" s="1"/>
  <c r="AK550" i="9"/>
  <c r="AO550" i="21" s="1"/>
  <c r="AK531" i="9"/>
  <c r="AO531" i="21" s="1"/>
  <c r="AK522" i="9"/>
  <c r="AO522" i="21" s="1"/>
  <c r="AK546" i="9"/>
  <c r="AO546" i="21" s="1"/>
  <c r="AK539" i="9"/>
  <c r="AO539" i="21" s="1"/>
  <c r="AK505" i="9"/>
  <c r="AO505" i="21" s="1"/>
  <c r="AK506" i="9"/>
  <c r="AO506" i="21" s="1"/>
  <c r="AK536" i="9"/>
  <c r="AO536" i="21" s="1"/>
  <c r="AK525" i="9"/>
  <c r="AO525" i="21" s="1"/>
  <c r="AK516" i="9"/>
  <c r="AO516" i="21" s="1"/>
  <c r="AO489" i="21"/>
  <c r="AK487" i="9"/>
  <c r="AO487" i="21" s="1"/>
  <c r="AK494" i="9"/>
  <c r="AO494" i="21" s="1"/>
  <c r="AI548" i="9"/>
  <c r="AM548" i="21" s="1"/>
  <c r="AI502" i="9"/>
  <c r="AM502" i="21" s="1"/>
  <c r="AI556" i="9"/>
  <c r="AM556" i="21" s="1"/>
  <c r="AA99" i="20" s="1"/>
  <c r="AA212" i="20" s="1"/>
  <c r="AI536" i="9"/>
  <c r="AM536" i="21" s="1"/>
  <c r="AI525" i="9"/>
  <c r="AM525" i="21" s="1"/>
  <c r="AI478" i="9"/>
  <c r="AM478" i="21" s="1"/>
  <c r="AI541" i="9"/>
  <c r="AM541" i="21" s="1"/>
  <c r="AI509" i="9"/>
  <c r="AM509" i="21" s="1"/>
  <c r="AI531" i="9"/>
  <c r="AM531" i="21" s="1"/>
  <c r="AI522" i="9"/>
  <c r="AM522" i="21" s="1"/>
  <c r="AI498" i="9"/>
  <c r="AM498" i="21" s="1"/>
  <c r="AG550" i="9"/>
  <c r="AK550" i="21" s="1"/>
  <c r="AG531" i="9"/>
  <c r="AK531" i="21" s="1"/>
  <c r="AG522" i="9"/>
  <c r="AK522" i="21" s="1"/>
  <c r="AG541" i="9"/>
  <c r="AK541" i="21" s="1"/>
  <c r="AG509" i="9"/>
  <c r="AK509" i="21" s="1"/>
  <c r="AG552" i="9"/>
  <c r="AK552" i="21" s="1"/>
  <c r="Y97" i="20" s="1"/>
  <c r="AG534" i="9"/>
  <c r="AK534" i="21" s="1"/>
  <c r="AG524" i="9"/>
  <c r="AK524" i="21" s="1"/>
  <c r="AK489" i="21"/>
  <c r="AG487" i="9"/>
  <c r="AK487" i="21" s="1"/>
  <c r="AG494" i="9"/>
  <c r="AK494" i="21" s="1"/>
  <c r="AE548" i="9"/>
  <c r="AI548" i="21" s="1"/>
  <c r="AE502" i="9"/>
  <c r="AI502" i="21" s="1"/>
  <c r="AE556" i="9"/>
  <c r="AI556" i="21" s="1"/>
  <c r="W99" i="20" s="1"/>
  <c r="W212" i="20" s="1"/>
  <c r="AE536" i="9"/>
  <c r="AI536" i="21" s="1"/>
  <c r="AE525" i="9"/>
  <c r="AI525" i="21" s="1"/>
  <c r="AE546" i="9"/>
  <c r="AI546" i="21" s="1"/>
  <c r="AE539" i="9"/>
  <c r="AI539" i="21" s="1"/>
  <c r="AE505" i="9"/>
  <c r="AI505" i="21" s="1"/>
  <c r="AE506" i="9"/>
  <c r="AI506" i="21" s="1"/>
  <c r="AE529" i="9"/>
  <c r="AI529" i="21" s="1"/>
  <c r="AE516" i="9"/>
  <c r="AI516" i="21" s="1"/>
  <c r="AE478" i="9"/>
  <c r="AI478" i="21" s="1"/>
  <c r="AE498" i="9"/>
  <c r="AI498" i="21" s="1"/>
  <c r="AC550" i="9"/>
  <c r="AG550" i="21" s="1"/>
  <c r="AC531" i="9"/>
  <c r="AG531" i="21" s="1"/>
  <c r="AC522" i="9"/>
  <c r="AG522" i="21" s="1"/>
  <c r="AC541" i="9"/>
  <c r="AG541" i="21" s="1"/>
  <c r="AC509" i="9"/>
  <c r="AG509" i="21" s="1"/>
  <c r="AC552" i="9"/>
  <c r="AG552" i="21" s="1"/>
  <c r="U97" i="20" s="1"/>
  <c r="AC534" i="9"/>
  <c r="AG534" i="21" s="1"/>
  <c r="AC524" i="9"/>
  <c r="AG524" i="21" s="1"/>
  <c r="AG489" i="21"/>
  <c r="AC487" i="9"/>
  <c r="AG487" i="21" s="1"/>
  <c r="AC494" i="9"/>
  <c r="AG494" i="21" s="1"/>
  <c r="AO548" i="9"/>
  <c r="AS548" i="21" s="1"/>
  <c r="AO487" i="9"/>
  <c r="AS487" i="21" s="1"/>
  <c r="AO556" i="9"/>
  <c r="AS556" i="21" s="1"/>
  <c r="AG99" i="20" s="1"/>
  <c r="AO539" i="9"/>
  <c r="AS539" i="21" s="1"/>
  <c r="AO546" i="9"/>
  <c r="AS546" i="21" s="1"/>
  <c r="AO550" i="9"/>
  <c r="AS550" i="21" s="1"/>
  <c r="AA93" i="20" l="1"/>
  <c r="AE93" i="20"/>
  <c r="AE212" i="20"/>
  <c r="AB102" i="20"/>
  <c r="AD212" i="20"/>
  <c r="P106" i="20"/>
  <c r="I93" i="20"/>
  <c r="J106" i="20"/>
  <c r="AC212" i="20"/>
  <c r="AA133" i="9"/>
  <c r="N106" i="20"/>
  <c r="U93" i="20"/>
  <c r="I103" i="20"/>
  <c r="AQ142" i="9"/>
  <c r="AP498" i="9"/>
  <c r="AT498" i="21" s="1"/>
  <c r="AP487" i="9"/>
  <c r="AT487" i="21" s="1"/>
  <c r="AQ139" i="9"/>
  <c r="AP494" i="9"/>
  <c r="AT494" i="21" s="1"/>
  <c r="AQ141" i="9"/>
  <c r="AE102" i="20"/>
  <c r="V93" i="20"/>
  <c r="X102" i="20"/>
  <c r="W93" i="20"/>
  <c r="Y212" i="20"/>
  <c r="AC102" i="20"/>
  <c r="V212" i="20"/>
  <c r="V102" i="20"/>
  <c r="X93" i="20"/>
  <c r="Z212" i="20"/>
  <c r="Z102" i="20"/>
  <c r="AB212" i="20"/>
  <c r="AD102" i="20"/>
  <c r="I106" i="20"/>
  <c r="AS52" i="9"/>
  <c r="AR471" i="9"/>
  <c r="AV471" i="21" s="1"/>
  <c r="S488" i="21"/>
  <c r="AE488" i="21" s="1"/>
  <c r="AA488" i="9"/>
  <c r="AR526" i="9"/>
  <c r="AV526" i="21" s="1"/>
  <c r="AS79" i="9"/>
  <c r="AS127" i="9"/>
  <c r="AR513" i="9"/>
  <c r="AV513" i="21" s="1"/>
  <c r="AR555" i="9"/>
  <c r="AV555" i="21" s="1"/>
  <c r="AJ98" i="20" s="1"/>
  <c r="AS22" i="9"/>
  <c r="AA530" i="9"/>
  <c r="S530" i="21"/>
  <c r="AE530" i="21" s="1"/>
  <c r="AF514" i="21"/>
  <c r="AR514" i="21" s="1"/>
  <c r="AN514" i="9"/>
  <c r="AE475" i="21"/>
  <c r="AS61" i="9"/>
  <c r="AH109" i="20"/>
  <c r="F15" i="32" s="1"/>
  <c r="AS116" i="9"/>
  <c r="AV490" i="21"/>
  <c r="AS126" i="9"/>
  <c r="AR510" i="9"/>
  <c r="AV510" i="21" s="1"/>
  <c r="Y508" i="21"/>
  <c r="AE508" i="21" s="1"/>
  <c r="AA508" i="9"/>
  <c r="AK507" i="21"/>
  <c r="AR507" i="21" s="1"/>
  <c r="AN507" i="9"/>
  <c r="AT131" i="9"/>
  <c r="AS517" i="9"/>
  <c r="AS523" i="9"/>
  <c r="AW523" i="21" s="1"/>
  <c r="AT92" i="9"/>
  <c r="AK214" i="20"/>
  <c r="AS453" i="9"/>
  <c r="AW453" i="21" s="1"/>
  <c r="AT26" i="9"/>
  <c r="AQ475" i="9"/>
  <c r="AU475" i="21" s="1"/>
  <c r="AR72" i="9"/>
  <c r="AR144" i="9"/>
  <c r="AQ503" i="9"/>
  <c r="AU503" i="21" s="1"/>
  <c r="T169" i="9"/>
  <c r="T173" i="9" s="1"/>
  <c r="T575" i="9" s="1"/>
  <c r="W472" i="21"/>
  <c r="AA472" i="21"/>
  <c r="S472" i="21"/>
  <c r="P211" i="20"/>
  <c r="AQ470" i="9"/>
  <c r="AU470" i="21" s="1"/>
  <c r="AI87" i="20" s="1"/>
  <c r="AR195" i="9"/>
  <c r="AF532" i="21"/>
  <c r="AR532" i="21" s="1"/>
  <c r="AN532" i="9"/>
  <c r="AF495" i="21"/>
  <c r="AR495" i="21" s="1"/>
  <c r="AN495" i="9"/>
  <c r="AR532" i="9"/>
  <c r="AV532" i="21" s="1"/>
  <c r="AS63" i="9"/>
  <c r="AR49" i="9"/>
  <c r="AQ533" i="9"/>
  <c r="AU533" i="21" s="1"/>
  <c r="AF109" i="20"/>
  <c r="AT96" i="9"/>
  <c r="AS535" i="9"/>
  <c r="AW535" i="21" s="1"/>
  <c r="AS557" i="9"/>
  <c r="AW557" i="21" s="1"/>
  <c r="AT37" i="9"/>
  <c r="AF488" i="21"/>
  <c r="AR488" i="21" s="1"/>
  <c r="AN488" i="9"/>
  <c r="AR475" i="21"/>
  <c r="AS115" i="9"/>
  <c r="AR480" i="9"/>
  <c r="AV480" i="21" s="1"/>
  <c r="AS119" i="9"/>
  <c r="AR496" i="9"/>
  <c r="AV496" i="21" s="1"/>
  <c r="AS58" i="9"/>
  <c r="AR67" i="9"/>
  <c r="AR488" i="9"/>
  <c r="AV488" i="21" s="1"/>
  <c r="AR554" i="9"/>
  <c r="AV554" i="21" s="1"/>
  <c r="AS19" i="9"/>
  <c r="AR543" i="9"/>
  <c r="AV543" i="21" s="1"/>
  <c r="AS101" i="9"/>
  <c r="T98" i="20"/>
  <c r="AF98" i="20" s="1"/>
  <c r="AR555" i="21"/>
  <c r="AA112" i="9"/>
  <c r="AS540" i="9"/>
  <c r="AW540" i="21" s="1"/>
  <c r="AT100" i="9"/>
  <c r="AD472" i="21"/>
  <c r="Z571" i="9"/>
  <c r="Z576" i="9" s="1"/>
  <c r="J211" i="20"/>
  <c r="X169" i="9"/>
  <c r="X173" i="9" s="1"/>
  <c r="X575" i="9" s="1"/>
  <c r="R106" i="20"/>
  <c r="R211" i="20"/>
  <c r="AA81" i="9"/>
  <c r="O532" i="9"/>
  <c r="P69" i="9"/>
  <c r="G155" i="20"/>
  <c r="G255" i="20" s="1"/>
  <c r="O544" i="9"/>
  <c r="AP539" i="9"/>
  <c r="AT539" i="21" s="1"/>
  <c r="AQ157" i="9"/>
  <c r="AB487" i="9"/>
  <c r="AN139" i="9"/>
  <c r="AP84" i="9"/>
  <c r="AQ80" i="9"/>
  <c r="AP530" i="9"/>
  <c r="AT530" i="21" s="1"/>
  <c r="AQ137" i="9"/>
  <c r="AP472" i="9"/>
  <c r="AA161" i="9"/>
  <c r="O546" i="9"/>
  <c r="O542" i="9"/>
  <c r="W102" i="20"/>
  <c r="Y93" i="20"/>
  <c r="AA102" i="20"/>
  <c r="AC93" i="20"/>
  <c r="Z93" i="20"/>
  <c r="AB93" i="20"/>
  <c r="AD93" i="20"/>
  <c r="U212" i="20"/>
  <c r="U102" i="20"/>
  <c r="AR491" i="9"/>
  <c r="AV491" i="21" s="1"/>
  <c r="AS117" i="9"/>
  <c r="AS59" i="9"/>
  <c r="AR495" i="9"/>
  <c r="AV495" i="21" s="1"/>
  <c r="AS125" i="9"/>
  <c r="AR508" i="9"/>
  <c r="AV508" i="21" s="1"/>
  <c r="AF510" i="21"/>
  <c r="AR510" i="21" s="1"/>
  <c r="AN510" i="9"/>
  <c r="AG490" i="21"/>
  <c r="AR490" i="21" s="1"/>
  <c r="AN490" i="9"/>
  <c r="T507" i="21"/>
  <c r="AA507" i="9"/>
  <c r="AR560" i="9"/>
  <c r="AV560" i="21" s="1"/>
  <c r="AS40" i="9"/>
  <c r="AS97" i="9"/>
  <c r="AR537" i="9"/>
  <c r="AV537" i="21" s="1"/>
  <c r="AS41" i="9"/>
  <c r="AR569" i="9"/>
  <c r="AV569" i="21" s="1"/>
  <c r="AJ105" i="20" s="1"/>
  <c r="AU39" i="9"/>
  <c r="AT103" i="9"/>
  <c r="AS547" i="9"/>
  <c r="AW547" i="21" s="1"/>
  <c r="AN470" i="9"/>
  <c r="AF470" i="21"/>
  <c r="AA470" i="9"/>
  <c r="S470" i="21"/>
  <c r="S514" i="21"/>
  <c r="AE514" i="21" s="1"/>
  <c r="AA514" i="9"/>
  <c r="AR514" i="9"/>
  <c r="AV514" i="21" s="1"/>
  <c r="AS60" i="9"/>
  <c r="AS87" i="9"/>
  <c r="AR88" i="9"/>
  <c r="AJ226" i="20"/>
  <c r="AR446" i="9"/>
  <c r="AU446" i="21"/>
  <c r="U491" i="21"/>
  <c r="AE491" i="21" s="1"/>
  <c r="AA491" i="9"/>
  <c r="W504" i="21"/>
  <c r="AE504" i="21" s="1"/>
  <c r="AA504" i="9"/>
  <c r="AA480" i="21"/>
  <c r="AA480" i="9"/>
  <c r="AR563" i="9"/>
  <c r="AV563" i="21" s="1"/>
  <c r="AS166" i="9"/>
  <c r="AS186" i="9"/>
  <c r="AJ281" i="20"/>
  <c r="AR48" i="9"/>
  <c r="AQ55" i="9"/>
  <c r="AQ520" i="9"/>
  <c r="AU520" i="21" s="1"/>
  <c r="AQ559" i="9"/>
  <c r="AU559" i="21" s="1"/>
  <c r="AR185" i="9"/>
  <c r="AR528" i="9"/>
  <c r="AV528" i="21" s="1"/>
  <c r="AS108" i="9"/>
  <c r="AS38" i="9"/>
  <c r="AR565" i="9"/>
  <c r="AV565" i="21" s="1"/>
  <c r="AJ161" i="20"/>
  <c r="AS549" i="9"/>
  <c r="AW549" i="21" s="1"/>
  <c r="AT104" i="9"/>
  <c r="AS545" i="9"/>
  <c r="AW545" i="21" s="1"/>
  <c r="AT102" i="9"/>
  <c r="AR111" i="9"/>
  <c r="Z472" i="21"/>
  <c r="V571" i="9"/>
  <c r="V576" i="9" s="1"/>
  <c r="X472" i="21"/>
  <c r="T571" i="9"/>
  <c r="T576" i="9" s="1"/>
  <c r="Q169" i="9"/>
  <c r="Q173" i="9" s="1"/>
  <c r="Q575" i="9" s="1"/>
  <c r="L211" i="20"/>
  <c r="AN93" i="3"/>
  <c r="AN224" i="3" s="1"/>
  <c r="AH198" i="20"/>
  <c r="J33" i="27"/>
  <c r="F19" i="32"/>
  <c r="AF530" i="21"/>
  <c r="AR530" i="21" s="1"/>
  <c r="AN530" i="9"/>
  <c r="AR507" i="9"/>
  <c r="AV507" i="21" s="1"/>
  <c r="AS148" i="9"/>
  <c r="AR512" i="9"/>
  <c r="AV512" i="21" s="1"/>
  <c r="AS62" i="9"/>
  <c r="AS123" i="9"/>
  <c r="AR504" i="9"/>
  <c r="AV504" i="21" s="1"/>
  <c r="AR446" i="21"/>
  <c r="AR45" i="9"/>
  <c r="AS553" i="9"/>
  <c r="AW553" i="21" s="1"/>
  <c r="AT18" i="9"/>
  <c r="G176" i="20"/>
  <c r="AA84" i="9"/>
  <c r="AR120" i="9"/>
  <c r="AQ499" i="9"/>
  <c r="AU499" i="21" s="1"/>
  <c r="AR527" i="9"/>
  <c r="AV527" i="21" s="1"/>
  <c r="AS107" i="9"/>
  <c r="AS184" i="9"/>
  <c r="AR191" i="9"/>
  <c r="AR566" i="9"/>
  <c r="AV566" i="21" s="1"/>
  <c r="AR551" i="9"/>
  <c r="AV551" i="21" s="1"/>
  <c r="AJ94" i="20" s="1"/>
  <c r="AS109" i="9"/>
  <c r="AS455" i="9"/>
  <c r="AW455" i="21" s="1"/>
  <c r="AT27" i="9"/>
  <c r="L106" i="20"/>
  <c r="AB472" i="21"/>
  <c r="X571" i="9"/>
  <c r="X576" i="9" s="1"/>
  <c r="N211" i="20"/>
  <c r="U446" i="21"/>
  <c r="Q571" i="9"/>
  <c r="Q576" i="9" s="1"/>
  <c r="AA446" i="9"/>
  <c r="AO541" i="9"/>
  <c r="AS541" i="21" s="1"/>
  <c r="AO498" i="9"/>
  <c r="AS498" i="21" s="1"/>
  <c r="AS489" i="21"/>
  <c r="AO494" i="9"/>
  <c r="AS494" i="21" s="1"/>
  <c r="U542" i="9"/>
  <c r="Y542" i="21" s="1"/>
  <c r="Y542" i="9"/>
  <c r="AC542" i="21" s="1"/>
  <c r="S544" i="9"/>
  <c r="W544" i="21" s="1"/>
  <c r="W544" i="9"/>
  <c r="AA544" i="21" s="1"/>
  <c r="U544" i="9"/>
  <c r="Y544" i="21" s="1"/>
  <c r="Y544" i="9"/>
  <c r="AC544" i="21" s="1"/>
  <c r="S542" i="9"/>
  <c r="W542" i="21" s="1"/>
  <c r="K103" i="20" s="1"/>
  <c r="K211" i="20" s="1"/>
  <c r="W542" i="9"/>
  <c r="AA542" i="21" s="1"/>
  <c r="O103" i="20" s="1"/>
  <c r="O106" i="20" s="1"/>
  <c r="AC542" i="9"/>
  <c r="AG542" i="21" s="1"/>
  <c r="AG544" i="9"/>
  <c r="AK544" i="21" s="1"/>
  <c r="AK542" i="9"/>
  <c r="AO542" i="21" s="1"/>
  <c r="AO506" i="9"/>
  <c r="AS506" i="21" s="1"/>
  <c r="AF544" i="9"/>
  <c r="AJ544" i="21" s="1"/>
  <c r="AJ544" i="9"/>
  <c r="AN544" i="21" s="1"/>
  <c r="AO524" i="9"/>
  <c r="AS524" i="21" s="1"/>
  <c r="AO509" i="9"/>
  <c r="AS509" i="21" s="1"/>
  <c r="AO522" i="9"/>
  <c r="AS522" i="21" s="1"/>
  <c r="AO505" i="9"/>
  <c r="AS505" i="21" s="1"/>
  <c r="AE542" i="9"/>
  <c r="AI542" i="21" s="1"/>
  <c r="AI542" i="9"/>
  <c r="AM542" i="21" s="1"/>
  <c r="AM544" i="9"/>
  <c r="AQ544" i="21" s="1"/>
  <c r="AD544" i="9"/>
  <c r="AH544" i="21" s="1"/>
  <c r="AH544" i="9"/>
  <c r="AL544" i="21" s="1"/>
  <c r="AL542" i="9"/>
  <c r="AP542" i="21" s="1"/>
  <c r="AO534" i="9"/>
  <c r="AS534" i="21" s="1"/>
  <c r="AO516" i="9"/>
  <c r="AS516" i="21" s="1"/>
  <c r="AO552" i="9"/>
  <c r="AS552" i="21" s="1"/>
  <c r="AG97" i="20" s="1"/>
  <c r="AC544" i="9"/>
  <c r="AG544" i="21" s="1"/>
  <c r="U103" i="20" s="1"/>
  <c r="U211" i="20" s="1"/>
  <c r="AG542" i="9"/>
  <c r="AK542" i="21" s="1"/>
  <c r="Y103" i="20" s="1"/>
  <c r="AK544" i="9"/>
  <c r="AO544" i="21" s="1"/>
  <c r="AO502" i="9"/>
  <c r="AS502" i="21" s="1"/>
  <c r="AO536" i="9"/>
  <c r="AS536" i="21" s="1"/>
  <c r="AF542" i="9"/>
  <c r="AJ542" i="21" s="1"/>
  <c r="X103" i="20" s="1"/>
  <c r="AJ542" i="9"/>
  <c r="AN542" i="21" s="1"/>
  <c r="AO478" i="9"/>
  <c r="AS478" i="21" s="1"/>
  <c r="AE544" i="9"/>
  <c r="AI544" i="21" s="1"/>
  <c r="AI544" i="9"/>
  <c r="AM544" i="21" s="1"/>
  <c r="AM542" i="9"/>
  <c r="AQ542" i="21" s="1"/>
  <c r="AO529" i="9"/>
  <c r="AS529" i="21" s="1"/>
  <c r="AO525" i="9"/>
  <c r="AS525" i="21" s="1"/>
  <c r="AD542" i="9"/>
  <c r="AH542" i="21" s="1"/>
  <c r="AH542" i="9"/>
  <c r="AL542" i="21" s="1"/>
  <c r="Z103" i="20" s="1"/>
  <c r="Z211" i="20" s="1"/>
  <c r="AL544" i="9"/>
  <c r="AP544" i="21" s="1"/>
  <c r="AO531" i="9"/>
  <c r="AS531" i="21" s="1"/>
  <c r="AO542" i="9"/>
  <c r="AS542" i="21" s="1"/>
  <c r="AS45" i="9" l="1"/>
  <c r="I211" i="20"/>
  <c r="V103" i="20"/>
  <c r="AE103" i="20"/>
  <c r="AE211" i="20" s="1"/>
  <c r="AB103" i="20"/>
  <c r="AB211" i="20" s="1"/>
  <c r="AD103" i="20"/>
  <c r="W103" i="20"/>
  <c r="W211" i="20" s="1"/>
  <c r="AC103" i="20"/>
  <c r="AR112" i="9"/>
  <c r="AK161" i="20"/>
  <c r="AA103" i="20"/>
  <c r="AA211" i="20" s="1"/>
  <c r="AG169" i="9"/>
  <c r="AG173" i="9" s="1"/>
  <c r="AG575" i="9" s="1"/>
  <c r="AG472" i="9"/>
  <c r="AQ150" i="9"/>
  <c r="AP522" i="9"/>
  <c r="AT522" i="21" s="1"/>
  <c r="AB542" i="9"/>
  <c r="AN159" i="9"/>
  <c r="AE472" i="9"/>
  <c r="AE169" i="9"/>
  <c r="AE173" i="9" s="1"/>
  <c r="AE575" i="9" s="1"/>
  <c r="AF169" i="9"/>
  <c r="AF173" i="9" s="1"/>
  <c r="AF575" i="9" s="1"/>
  <c r="AF472" i="9"/>
  <c r="AG102" i="20"/>
  <c r="AN160" i="9"/>
  <c r="AB544" i="9"/>
  <c r="AQ147" i="9"/>
  <c r="AP509" i="9"/>
  <c r="AT509" i="21" s="1"/>
  <c r="AI169" i="9"/>
  <c r="AI173" i="9" s="1"/>
  <c r="AI575" i="9" s="1"/>
  <c r="AI472" i="9"/>
  <c r="Q103" i="20"/>
  <c r="M103" i="20"/>
  <c r="M211" i="20" s="1"/>
  <c r="AP524" i="9"/>
  <c r="AT524" i="21" s="1"/>
  <c r="AQ151" i="9"/>
  <c r="AQ165" i="9"/>
  <c r="AP556" i="9"/>
  <c r="AT556" i="21" s="1"/>
  <c r="AH99" i="20" s="1"/>
  <c r="AP534" i="9"/>
  <c r="AT534" i="21" s="1"/>
  <c r="AQ155" i="9"/>
  <c r="AP546" i="9"/>
  <c r="AT546" i="21" s="1"/>
  <c r="AQ161" i="9"/>
  <c r="AT455" i="9"/>
  <c r="AX455" i="21" s="1"/>
  <c r="AU27" i="9"/>
  <c r="AT109" i="9"/>
  <c r="AS551" i="9"/>
  <c r="AW551" i="21" s="1"/>
  <c r="AK94" i="20" s="1"/>
  <c r="AT184" i="9"/>
  <c r="AS566" i="9"/>
  <c r="AW566" i="21" s="1"/>
  <c r="AR499" i="9"/>
  <c r="AV499" i="21" s="1"/>
  <c r="H176" i="20"/>
  <c r="G258" i="20"/>
  <c r="AU18" i="9"/>
  <c r="AT553" i="9"/>
  <c r="AX553" i="21" s="1"/>
  <c r="AT123" i="9"/>
  <c r="AS504" i="9"/>
  <c r="AW504" i="21" s="1"/>
  <c r="AT62" i="9"/>
  <c r="AS512" i="9"/>
  <c r="AW512" i="21" s="1"/>
  <c r="AT148" i="9"/>
  <c r="AS507" i="9"/>
  <c r="AW507" i="21" s="1"/>
  <c r="AT124" i="9"/>
  <c r="S169" i="9"/>
  <c r="S173" i="9" s="1"/>
  <c r="S575" i="9" s="1"/>
  <c r="AU102" i="9"/>
  <c r="AT545" i="9"/>
  <c r="AX545" i="21" s="1"/>
  <c r="AT549" i="9"/>
  <c r="AX549" i="21" s="1"/>
  <c r="AU104" i="9"/>
  <c r="AT38" i="9"/>
  <c r="AS565" i="9"/>
  <c r="AW565" i="21" s="1"/>
  <c r="AS563" i="9"/>
  <c r="AW563" i="21" s="1"/>
  <c r="AT166" i="9"/>
  <c r="AV446" i="21"/>
  <c r="AS514" i="9"/>
  <c r="AW514" i="21" s="1"/>
  <c r="AT60" i="9"/>
  <c r="AR470" i="21"/>
  <c r="T87" i="20"/>
  <c r="AV39" i="9"/>
  <c r="AT40" i="9"/>
  <c r="AS560" i="9"/>
  <c r="AW560" i="21" s="1"/>
  <c r="AS491" i="9"/>
  <c r="AW491" i="21" s="1"/>
  <c r="AT117" i="9"/>
  <c r="K102" i="20"/>
  <c r="K106" i="20" s="1"/>
  <c r="U106" i="20"/>
  <c r="W106" i="20"/>
  <c r="AA159" i="9"/>
  <c r="AA164" i="9"/>
  <c r="O552" i="9"/>
  <c r="O494" i="9"/>
  <c r="AA141" i="9"/>
  <c r="AA142" i="9"/>
  <c r="O498" i="9"/>
  <c r="O525" i="9"/>
  <c r="AA152" i="9"/>
  <c r="O536" i="9"/>
  <c r="AA156" i="9"/>
  <c r="S546" i="21"/>
  <c r="AE546" i="21" s="1"/>
  <c r="AA546" i="9"/>
  <c r="AQ472" i="9"/>
  <c r="AR137" i="9"/>
  <c r="AR80" i="9"/>
  <c r="AQ530" i="9"/>
  <c r="AU530" i="21" s="1"/>
  <c r="AQ539" i="9"/>
  <c r="AU539" i="21" s="1"/>
  <c r="AR157" i="9"/>
  <c r="AG212" i="20"/>
  <c r="AA544" i="9"/>
  <c r="S544" i="21"/>
  <c r="AE544" i="21" s="1"/>
  <c r="Q69" i="9"/>
  <c r="H155" i="20"/>
  <c r="H255" i="20" s="1"/>
  <c r="H277" i="20" s="1"/>
  <c r="S532" i="21"/>
  <c r="AE532" i="21" s="1"/>
  <c r="AA532" i="9"/>
  <c r="U169" i="9"/>
  <c r="U173" i="9" s="1"/>
  <c r="U575" i="9" s="1"/>
  <c r="AT540" i="9"/>
  <c r="AX540" i="21" s="1"/>
  <c r="AU100" i="9"/>
  <c r="AR133" i="9"/>
  <c r="AT115" i="9"/>
  <c r="AS480" i="9"/>
  <c r="AW480" i="21" s="1"/>
  <c r="AS133" i="9"/>
  <c r="AT535" i="9"/>
  <c r="AX535" i="21" s="1"/>
  <c r="AU96" i="9"/>
  <c r="H41" i="27"/>
  <c r="D15" i="32"/>
  <c r="AS49" i="9"/>
  <c r="AR533" i="9"/>
  <c r="AV533" i="21" s="1"/>
  <c r="K33" i="27"/>
  <c r="G19" i="32"/>
  <c r="AO93" i="3"/>
  <c r="AO224" i="3" s="1"/>
  <c r="AI198" i="20"/>
  <c r="W571" i="9"/>
  <c r="S571" i="9"/>
  <c r="S576" i="9" s="1"/>
  <c r="AR503" i="9"/>
  <c r="AV503" i="21" s="1"/>
  <c r="AS144" i="9"/>
  <c r="AS72" i="9"/>
  <c r="AR475" i="9"/>
  <c r="AV475" i="21" s="1"/>
  <c r="AR84" i="9"/>
  <c r="AR85" i="9" s="1"/>
  <c r="AL214" i="20"/>
  <c r="AT453" i="9"/>
  <c r="AX453" i="21" s="1"/>
  <c r="AU26" i="9"/>
  <c r="AU92" i="9"/>
  <c r="AT523" i="9"/>
  <c r="AX523" i="21" s="1"/>
  <c r="AS513" i="9"/>
  <c r="AW513" i="21" s="1"/>
  <c r="AT127" i="9"/>
  <c r="AS471" i="9"/>
  <c r="AW471" i="21" s="1"/>
  <c r="AT52" i="9"/>
  <c r="AD106" i="20"/>
  <c r="Z106" i="20"/>
  <c r="X211" i="20"/>
  <c r="Y102" i="20"/>
  <c r="Y106" i="20" s="1"/>
  <c r="AB106" i="20"/>
  <c r="V211" i="20"/>
  <c r="O556" i="9"/>
  <c r="AA165" i="9"/>
  <c r="AR141" i="9"/>
  <c r="AQ494" i="9"/>
  <c r="AU494" i="21" s="1"/>
  <c r="AQ487" i="9"/>
  <c r="AU487" i="21" s="1"/>
  <c r="AR139" i="9"/>
  <c r="P169" i="9"/>
  <c r="P173" i="9" s="1"/>
  <c r="P575" i="9" s="1"/>
  <c r="P472" i="9"/>
  <c r="AA137" i="9"/>
  <c r="O478" i="9"/>
  <c r="AA138" i="9"/>
  <c r="O169" i="9"/>
  <c r="AA139" i="9"/>
  <c r="O487" i="9"/>
  <c r="O541" i="9"/>
  <c r="AA158" i="9"/>
  <c r="AO472" i="9"/>
  <c r="AP552" i="9"/>
  <c r="AT552" i="21" s="1"/>
  <c r="AH97" i="20" s="1"/>
  <c r="AQ164" i="9"/>
  <c r="AQ149" i="9"/>
  <c r="AP516" i="9"/>
  <c r="AT516" i="21" s="1"/>
  <c r="AT489" i="21"/>
  <c r="AQ140" i="9"/>
  <c r="AK472" i="9"/>
  <c r="AK169" i="9"/>
  <c r="AK173" i="9" s="1"/>
  <c r="AK575" i="9" s="1"/>
  <c r="AQ145" i="9"/>
  <c r="AP505" i="9"/>
  <c r="AT505" i="21" s="1"/>
  <c r="AD472" i="9"/>
  <c r="AD169" i="9"/>
  <c r="AD173" i="9" s="1"/>
  <c r="AD575" i="9" s="1"/>
  <c r="AQ146" i="9"/>
  <c r="AP506" i="9"/>
  <c r="AT506" i="21" s="1"/>
  <c r="AM472" i="9"/>
  <c r="AM169" i="9"/>
  <c r="AM173" i="9" s="1"/>
  <c r="AM575" i="9" s="1"/>
  <c r="AQ143" i="9"/>
  <c r="AP502" i="9"/>
  <c r="AT502" i="21" s="1"/>
  <c r="AQ154" i="9"/>
  <c r="AP531" i="9"/>
  <c r="AT531" i="21" s="1"/>
  <c r="AJ169" i="9"/>
  <c r="AJ173" i="9" s="1"/>
  <c r="AJ575" i="9" s="1"/>
  <c r="AJ472" i="9"/>
  <c r="AN137" i="9"/>
  <c r="AB472" i="9"/>
  <c r="AP529" i="9"/>
  <c r="AT529" i="21" s="1"/>
  <c r="AQ153" i="9"/>
  <c r="AP525" i="9"/>
  <c r="AT525" i="21" s="1"/>
  <c r="AQ152" i="9"/>
  <c r="AC472" i="9"/>
  <c r="AC169" i="9"/>
  <c r="AC173" i="9" s="1"/>
  <c r="AC575" i="9" s="1"/>
  <c r="AG93" i="20"/>
  <c r="AQ138" i="9"/>
  <c r="AP478" i="9"/>
  <c r="AT478" i="21" s="1"/>
  <c r="AL169" i="9"/>
  <c r="AL173" i="9" s="1"/>
  <c r="AL575" i="9" s="1"/>
  <c r="AL472" i="9"/>
  <c r="AH169" i="9"/>
  <c r="AH173" i="9" s="1"/>
  <c r="AH575" i="9" s="1"/>
  <c r="AH472" i="9"/>
  <c r="AN155" i="9"/>
  <c r="AB534" i="9"/>
  <c r="AQ156" i="9"/>
  <c r="AP536" i="9"/>
  <c r="AT536" i="21" s="1"/>
  <c r="AQ158" i="9"/>
  <c r="AP541" i="9"/>
  <c r="AT541" i="21" s="1"/>
  <c r="AQ162" i="9"/>
  <c r="AP548" i="9"/>
  <c r="AT548" i="21" s="1"/>
  <c r="AQ163" i="9"/>
  <c r="AP550" i="9"/>
  <c r="AT550" i="21" s="1"/>
  <c r="I109" i="20"/>
  <c r="S109" i="20" s="1"/>
  <c r="AE446" i="21"/>
  <c r="AT107" i="9"/>
  <c r="AS527" i="9"/>
  <c r="AW527" i="21" s="1"/>
  <c r="U571" i="9"/>
  <c r="U576" i="9" s="1"/>
  <c r="W169" i="9"/>
  <c r="W173" i="9" s="1"/>
  <c r="W575" i="9" s="1"/>
  <c r="AS528" i="9"/>
  <c r="AW528" i="21" s="1"/>
  <c r="AT108" i="9"/>
  <c r="AR559" i="9"/>
  <c r="AV559" i="21" s="1"/>
  <c r="AS185" i="9"/>
  <c r="AR55" i="9"/>
  <c r="AS48" i="9"/>
  <c r="AR520" i="9"/>
  <c r="AV520" i="21" s="1"/>
  <c r="AT186" i="9"/>
  <c r="AK281" i="20"/>
  <c r="AE480" i="21"/>
  <c r="AI109" i="20"/>
  <c r="AT87" i="9"/>
  <c r="AS88" i="9"/>
  <c r="AK226" i="20"/>
  <c r="AS446" i="9"/>
  <c r="AE470" i="21"/>
  <c r="G87" i="20"/>
  <c r="AT547" i="9"/>
  <c r="AX547" i="21" s="1"/>
  <c r="AU103" i="9"/>
  <c r="AS569" i="9"/>
  <c r="AW569" i="21" s="1"/>
  <c r="AK105" i="20" s="1"/>
  <c r="AT41" i="9"/>
  <c r="AS537" i="9"/>
  <c r="AW537" i="21" s="1"/>
  <c r="AT97" i="9"/>
  <c r="H102" i="20"/>
  <c r="H106" i="20" s="1"/>
  <c r="AE507" i="21"/>
  <c r="AT125" i="9"/>
  <c r="AS508" i="9"/>
  <c r="AW508" i="21" s="1"/>
  <c r="AS495" i="9"/>
  <c r="AW495" i="21" s="1"/>
  <c r="AT59" i="9"/>
  <c r="AD211" i="20"/>
  <c r="AC211" i="20"/>
  <c r="Y211" i="20"/>
  <c r="AA542" i="9"/>
  <c r="S542" i="21"/>
  <c r="AE542" i="21" s="1"/>
  <c r="AT472" i="21"/>
  <c r="AN487" i="9"/>
  <c r="AF487" i="21"/>
  <c r="AR487" i="21" s="1"/>
  <c r="O524" i="9"/>
  <c r="AA151" i="9"/>
  <c r="O534" i="9"/>
  <c r="AA155" i="9"/>
  <c r="AA160" i="9"/>
  <c r="AA143" i="9"/>
  <c r="O502" i="9"/>
  <c r="AA146" i="9"/>
  <c r="O506" i="9"/>
  <c r="AA153" i="9"/>
  <c r="O529" i="9"/>
  <c r="AA157" i="9"/>
  <c r="O539" i="9"/>
  <c r="AA162" i="9"/>
  <c r="O548" i="9"/>
  <c r="AA149" i="9"/>
  <c r="O516" i="9"/>
  <c r="AA140" i="9"/>
  <c r="O505" i="9"/>
  <c r="AA145" i="9"/>
  <c r="O509" i="9"/>
  <c r="AA147" i="9"/>
  <c r="O522" i="9"/>
  <c r="AA150" i="9"/>
  <c r="O531" i="9"/>
  <c r="AA154" i="9"/>
  <c r="AA163" i="9"/>
  <c r="O550" i="9"/>
  <c r="G277" i="20"/>
  <c r="O211" i="20"/>
  <c r="Y169" i="9"/>
  <c r="Y173" i="9" s="1"/>
  <c r="Y575" i="9" s="1"/>
  <c r="AS543" i="9"/>
  <c r="AW543" i="21" s="1"/>
  <c r="AT101" i="9"/>
  <c r="AS554" i="9"/>
  <c r="AW554" i="21" s="1"/>
  <c r="AT19" i="9"/>
  <c r="AS488" i="9"/>
  <c r="AW488" i="21" s="1"/>
  <c r="AT58" i="9"/>
  <c r="AS67" i="9"/>
  <c r="AT119" i="9"/>
  <c r="AS496" i="9"/>
  <c r="AW496" i="21" s="1"/>
  <c r="AT557" i="9"/>
  <c r="AX557" i="21" s="1"/>
  <c r="AU37" i="9"/>
  <c r="Y571" i="9"/>
  <c r="Y576" i="9" s="1"/>
  <c r="AS532" i="9"/>
  <c r="AW532" i="21" s="1"/>
  <c r="AT63" i="9"/>
  <c r="AR470" i="9"/>
  <c r="AV470" i="21" s="1"/>
  <c r="AJ87" i="20" s="1"/>
  <c r="AS195" i="9"/>
  <c r="AQ84" i="9"/>
  <c r="AQ85" i="9" s="1"/>
  <c r="AS111" i="9"/>
  <c r="AS112" i="9" s="1"/>
  <c r="AU131" i="9"/>
  <c r="AT517" i="9"/>
  <c r="AS510" i="9"/>
  <c r="AW510" i="21" s="1"/>
  <c r="AT126" i="9"/>
  <c r="AT116" i="9"/>
  <c r="AW490" i="21"/>
  <c r="AT61" i="9"/>
  <c r="AS555" i="9"/>
  <c r="AW555" i="21" s="1"/>
  <c r="AK98" i="20" s="1"/>
  <c r="AT22" i="9"/>
  <c r="AS526" i="9"/>
  <c r="AW526" i="21" s="1"/>
  <c r="AT79" i="9"/>
  <c r="M102" i="20"/>
  <c r="M106" i="20" s="1"/>
  <c r="V106" i="20"/>
  <c r="AC106" i="20"/>
  <c r="X106" i="20"/>
  <c r="AE106" i="20"/>
  <c r="AR142" i="9"/>
  <c r="AQ498" i="9"/>
  <c r="AU498" i="21" s="1"/>
  <c r="AO544" i="9"/>
  <c r="AS544" i="21" s="1"/>
  <c r="AG103" i="20" s="1"/>
  <c r="AA106" i="20" l="1"/>
  <c r="AH102" i="20"/>
  <c r="F9" i="32" s="1"/>
  <c r="AS142" i="9"/>
  <c r="AR498" i="9"/>
  <c r="AV498" i="21" s="1"/>
  <c r="AU61" i="9"/>
  <c r="AU116" i="9"/>
  <c r="AX490" i="21"/>
  <c r="AV131" i="9"/>
  <c r="AU517" i="9"/>
  <c r="AP93" i="3"/>
  <c r="AP224" i="3" s="1"/>
  <c r="H19" i="32"/>
  <c r="AJ198" i="20"/>
  <c r="L33" i="27"/>
  <c r="AU557" i="9"/>
  <c r="AY557" i="21" s="1"/>
  <c r="AV37" i="9"/>
  <c r="S550" i="21"/>
  <c r="AE550" i="21" s="1"/>
  <c r="AA550" i="9"/>
  <c r="AA489" i="9"/>
  <c r="S489" i="21"/>
  <c r="AE489" i="21" s="1"/>
  <c r="S516" i="21"/>
  <c r="AA516" i="9"/>
  <c r="S548" i="21"/>
  <c r="AE548" i="21" s="1"/>
  <c r="AA548" i="9"/>
  <c r="S539" i="21"/>
  <c r="AA539" i="9"/>
  <c r="S529" i="21"/>
  <c r="AE529" i="21" s="1"/>
  <c r="AA529" i="9"/>
  <c r="AA506" i="9"/>
  <c r="S506" i="21"/>
  <c r="AE506" i="21" s="1"/>
  <c r="S502" i="21"/>
  <c r="AA502" i="9"/>
  <c r="S534" i="21"/>
  <c r="AE534" i="21" s="1"/>
  <c r="AA534" i="9"/>
  <c r="S524" i="21"/>
  <c r="AE524" i="21" s="1"/>
  <c r="AA524" i="9"/>
  <c r="AT495" i="9"/>
  <c r="AX495" i="21" s="1"/>
  <c r="AU59" i="9"/>
  <c r="AU97" i="9"/>
  <c r="AT537" i="9"/>
  <c r="AX537" i="21" s="1"/>
  <c r="AU41" i="9"/>
  <c r="AT569" i="9"/>
  <c r="AX569" i="21" s="1"/>
  <c r="AL105" i="20" s="1"/>
  <c r="AU547" i="9"/>
  <c r="AY547" i="21" s="1"/>
  <c r="AV103" i="9"/>
  <c r="M93" i="3"/>
  <c r="G337" i="20"/>
  <c r="S337" i="20" s="1"/>
  <c r="G176" i="27" s="1"/>
  <c r="G198" i="20"/>
  <c r="S198" i="20" s="1"/>
  <c r="S87" i="20"/>
  <c r="AW446" i="21"/>
  <c r="AU186" i="9"/>
  <c r="AL281" i="20"/>
  <c r="AT48" i="9"/>
  <c r="AS55" i="9"/>
  <c r="AS520" i="9"/>
  <c r="AW520" i="21" s="1"/>
  <c r="AT185" i="9"/>
  <c r="AS559" i="9"/>
  <c r="AW559" i="21" s="1"/>
  <c r="AT528" i="9"/>
  <c r="AX528" i="21" s="1"/>
  <c r="AU108" i="9"/>
  <c r="AR156" i="9"/>
  <c r="AQ536" i="9"/>
  <c r="AU536" i="21" s="1"/>
  <c r="AR138" i="9"/>
  <c r="AQ478" i="9"/>
  <c r="AU478" i="21" s="1"/>
  <c r="AR152" i="9"/>
  <c r="AQ525" i="9"/>
  <c r="AU525" i="21" s="1"/>
  <c r="AQ529" i="9"/>
  <c r="AU529" i="21" s="1"/>
  <c r="AR153" i="9"/>
  <c r="AN142" i="9"/>
  <c r="AB498" i="9"/>
  <c r="AB169" i="9"/>
  <c r="AR154" i="9"/>
  <c r="AQ531" i="9"/>
  <c r="AU531" i="21" s="1"/>
  <c r="AR143" i="9"/>
  <c r="AQ502" i="9"/>
  <c r="AU502" i="21" s="1"/>
  <c r="AQ472" i="21"/>
  <c r="AM571" i="9"/>
  <c r="AM576" i="9" s="1"/>
  <c r="AR146" i="9"/>
  <c r="AQ506" i="9"/>
  <c r="AU506" i="21" s="1"/>
  <c r="AH472" i="21"/>
  <c r="AD571" i="9"/>
  <c r="AD576" i="9" s="1"/>
  <c r="AQ505" i="9"/>
  <c r="AU505" i="21" s="1"/>
  <c r="AR145" i="9"/>
  <c r="AO472" i="21"/>
  <c r="AK571" i="9"/>
  <c r="AK576" i="9" s="1"/>
  <c r="AR149" i="9"/>
  <c r="AQ516" i="9"/>
  <c r="AO169" i="9"/>
  <c r="AO173" i="9" s="1"/>
  <c r="AO575" i="9" s="1"/>
  <c r="S487" i="21"/>
  <c r="AA487" i="9"/>
  <c r="AA169" i="9"/>
  <c r="AA173" i="9" s="1"/>
  <c r="O173" i="9"/>
  <c r="O575" i="9" s="1"/>
  <c r="AA575" i="9" s="1"/>
  <c r="AA478" i="9"/>
  <c r="S478" i="21"/>
  <c r="O571" i="9"/>
  <c r="T472" i="21"/>
  <c r="AE472" i="21" s="1"/>
  <c r="P571" i="9"/>
  <c r="P576" i="9" s="1"/>
  <c r="AA472" i="9"/>
  <c r="AS139" i="9"/>
  <c r="AR487" i="9"/>
  <c r="AV487" i="21" s="1"/>
  <c r="AM214" i="20"/>
  <c r="AU453" i="9"/>
  <c r="AY453" i="21" s="1"/>
  <c r="AV26" i="9"/>
  <c r="AS503" i="9"/>
  <c r="AW503" i="21" s="1"/>
  <c r="AT144" i="9"/>
  <c r="AS533" i="9"/>
  <c r="AW533" i="21" s="1"/>
  <c r="AT49" i="9"/>
  <c r="AS80" i="9"/>
  <c r="AR530" i="9"/>
  <c r="AV530" i="21" s="1"/>
  <c r="AS137" i="9"/>
  <c r="AR472" i="9"/>
  <c r="AV472" i="21" s="1"/>
  <c r="AA498" i="9"/>
  <c r="S498" i="21"/>
  <c r="AE498" i="21" s="1"/>
  <c r="AA552" i="9"/>
  <c r="S552" i="21"/>
  <c r="AU117" i="9"/>
  <c r="AT491" i="9"/>
  <c r="AX491" i="21" s="1"/>
  <c r="T198" i="20"/>
  <c r="AF198" i="20" s="1"/>
  <c r="T337" i="20"/>
  <c r="AF337" i="20" s="1"/>
  <c r="H176" i="27" s="1"/>
  <c r="Z93" i="3"/>
  <c r="AF87" i="20"/>
  <c r="AT514" i="9"/>
  <c r="AX514" i="21" s="1"/>
  <c r="AU60" i="9"/>
  <c r="AT563" i="9"/>
  <c r="AX563" i="21" s="1"/>
  <c r="AU166" i="9"/>
  <c r="AL161" i="20"/>
  <c r="AM161" i="20" s="1"/>
  <c r="AU545" i="9"/>
  <c r="AY545" i="21" s="1"/>
  <c r="AV102" i="9"/>
  <c r="AU124" i="9"/>
  <c r="AT507" i="9"/>
  <c r="AX507" i="21" s="1"/>
  <c r="AT512" i="9"/>
  <c r="AX512" i="21" s="1"/>
  <c r="AU148" i="9"/>
  <c r="AV18" i="9"/>
  <c r="AU553" i="9"/>
  <c r="AY553" i="21" s="1"/>
  <c r="I176" i="20"/>
  <c r="H258" i="20"/>
  <c r="H280" i="20" s="1"/>
  <c r="AS191" i="9"/>
  <c r="AV27" i="9"/>
  <c r="AU455" i="9"/>
  <c r="AY455" i="21" s="1"/>
  <c r="AQ556" i="9"/>
  <c r="AU556" i="21" s="1"/>
  <c r="AI99" i="20" s="1"/>
  <c r="AR165" i="9"/>
  <c r="Q211" i="20"/>
  <c r="Q106" i="20"/>
  <c r="AR147" i="9"/>
  <c r="AQ509" i="9"/>
  <c r="AU509" i="21" s="1"/>
  <c r="AJ472" i="21"/>
  <c r="AF571" i="9"/>
  <c r="AF576" i="9" s="1"/>
  <c r="AH93" i="20"/>
  <c r="AP542" i="9"/>
  <c r="AQ159" i="9"/>
  <c r="AP544" i="9"/>
  <c r="AT544" i="21" s="1"/>
  <c r="AQ160" i="9"/>
  <c r="AT526" i="9"/>
  <c r="AX526" i="21" s="1"/>
  <c r="AU79" i="9"/>
  <c r="AT555" i="9"/>
  <c r="AX555" i="21" s="1"/>
  <c r="AL98" i="20" s="1"/>
  <c r="AU22" i="9"/>
  <c r="AU126" i="9"/>
  <c r="AT510" i="9"/>
  <c r="AX510" i="21" s="1"/>
  <c r="AS470" i="9"/>
  <c r="AW470" i="21" s="1"/>
  <c r="AK87" i="20" s="1"/>
  <c r="AT195" i="9"/>
  <c r="AT532" i="9"/>
  <c r="AX532" i="21" s="1"/>
  <c r="AU63" i="9"/>
  <c r="AU119" i="9"/>
  <c r="AT496" i="9"/>
  <c r="AX496" i="21" s="1"/>
  <c r="AT488" i="9"/>
  <c r="AX488" i="21" s="1"/>
  <c r="AT67" i="9"/>
  <c r="AU58" i="9"/>
  <c r="AU19" i="9"/>
  <c r="AT554" i="9"/>
  <c r="AX554" i="21" s="1"/>
  <c r="AT543" i="9"/>
  <c r="AX543" i="21" s="1"/>
  <c r="AU101" i="9"/>
  <c r="S531" i="21"/>
  <c r="AE531" i="21" s="1"/>
  <c r="AA531" i="9"/>
  <c r="S522" i="21"/>
  <c r="AA522" i="9"/>
  <c r="S509" i="21"/>
  <c r="AE509" i="21" s="1"/>
  <c r="AA509" i="9"/>
  <c r="S505" i="21"/>
  <c r="AE505" i="21" s="1"/>
  <c r="AA505" i="9"/>
  <c r="AT508" i="9"/>
  <c r="AX508" i="21" s="1"/>
  <c r="AU125" i="9"/>
  <c r="AL226" i="20"/>
  <c r="AT446" i="9"/>
  <c r="AU87" i="9"/>
  <c r="AT88" i="9"/>
  <c r="AU107" i="9"/>
  <c r="AT527" i="9"/>
  <c r="AX527" i="21" s="1"/>
  <c r="G41" i="27"/>
  <c r="C15" i="32"/>
  <c r="AQ550" i="9"/>
  <c r="AU550" i="21" s="1"/>
  <c r="AR163" i="9"/>
  <c r="AQ548" i="9"/>
  <c r="AU548" i="21" s="1"/>
  <c r="AR162" i="9"/>
  <c r="AQ541" i="9"/>
  <c r="AU541" i="21" s="1"/>
  <c r="AR158" i="9"/>
  <c r="AF534" i="21"/>
  <c r="AR534" i="21" s="1"/>
  <c r="AN534" i="9"/>
  <c r="AB556" i="9"/>
  <c r="AN165" i="9"/>
  <c r="AN158" i="9"/>
  <c r="AB541" i="9"/>
  <c r="AL472" i="21"/>
  <c r="AH571" i="9"/>
  <c r="AH576" i="9" s="1"/>
  <c r="AP472" i="21"/>
  <c r="AL571" i="9"/>
  <c r="AL576" i="9" s="1"/>
  <c r="AG211" i="20"/>
  <c r="AG472" i="21"/>
  <c r="AC571" i="9"/>
  <c r="AC576" i="9" s="1"/>
  <c r="AF472" i="21"/>
  <c r="AN472" i="9"/>
  <c r="AN149" i="9"/>
  <c r="AB516" i="9"/>
  <c r="AB522" i="9"/>
  <c r="AN150" i="9"/>
  <c r="AB531" i="9"/>
  <c r="AN154" i="9"/>
  <c r="AN164" i="9"/>
  <c r="AB552" i="9"/>
  <c r="AN157" i="9"/>
  <c r="AB539" i="9"/>
  <c r="AN161" i="9"/>
  <c r="AB546" i="9"/>
  <c r="AN152" i="9"/>
  <c r="AB525" i="9"/>
  <c r="AN156" i="9"/>
  <c r="AB536" i="9"/>
  <c r="AN147" i="9"/>
  <c r="AB509" i="9"/>
  <c r="AB548" i="9"/>
  <c r="AN162" i="9"/>
  <c r="AN472" i="21"/>
  <c r="AJ571" i="9"/>
  <c r="AJ576" i="9" s="1"/>
  <c r="AN163" i="9"/>
  <c r="AB550" i="9"/>
  <c r="AU489" i="21"/>
  <c r="AR140" i="9"/>
  <c r="AR164" i="9"/>
  <c r="AQ552" i="9"/>
  <c r="AU552" i="21" s="1"/>
  <c r="AI97" i="20" s="1"/>
  <c r="AS472" i="21"/>
  <c r="AO571" i="9"/>
  <c r="AO576" i="9" s="1"/>
  <c r="S541" i="21"/>
  <c r="AE541" i="21" s="1"/>
  <c r="AA541" i="9"/>
  <c r="AS141" i="9"/>
  <c r="AR494" i="9"/>
  <c r="AV494" i="21" s="1"/>
  <c r="S556" i="21"/>
  <c r="AA556" i="9"/>
  <c r="AU52" i="9"/>
  <c r="AT471" i="9"/>
  <c r="AX471" i="21" s="1"/>
  <c r="AT513" i="9"/>
  <c r="AX513" i="21" s="1"/>
  <c r="AU127" i="9"/>
  <c r="AT111" i="9"/>
  <c r="AV92" i="9"/>
  <c r="AU523" i="9"/>
  <c r="AY523" i="21" s="1"/>
  <c r="AT72" i="9"/>
  <c r="AS475" i="9"/>
  <c r="AW475" i="21" s="1"/>
  <c r="AS84" i="9"/>
  <c r="AS85" i="9" s="1"/>
  <c r="W576" i="9"/>
  <c r="AU535" i="9"/>
  <c r="AY535" i="21" s="1"/>
  <c r="AV96" i="9"/>
  <c r="AU115" i="9"/>
  <c r="AT480" i="9"/>
  <c r="AX480" i="21" s="1"/>
  <c r="AU540" i="9"/>
  <c r="AY540" i="21" s="1"/>
  <c r="AV100" i="9"/>
  <c r="I155" i="20"/>
  <c r="I255" i="20" s="1"/>
  <c r="R69" i="9"/>
  <c r="AR539" i="9"/>
  <c r="AV539" i="21" s="1"/>
  <c r="AS157" i="9"/>
  <c r="AQ169" i="9"/>
  <c r="AQ173" i="9" s="1"/>
  <c r="AQ575" i="9" s="1"/>
  <c r="AU472" i="21"/>
  <c r="AA536" i="9"/>
  <c r="S536" i="21"/>
  <c r="AE536" i="21" s="1"/>
  <c r="S525" i="21"/>
  <c r="AE525" i="21" s="1"/>
  <c r="AA525" i="9"/>
  <c r="AA494" i="9"/>
  <c r="S494" i="21"/>
  <c r="AE494" i="21" s="1"/>
  <c r="AT560" i="9"/>
  <c r="AX560" i="21" s="1"/>
  <c r="AU40" i="9"/>
  <c r="AW39" i="9"/>
  <c r="AJ109" i="20"/>
  <c r="AT565" i="9"/>
  <c r="AX565" i="21" s="1"/>
  <c r="AU38" i="9"/>
  <c r="AV104" i="9"/>
  <c r="AU549" i="9"/>
  <c r="AY549" i="21" s="1"/>
  <c r="AU62" i="9"/>
  <c r="AT504" i="9"/>
  <c r="AX504" i="21" s="1"/>
  <c r="AU123" i="9"/>
  <c r="AT45" i="9"/>
  <c r="G280" i="20"/>
  <c r="AS499" i="9"/>
  <c r="AW499" i="21" s="1"/>
  <c r="AT120" i="9"/>
  <c r="AU184" i="9"/>
  <c r="AT191" i="9"/>
  <c r="AT566" i="9"/>
  <c r="AX566" i="21" s="1"/>
  <c r="AU109" i="9"/>
  <c r="AT551" i="9"/>
  <c r="AX551" i="21" s="1"/>
  <c r="AL94" i="20" s="1"/>
  <c r="AQ546" i="9"/>
  <c r="AU546" i="21" s="1"/>
  <c r="AR161" i="9"/>
  <c r="AQ534" i="9"/>
  <c r="AU534" i="21" s="1"/>
  <c r="AR155" i="9"/>
  <c r="AH212" i="20"/>
  <c r="AQ524" i="9"/>
  <c r="AU524" i="21" s="1"/>
  <c r="AR151" i="9"/>
  <c r="AM472" i="21"/>
  <c r="AI571" i="9"/>
  <c r="AI576" i="9" s="1"/>
  <c r="AN141" i="9"/>
  <c r="AB494" i="9"/>
  <c r="AN140" i="9"/>
  <c r="AN151" i="9"/>
  <c r="AB524" i="9"/>
  <c r="AN143" i="9"/>
  <c r="AB502" i="9"/>
  <c r="AN138" i="9"/>
  <c r="AB478" i="9"/>
  <c r="AN153" i="9"/>
  <c r="AB529" i="9"/>
  <c r="AN146" i="9"/>
  <c r="AB506" i="9"/>
  <c r="AB505" i="9"/>
  <c r="AN145" i="9"/>
  <c r="AN544" i="9"/>
  <c r="AF544" i="21"/>
  <c r="AR544" i="21" s="1"/>
  <c r="AG106" i="20"/>
  <c r="I38" i="27" s="1"/>
  <c r="E9" i="32"/>
  <c r="AI472" i="21"/>
  <c r="AE571" i="9"/>
  <c r="AE576" i="9" s="1"/>
  <c r="AN542" i="9"/>
  <c r="AF542" i="21"/>
  <c r="AR542" i="21" s="1"/>
  <c r="AQ522" i="9"/>
  <c r="AU522" i="21" s="1"/>
  <c r="AR150" i="9"/>
  <c r="AK472" i="21"/>
  <c r="AG571" i="9"/>
  <c r="AG576" i="9" s="1"/>
  <c r="AP169" i="9"/>
  <c r="AP173" i="9" s="1"/>
  <c r="AP575" i="9" s="1"/>
  <c r="AI93" i="20" l="1"/>
  <c r="AR522" i="9"/>
  <c r="AV522" i="21" s="1"/>
  <c r="AS150" i="9"/>
  <c r="AF506" i="21"/>
  <c r="AR506" i="21" s="1"/>
  <c r="AN506" i="9"/>
  <c r="AN529" i="9"/>
  <c r="AF529" i="21"/>
  <c r="AR529" i="21" s="1"/>
  <c r="AF478" i="21"/>
  <c r="AN478" i="9"/>
  <c r="AN502" i="9"/>
  <c r="AF502" i="21"/>
  <c r="AF524" i="21"/>
  <c r="AR524" i="21" s="1"/>
  <c r="AN524" i="9"/>
  <c r="AF489" i="21"/>
  <c r="AR489" i="21" s="1"/>
  <c r="AN489" i="9"/>
  <c r="AN494" i="9"/>
  <c r="AF494" i="21"/>
  <c r="AR494" i="21" s="1"/>
  <c r="AS151" i="9"/>
  <c r="AR524" i="9"/>
  <c r="AV524" i="21" s="1"/>
  <c r="AV109" i="9"/>
  <c r="AU551" i="9"/>
  <c r="AY551" i="21" s="1"/>
  <c r="AM94" i="20" s="1"/>
  <c r="AT499" i="9"/>
  <c r="AX499" i="21" s="1"/>
  <c r="AU120" i="9"/>
  <c r="AV62" i="9"/>
  <c r="AV549" i="9"/>
  <c r="AZ549" i="21" s="1"/>
  <c r="AW104" i="9"/>
  <c r="AS539" i="9"/>
  <c r="AW539" i="21" s="1"/>
  <c r="AT157" i="9"/>
  <c r="J155" i="20"/>
  <c r="J255" i="20" s="1"/>
  <c r="J277" i="20" s="1"/>
  <c r="S69" i="9"/>
  <c r="AV540" i="9"/>
  <c r="AZ540" i="21" s="1"/>
  <c r="AW100" i="9"/>
  <c r="AT133" i="9"/>
  <c r="AV115" i="9"/>
  <c r="AU480" i="9"/>
  <c r="AY480" i="21" s="1"/>
  <c r="AT475" i="9"/>
  <c r="AX475" i="21" s="1"/>
  <c r="AU72" i="9"/>
  <c r="AU111" i="9"/>
  <c r="AT112" i="9"/>
  <c r="AU471" i="9"/>
  <c r="AY471" i="21" s="1"/>
  <c r="AV52" i="9"/>
  <c r="AE556" i="21"/>
  <c r="G99" i="20"/>
  <c r="AS494" i="9"/>
  <c r="AW494" i="21" s="1"/>
  <c r="AT141" i="9"/>
  <c r="AR552" i="9"/>
  <c r="AV552" i="21" s="1"/>
  <c r="AJ97" i="20" s="1"/>
  <c r="AS164" i="9"/>
  <c r="AF548" i="21"/>
  <c r="AR548" i="21" s="1"/>
  <c r="AN548" i="9"/>
  <c r="AF531" i="21"/>
  <c r="AR531" i="21" s="1"/>
  <c r="AN531" i="9"/>
  <c r="AF522" i="21"/>
  <c r="AN522" i="9"/>
  <c r="AF556" i="21"/>
  <c r="AN556" i="9"/>
  <c r="AV107" i="9"/>
  <c r="AU527" i="9"/>
  <c r="AY527" i="21" s="1"/>
  <c r="AV87" i="9"/>
  <c r="AU88" i="9"/>
  <c r="AU446" i="9"/>
  <c r="AM226" i="20"/>
  <c r="AV125" i="9"/>
  <c r="AU508" i="9"/>
  <c r="AY508" i="21" s="1"/>
  <c r="G93" i="20"/>
  <c r="AE522" i="21"/>
  <c r="AU554" i="9"/>
  <c r="AY554" i="21" s="1"/>
  <c r="AV19" i="9"/>
  <c r="AV63" i="9"/>
  <c r="AU532" i="9"/>
  <c r="AY532" i="21" s="1"/>
  <c r="AU195" i="9"/>
  <c r="AT470" i="9"/>
  <c r="AX470" i="21" s="1"/>
  <c r="AL87" i="20" s="1"/>
  <c r="AV22" i="9"/>
  <c r="AU555" i="9"/>
  <c r="AY555" i="21" s="1"/>
  <c r="AM98" i="20" s="1"/>
  <c r="AV79" i="9"/>
  <c r="AU526" i="9"/>
  <c r="AY526" i="21" s="1"/>
  <c r="AQ544" i="9"/>
  <c r="AU544" i="21" s="1"/>
  <c r="AR160" i="9"/>
  <c r="AR159" i="9"/>
  <c r="AQ542" i="9"/>
  <c r="AU542" i="21" s="1"/>
  <c r="AI103" i="20" s="1"/>
  <c r="AS147" i="9"/>
  <c r="AR509" i="9"/>
  <c r="AV509" i="21" s="1"/>
  <c r="AI212" i="20"/>
  <c r="AW27" i="9"/>
  <c r="AV455" i="9"/>
  <c r="AZ455" i="21" s="1"/>
  <c r="AU45" i="9"/>
  <c r="AU112" i="9" s="1"/>
  <c r="AW18" i="9"/>
  <c r="AV553" i="9"/>
  <c r="AZ553" i="21" s="1"/>
  <c r="AV124" i="9"/>
  <c r="AU507" i="9"/>
  <c r="AY507" i="21" s="1"/>
  <c r="AV166" i="9"/>
  <c r="AU563" i="9"/>
  <c r="AY563" i="21" s="1"/>
  <c r="Z224" i="3"/>
  <c r="AL224" i="3" s="1"/>
  <c r="AL93" i="3"/>
  <c r="AU491" i="9"/>
  <c r="AY491" i="21" s="1"/>
  <c r="AV117" i="9"/>
  <c r="AE552" i="21"/>
  <c r="G97" i="20"/>
  <c r="S97" i="20" s="1"/>
  <c r="AU49" i="9"/>
  <c r="AT533" i="9"/>
  <c r="AX533" i="21" s="1"/>
  <c r="AT503" i="9"/>
  <c r="AX503" i="21" s="1"/>
  <c r="AU144" i="9"/>
  <c r="AE478" i="21"/>
  <c r="AS149" i="9"/>
  <c r="AR516" i="9"/>
  <c r="AS146" i="9"/>
  <c r="AR506" i="9"/>
  <c r="AV506" i="21" s="1"/>
  <c r="AR502" i="9"/>
  <c r="AV502" i="21" s="1"/>
  <c r="AS143" i="9"/>
  <c r="AR531" i="9"/>
  <c r="AV531" i="21" s="1"/>
  <c r="AS154" i="9"/>
  <c r="AF498" i="21"/>
  <c r="AR498" i="21" s="1"/>
  <c r="AN498" i="9"/>
  <c r="AR529" i="9"/>
  <c r="AV529" i="21" s="1"/>
  <c r="AS153" i="9"/>
  <c r="AI207" i="20"/>
  <c r="AU528" i="9"/>
  <c r="AY528" i="21" s="1"/>
  <c r="AV108" i="9"/>
  <c r="AU48" i="9"/>
  <c r="AT55" i="9"/>
  <c r="AT520" i="9"/>
  <c r="AX520" i="21" s="1"/>
  <c r="AM281" i="20"/>
  <c r="AV186" i="9"/>
  <c r="AK109" i="20"/>
  <c r="Y93" i="3"/>
  <c r="M224" i="3"/>
  <c r="Y224" i="3" s="1"/>
  <c r="AV41" i="9"/>
  <c r="AU569" i="9"/>
  <c r="AY569" i="21" s="1"/>
  <c r="AM105" i="20" s="1"/>
  <c r="AU537" i="9"/>
  <c r="AY537" i="21" s="1"/>
  <c r="AV97" i="9"/>
  <c r="G102" i="20"/>
  <c r="AE502" i="21"/>
  <c r="G103" i="20"/>
  <c r="S103" i="20" s="1"/>
  <c r="AE539" i="21"/>
  <c r="AE516" i="21"/>
  <c r="AT142" i="9"/>
  <c r="AS498" i="9"/>
  <c r="AW498" i="21" s="1"/>
  <c r="AI211" i="20"/>
  <c r="AN505" i="9"/>
  <c r="AF505" i="21"/>
  <c r="AR505" i="21" s="1"/>
  <c r="AS155" i="9"/>
  <c r="AR534" i="9"/>
  <c r="AV534" i="21" s="1"/>
  <c r="AS161" i="9"/>
  <c r="AR546" i="9"/>
  <c r="AV546" i="21" s="1"/>
  <c r="AV184" i="9"/>
  <c r="AU566" i="9"/>
  <c r="AY566" i="21" s="1"/>
  <c r="AU504" i="9"/>
  <c r="AY504" i="21" s="1"/>
  <c r="AV123" i="9"/>
  <c r="AV38" i="9"/>
  <c r="AU565" i="9"/>
  <c r="AY565" i="21" s="1"/>
  <c r="AX39" i="9"/>
  <c r="AU560" i="9"/>
  <c r="AY560" i="21" s="1"/>
  <c r="AV40" i="9"/>
  <c r="AQ571" i="9"/>
  <c r="AQ576" i="9" s="1"/>
  <c r="I277" i="20"/>
  <c r="AW96" i="9"/>
  <c r="AV535" i="9"/>
  <c r="AZ535" i="21" s="1"/>
  <c r="AW92" i="9"/>
  <c r="AV523" i="9"/>
  <c r="AZ523" i="21" s="1"/>
  <c r="AV127" i="9"/>
  <c r="AU513" i="9"/>
  <c r="AY513" i="21" s="1"/>
  <c r="AS140" i="9"/>
  <c r="AV489" i="21"/>
  <c r="AN550" i="9"/>
  <c r="AF550" i="21"/>
  <c r="AR550" i="21" s="1"/>
  <c r="AF509" i="21"/>
  <c r="AR509" i="21" s="1"/>
  <c r="AN509" i="9"/>
  <c r="AF536" i="21"/>
  <c r="AR536" i="21" s="1"/>
  <c r="AN536" i="9"/>
  <c r="AF525" i="21"/>
  <c r="AR525" i="21" s="1"/>
  <c r="AN525" i="9"/>
  <c r="AF546" i="21"/>
  <c r="AR546" i="21" s="1"/>
  <c r="AN546" i="9"/>
  <c r="AF539" i="21"/>
  <c r="AN539" i="9"/>
  <c r="AF552" i="21"/>
  <c r="AN552" i="9"/>
  <c r="AF516" i="21"/>
  <c r="AN516" i="9"/>
  <c r="AB571" i="9"/>
  <c r="AR472" i="21"/>
  <c r="AF541" i="21"/>
  <c r="AR541" i="21" s="1"/>
  <c r="AN541" i="9"/>
  <c r="AR541" i="9"/>
  <c r="AV541" i="21" s="1"/>
  <c r="AS158" i="9"/>
  <c r="AR548" i="9"/>
  <c r="AV548" i="21" s="1"/>
  <c r="AS162" i="9"/>
  <c r="AR550" i="9"/>
  <c r="AV550" i="21" s="1"/>
  <c r="AS163" i="9"/>
  <c r="AX446" i="21"/>
  <c r="AU543" i="9"/>
  <c r="AY543" i="21" s="1"/>
  <c r="AV101" i="9"/>
  <c r="AU488" i="9"/>
  <c r="AY488" i="21" s="1"/>
  <c r="AU67" i="9"/>
  <c r="AV58" i="9"/>
  <c r="AV119" i="9"/>
  <c r="AU496" i="9"/>
  <c r="AY496" i="21" s="1"/>
  <c r="AQ93" i="3"/>
  <c r="AQ224" i="3" s="1"/>
  <c r="I19" i="32"/>
  <c r="AK198" i="20"/>
  <c r="M33" i="27"/>
  <c r="AU510" i="9"/>
  <c r="AY510" i="21" s="1"/>
  <c r="AV126" i="9"/>
  <c r="AT542" i="21"/>
  <c r="AH103" i="20" s="1"/>
  <c r="AH106" i="20" s="1"/>
  <c r="J38" i="27" s="1"/>
  <c r="AP571" i="9"/>
  <c r="AP576" i="9" s="1"/>
  <c r="AR556" i="9"/>
  <c r="AV556" i="21" s="1"/>
  <c r="AJ99" i="20" s="1"/>
  <c r="AJ212" i="20" s="1"/>
  <c r="AS165" i="9"/>
  <c r="J176" i="20"/>
  <c r="I258" i="20"/>
  <c r="AV148" i="9"/>
  <c r="AU512" i="9"/>
  <c r="AY512" i="21" s="1"/>
  <c r="AW102" i="9"/>
  <c r="AV545" i="9"/>
  <c r="AZ545" i="21" s="1"/>
  <c r="AN161" i="20"/>
  <c r="AV60" i="9"/>
  <c r="AU514" i="9"/>
  <c r="AY514" i="21" s="1"/>
  <c r="H33" i="27"/>
  <c r="D19" i="32"/>
  <c r="AS472" i="9"/>
  <c r="AW472" i="21" s="1"/>
  <c r="AT137" i="9"/>
  <c r="AT80" i="9"/>
  <c r="AS530" i="9"/>
  <c r="AW530" i="21" s="1"/>
  <c r="AN214" i="20"/>
  <c r="AW26" i="9"/>
  <c r="AV453" i="9"/>
  <c r="AZ453" i="21" s="1"/>
  <c r="AS487" i="9"/>
  <c r="AW487" i="21" s="1"/>
  <c r="AT139" i="9"/>
  <c r="O576" i="9"/>
  <c r="AA571" i="9"/>
  <c r="AA576" i="9" s="1"/>
  <c r="AE487" i="21"/>
  <c r="AS145" i="9"/>
  <c r="AR505" i="9"/>
  <c r="AV505" i="21" s="1"/>
  <c r="AI102" i="20"/>
  <c r="AN169" i="9"/>
  <c r="AN173" i="9" s="1"/>
  <c r="AB173" i="9"/>
  <c r="AB575" i="9" s="1"/>
  <c r="AN575" i="9" s="1"/>
  <c r="AR525" i="9"/>
  <c r="AV525" i="21" s="1"/>
  <c r="AS152" i="9"/>
  <c r="AR478" i="9"/>
  <c r="AS138" i="9"/>
  <c r="AR536" i="9"/>
  <c r="AV536" i="21" s="1"/>
  <c r="AS156" i="9"/>
  <c r="AT559" i="9"/>
  <c r="AX559" i="21" s="1"/>
  <c r="AU185" i="9"/>
  <c r="AU191" i="9" s="1"/>
  <c r="C19" i="32"/>
  <c r="G33" i="27"/>
  <c r="AW103" i="9"/>
  <c r="AV547" i="9"/>
  <c r="AZ547" i="21" s="1"/>
  <c r="AU495" i="9"/>
  <c r="AY495" i="21" s="1"/>
  <c r="AV59" i="9"/>
  <c r="AV557" i="9"/>
  <c r="AZ557" i="21" s="1"/>
  <c r="AW37" i="9"/>
  <c r="AW131" i="9"/>
  <c r="AV517" i="9"/>
  <c r="AY490" i="21"/>
  <c r="AV116" i="9"/>
  <c r="AV61" i="9"/>
  <c r="AW116" i="9" l="1"/>
  <c r="AZ490" i="21"/>
  <c r="AX37" i="9"/>
  <c r="AW557" i="9"/>
  <c r="BA557" i="21" s="1"/>
  <c r="AV495" i="9"/>
  <c r="AZ495" i="21" s="1"/>
  <c r="AW59" i="9"/>
  <c r="AV478" i="21"/>
  <c r="AU139" i="9"/>
  <c r="AT487" i="9"/>
  <c r="AX487" i="21" s="1"/>
  <c r="AU80" i="9"/>
  <c r="AT530" i="9"/>
  <c r="AX530" i="21" s="1"/>
  <c r="AT472" i="9"/>
  <c r="AU137" i="9"/>
  <c r="AX102" i="9"/>
  <c r="AW545" i="9"/>
  <c r="BA545" i="21" s="1"/>
  <c r="AV512" i="9"/>
  <c r="AZ512" i="21" s="1"/>
  <c r="AW148" i="9"/>
  <c r="K176" i="20"/>
  <c r="J258" i="20"/>
  <c r="J280" i="20" s="1"/>
  <c r="AW126" i="9"/>
  <c r="AV510" i="9"/>
  <c r="AZ510" i="21" s="1"/>
  <c r="AW119" i="9"/>
  <c r="AV496" i="9"/>
  <c r="AZ496" i="21" s="1"/>
  <c r="AW101" i="9"/>
  <c r="AV543" i="9"/>
  <c r="AZ543" i="21" s="1"/>
  <c r="AT163" i="9"/>
  <c r="AS550" i="9"/>
  <c r="AW550" i="21" s="1"/>
  <c r="AT162" i="9"/>
  <c r="AS548" i="9"/>
  <c r="AW548" i="21" s="1"/>
  <c r="AT158" i="9"/>
  <c r="AS541" i="9"/>
  <c r="AW541" i="21" s="1"/>
  <c r="AB576" i="9"/>
  <c r="AN571" i="9"/>
  <c r="AN576" i="9" s="1"/>
  <c r="AR516" i="21"/>
  <c r="AR552" i="21"/>
  <c r="T97" i="20"/>
  <c r="AF97" i="20" s="1"/>
  <c r="AR539" i="21"/>
  <c r="T103" i="20"/>
  <c r="AF103" i="20" s="1"/>
  <c r="AT140" i="9"/>
  <c r="AW489" i="21"/>
  <c r="AV513" i="9"/>
  <c r="AZ513" i="21" s="1"/>
  <c r="AW127" i="9"/>
  <c r="AW535" i="9"/>
  <c r="BA535" i="21" s="1"/>
  <c r="AX96" i="9"/>
  <c r="AY39" i="9"/>
  <c r="AW38" i="9"/>
  <c r="AV565" i="9"/>
  <c r="AZ565" i="21" s="1"/>
  <c r="AW97" i="9"/>
  <c r="AV537" i="9"/>
  <c r="AZ537" i="21" s="1"/>
  <c r="AW186" i="9"/>
  <c r="AN281" i="20"/>
  <c r="AU55" i="9"/>
  <c r="AV48" i="9"/>
  <c r="AU520" i="9"/>
  <c r="AY520" i="21" s="1"/>
  <c r="AJ102" i="20"/>
  <c r="AS506" i="9"/>
  <c r="AW506" i="21" s="1"/>
  <c r="AT146" i="9"/>
  <c r="AT149" i="9"/>
  <c r="AS516" i="9"/>
  <c r="AU533" i="9"/>
  <c r="AY533" i="21" s="1"/>
  <c r="AV49" i="9"/>
  <c r="AW117" i="9"/>
  <c r="AV491" i="9"/>
  <c r="AZ491" i="21" s="1"/>
  <c r="AV45" i="9"/>
  <c r="AT147" i="9"/>
  <c r="AS509" i="9"/>
  <c r="AW509" i="21" s="1"/>
  <c r="AR169" i="9"/>
  <c r="AR173" i="9" s="1"/>
  <c r="AR575" i="9" s="1"/>
  <c r="AS159" i="9"/>
  <c r="AR542" i="9"/>
  <c r="AV542" i="21" s="1"/>
  <c r="AW79" i="9"/>
  <c r="AV526" i="9"/>
  <c r="AZ526" i="21" s="1"/>
  <c r="AW22" i="9"/>
  <c r="AV555" i="9"/>
  <c r="AZ555" i="21" s="1"/>
  <c r="AN98" i="20" s="1"/>
  <c r="AV195" i="9"/>
  <c r="AU470" i="9"/>
  <c r="AY470" i="21" s="1"/>
  <c r="AM87" i="20" s="1"/>
  <c r="AW63" i="9"/>
  <c r="AV532" i="9"/>
  <c r="AZ532" i="21" s="1"/>
  <c r="G211" i="20"/>
  <c r="S211" i="20" s="1"/>
  <c r="S93" i="20"/>
  <c r="AW125" i="9"/>
  <c r="AV508" i="9"/>
  <c r="AZ508" i="21" s="1"/>
  <c r="AY446" i="21"/>
  <c r="AV446" i="9"/>
  <c r="AN226" i="20"/>
  <c r="AV88" i="9"/>
  <c r="AW87" i="9"/>
  <c r="AV527" i="9"/>
  <c r="AZ527" i="21" s="1"/>
  <c r="AW107" i="9"/>
  <c r="AR556" i="21"/>
  <c r="T99" i="20"/>
  <c r="T93" i="20"/>
  <c r="AR522" i="21"/>
  <c r="AT84" i="9"/>
  <c r="AT85" i="9" s="1"/>
  <c r="AW549" i="9"/>
  <c r="BA549" i="21" s="1"/>
  <c r="AX104" i="9"/>
  <c r="AU133" i="9"/>
  <c r="AV120" i="9"/>
  <c r="AU499" i="9"/>
  <c r="AY499" i="21" s="1"/>
  <c r="T102" i="20"/>
  <c r="AR502" i="21"/>
  <c r="AS522" i="9"/>
  <c r="AW522" i="21" s="1"/>
  <c r="AT150" i="9"/>
  <c r="AW61" i="9"/>
  <c r="AX131" i="9"/>
  <c r="AW517" i="9"/>
  <c r="AX103" i="9"/>
  <c r="AW547" i="9"/>
  <c r="BA547" i="21" s="1"/>
  <c r="AV185" i="9"/>
  <c r="AU559" i="9"/>
  <c r="AY559" i="21" s="1"/>
  <c r="AS536" i="9"/>
  <c r="AW536" i="21" s="1"/>
  <c r="AT156" i="9"/>
  <c r="AS478" i="9"/>
  <c r="AT138" i="9"/>
  <c r="AS525" i="9"/>
  <c r="AW525" i="21" s="1"/>
  <c r="AT152" i="9"/>
  <c r="AI106" i="20"/>
  <c r="K38" i="27" s="1"/>
  <c r="G9" i="32"/>
  <c r="AS505" i="9"/>
  <c r="AW505" i="21" s="1"/>
  <c r="AT145" i="9"/>
  <c r="AO214" i="20"/>
  <c r="AX26" i="9"/>
  <c r="AW453" i="9"/>
  <c r="BA453" i="21" s="1"/>
  <c r="AV514" i="9"/>
  <c r="AZ514" i="21" s="1"/>
  <c r="AW60" i="9"/>
  <c r="I280" i="20"/>
  <c r="AT165" i="9"/>
  <c r="AS556" i="9"/>
  <c r="AW556" i="21" s="1"/>
  <c r="AK99" i="20" s="1"/>
  <c r="AW58" i="9"/>
  <c r="AV488" i="9"/>
  <c r="AZ488" i="21" s="1"/>
  <c r="AV67" i="9"/>
  <c r="AL109" i="20"/>
  <c r="AV111" i="9"/>
  <c r="AV112" i="9" s="1"/>
  <c r="AX92" i="9"/>
  <c r="AW523" i="9"/>
  <c r="BA523" i="21" s="1"/>
  <c r="AV560" i="9"/>
  <c r="AZ560" i="21" s="1"/>
  <c r="AW40" i="9"/>
  <c r="AW123" i="9"/>
  <c r="AV504" i="9"/>
  <c r="AZ504" i="21" s="1"/>
  <c r="AW184" i="9"/>
  <c r="AV191" i="9"/>
  <c r="AV566" i="9"/>
  <c r="AZ566" i="21" s="1"/>
  <c r="AS546" i="9"/>
  <c r="AW546" i="21" s="1"/>
  <c r="AT161" i="9"/>
  <c r="AT155" i="9"/>
  <c r="AS534" i="9"/>
  <c r="AW534" i="21" s="1"/>
  <c r="AT498" i="9"/>
  <c r="AX498" i="21" s="1"/>
  <c r="AU142" i="9"/>
  <c r="G106" i="20"/>
  <c r="S102" i="20"/>
  <c r="AW41" i="9"/>
  <c r="AV569" i="9"/>
  <c r="AZ569" i="21" s="1"/>
  <c r="AN105" i="20" s="1"/>
  <c r="AV528" i="9"/>
  <c r="AZ528" i="21" s="1"/>
  <c r="AW108" i="9"/>
  <c r="AS529" i="9"/>
  <c r="AW529" i="21" s="1"/>
  <c r="AT153" i="9"/>
  <c r="AT154" i="9"/>
  <c r="AS531" i="9"/>
  <c r="AW531" i="21" s="1"/>
  <c r="AT143" i="9"/>
  <c r="AS502" i="9"/>
  <c r="AW502" i="21" s="1"/>
  <c r="AU503" i="9"/>
  <c r="AY503" i="21" s="1"/>
  <c r="AV144" i="9"/>
  <c r="AW166" i="9"/>
  <c r="AV563" i="9"/>
  <c r="AZ563" i="21" s="1"/>
  <c r="AV507" i="9"/>
  <c r="AZ507" i="21" s="1"/>
  <c r="AW124" i="9"/>
  <c r="AX18" i="9"/>
  <c r="AW553" i="9"/>
  <c r="BA553" i="21" s="1"/>
  <c r="AW455" i="9"/>
  <c r="BA455" i="21" s="1"/>
  <c r="AX27" i="9"/>
  <c r="AH211" i="20"/>
  <c r="AS160" i="9"/>
  <c r="AS169" i="9" s="1"/>
  <c r="AS173" i="9" s="1"/>
  <c r="AS575" i="9" s="1"/>
  <c r="AR544" i="9"/>
  <c r="AV544" i="21" s="1"/>
  <c r="AR93" i="3"/>
  <c r="AR224" i="3" s="1"/>
  <c r="J19" i="32"/>
  <c r="AL198" i="20"/>
  <c r="N33" i="27"/>
  <c r="AW19" i="9"/>
  <c r="AW45" i="9" s="1"/>
  <c r="AV554" i="9"/>
  <c r="AZ554" i="21" s="1"/>
  <c r="AS552" i="9"/>
  <c r="AW552" i="21" s="1"/>
  <c r="AK97" i="20" s="1"/>
  <c r="AT164" i="9"/>
  <c r="AT494" i="9"/>
  <c r="AX494" i="21" s="1"/>
  <c r="AU141" i="9"/>
  <c r="S99" i="20"/>
  <c r="G212" i="20"/>
  <c r="S212" i="20" s="1"/>
  <c r="AW52" i="9"/>
  <c r="AV471" i="9"/>
  <c r="AZ471" i="21" s="1"/>
  <c r="AV72" i="9"/>
  <c r="AU475" i="9"/>
  <c r="AY475" i="21" s="1"/>
  <c r="AU84" i="9"/>
  <c r="AU85" i="9" s="1"/>
  <c r="AW115" i="9"/>
  <c r="AV480" i="9"/>
  <c r="AZ480" i="21" s="1"/>
  <c r="AV133" i="9"/>
  <c r="AW540" i="9"/>
  <c r="BA540" i="21" s="1"/>
  <c r="AX100" i="9"/>
  <c r="T69" i="9"/>
  <c r="K155" i="20"/>
  <c r="K255" i="20" s="1"/>
  <c r="AT539" i="9"/>
  <c r="AX539" i="21" s="1"/>
  <c r="AU157" i="9"/>
  <c r="AW62" i="9"/>
  <c r="AV551" i="9"/>
  <c r="AZ551" i="21" s="1"/>
  <c r="AN94" i="20" s="1"/>
  <c r="AW109" i="9"/>
  <c r="AT151" i="9"/>
  <c r="AS524" i="9"/>
  <c r="AW524" i="21" s="1"/>
  <c r="AR478" i="21"/>
  <c r="AJ93" i="20"/>
  <c r="AJ103" i="20" l="1"/>
  <c r="AJ211" i="20" s="1"/>
  <c r="AU151" i="9"/>
  <c r="AT524" i="9"/>
  <c r="AX524" i="21" s="1"/>
  <c r="AX62" i="9"/>
  <c r="AU539" i="9"/>
  <c r="AY539" i="21" s="1"/>
  <c r="AV157" i="9"/>
  <c r="K277" i="20"/>
  <c r="AX540" i="9"/>
  <c r="BB540" i="21" s="1"/>
  <c r="AY100" i="9"/>
  <c r="AX115" i="9"/>
  <c r="AW480" i="9"/>
  <c r="BA480" i="21" s="1"/>
  <c r="AV475" i="9"/>
  <c r="AZ475" i="21" s="1"/>
  <c r="AW72" i="9"/>
  <c r="AX52" i="9"/>
  <c r="AW471" i="9"/>
  <c r="BA471" i="21" s="1"/>
  <c r="AX19" i="9"/>
  <c r="AW554" i="9"/>
  <c r="BA554" i="21" s="1"/>
  <c r="AW507" i="9"/>
  <c r="BA507" i="21" s="1"/>
  <c r="AX124" i="9"/>
  <c r="AV503" i="9"/>
  <c r="AZ503" i="21" s="1"/>
  <c r="AW144" i="9"/>
  <c r="AK102" i="20"/>
  <c r="AU153" i="9"/>
  <c r="AT529" i="9"/>
  <c r="AX529" i="21" s="1"/>
  <c r="AW528" i="9"/>
  <c r="BA528" i="21" s="1"/>
  <c r="AX108" i="9"/>
  <c r="S106" i="20"/>
  <c r="G38" i="27" s="1"/>
  <c r="C9" i="32"/>
  <c r="AV142" i="9"/>
  <c r="AU498" i="9"/>
  <c r="AY498" i="21" s="1"/>
  <c r="AT546" i="9"/>
  <c r="AX546" i="21" s="1"/>
  <c r="AU161" i="9"/>
  <c r="AX184" i="9"/>
  <c r="AW566" i="9"/>
  <c r="BA566" i="21" s="1"/>
  <c r="AX123" i="9"/>
  <c r="AW504" i="9"/>
  <c r="BA504" i="21" s="1"/>
  <c r="AK212" i="20"/>
  <c r="AX60" i="9"/>
  <c r="AW514" i="9"/>
  <c r="BA514" i="21" s="1"/>
  <c r="AP214" i="20"/>
  <c r="AY26" i="9"/>
  <c r="AX453" i="9"/>
  <c r="BB453" i="21" s="1"/>
  <c r="AT505" i="9"/>
  <c r="AX505" i="21" s="1"/>
  <c r="AU145" i="9"/>
  <c r="AU152" i="9"/>
  <c r="AT525" i="9"/>
  <c r="AX525" i="21" s="1"/>
  <c r="AU138" i="9"/>
  <c r="AT478" i="9"/>
  <c r="AX478" i="21" s="1"/>
  <c r="AU156" i="9"/>
  <c r="AT536" i="9"/>
  <c r="AX536" i="21" s="1"/>
  <c r="AU150" i="9"/>
  <c r="AT522" i="9"/>
  <c r="AX522" i="21" s="1"/>
  <c r="AF93" i="20"/>
  <c r="T211" i="20"/>
  <c r="AF211" i="20" s="1"/>
  <c r="AZ446" i="21"/>
  <c r="AM109" i="20"/>
  <c r="AX125" i="9"/>
  <c r="AW508" i="9"/>
  <c r="BA508" i="21" s="1"/>
  <c r="AX63" i="9"/>
  <c r="AW532" i="9"/>
  <c r="BA532" i="21" s="1"/>
  <c r="AW195" i="9"/>
  <c r="AV470" i="9"/>
  <c r="AZ470" i="21" s="1"/>
  <c r="AN87" i="20" s="1"/>
  <c r="AX22" i="9"/>
  <c r="AW555" i="9"/>
  <c r="BA555" i="21" s="1"/>
  <c r="AO98" i="20" s="1"/>
  <c r="AX79" i="9"/>
  <c r="AW526" i="9"/>
  <c r="BA526" i="21" s="1"/>
  <c r="AS542" i="9"/>
  <c r="AW542" i="21" s="1"/>
  <c r="AT159" i="9"/>
  <c r="AT509" i="9"/>
  <c r="AX509" i="21" s="1"/>
  <c r="AU147" i="9"/>
  <c r="AU149" i="9"/>
  <c r="AT516" i="9"/>
  <c r="AX186" i="9"/>
  <c r="AO281" i="20"/>
  <c r="AW537" i="9"/>
  <c r="BA537" i="21" s="1"/>
  <c r="AX97" i="9"/>
  <c r="AW565" i="9"/>
  <c r="BA565" i="21" s="1"/>
  <c r="AX38" i="9"/>
  <c r="AU140" i="9"/>
  <c r="AX489" i="21"/>
  <c r="AU158" i="9"/>
  <c r="AT541" i="9"/>
  <c r="AX541" i="21" s="1"/>
  <c r="AU162" i="9"/>
  <c r="AT548" i="9"/>
  <c r="AX548" i="21" s="1"/>
  <c r="AU163" i="9"/>
  <c r="AT550" i="9"/>
  <c r="AX550" i="21" s="1"/>
  <c r="AW543" i="9"/>
  <c r="BA543" i="21" s="1"/>
  <c r="AX101" i="9"/>
  <c r="AX119" i="9"/>
  <c r="AW496" i="9"/>
  <c r="BA496" i="21" s="1"/>
  <c r="AW510" i="9"/>
  <c r="BA510" i="21" s="1"/>
  <c r="AX126" i="9"/>
  <c r="K258" i="20"/>
  <c r="L176" i="20"/>
  <c r="AY102" i="9"/>
  <c r="AX545" i="9"/>
  <c r="BB545" i="21" s="1"/>
  <c r="AX472" i="21"/>
  <c r="AV80" i="9"/>
  <c r="AU530" i="9"/>
  <c r="AY530" i="21" s="1"/>
  <c r="AU487" i="9"/>
  <c r="AY487" i="21" s="1"/>
  <c r="AV139" i="9"/>
  <c r="AJ207" i="20"/>
  <c r="AY37" i="9"/>
  <c r="AX557" i="9"/>
  <c r="BB557" i="21" s="1"/>
  <c r="BA490" i="21"/>
  <c r="AX116" i="9"/>
  <c r="AX109" i="9"/>
  <c r="AW551" i="9"/>
  <c r="BA551" i="21" s="1"/>
  <c r="AO94" i="20" s="1"/>
  <c r="L155" i="20"/>
  <c r="L255" i="20" s="1"/>
  <c r="L277" i="20" s="1"/>
  <c r="U69" i="9"/>
  <c r="AV141" i="9"/>
  <c r="AU494" i="9"/>
  <c r="AY494" i="21" s="1"/>
  <c r="AT552" i="9"/>
  <c r="AX552" i="21" s="1"/>
  <c r="AL97" i="20" s="1"/>
  <c r="AU164" i="9"/>
  <c r="AS544" i="9"/>
  <c r="AW544" i="21" s="1"/>
  <c r="AT160" i="9"/>
  <c r="AX455" i="9"/>
  <c r="BB455" i="21" s="1"/>
  <c r="AY27" i="9"/>
  <c r="AY18" i="9"/>
  <c r="AX553" i="9"/>
  <c r="BB553" i="21" s="1"/>
  <c r="AX166" i="9"/>
  <c r="AW563" i="9"/>
  <c r="BA563" i="21" s="1"/>
  <c r="AU143" i="9"/>
  <c r="AT502" i="9"/>
  <c r="AX502" i="21" s="1"/>
  <c r="AT531" i="9"/>
  <c r="AX531" i="21" s="1"/>
  <c r="AU154" i="9"/>
  <c r="AX41" i="9"/>
  <c r="AW569" i="9"/>
  <c r="BA569" i="21" s="1"/>
  <c r="AO105" i="20" s="1"/>
  <c r="AU155" i="9"/>
  <c r="AT534" i="9"/>
  <c r="AX534" i="21" s="1"/>
  <c r="AW560" i="9"/>
  <c r="BA560" i="21" s="1"/>
  <c r="AX40" i="9"/>
  <c r="AW111" i="9"/>
  <c r="AW112" i="9" s="1"/>
  <c r="AX523" i="9"/>
  <c r="BB523" i="21" s="1"/>
  <c r="AY92" i="9"/>
  <c r="AW488" i="9"/>
  <c r="BA488" i="21" s="1"/>
  <c r="AW67" i="9"/>
  <c r="AX58" i="9"/>
  <c r="AT556" i="9"/>
  <c r="AX556" i="21" s="1"/>
  <c r="AL99" i="20" s="1"/>
  <c r="AU165" i="9"/>
  <c r="AW478" i="21"/>
  <c r="AS571" i="9"/>
  <c r="AS576" i="9" s="1"/>
  <c r="AW185" i="9"/>
  <c r="AV559" i="9"/>
  <c r="AZ559" i="21" s="1"/>
  <c r="AY103" i="9"/>
  <c r="AX547" i="9"/>
  <c r="BB547" i="21" s="1"/>
  <c r="AX517" i="9"/>
  <c r="AY131" i="9"/>
  <c r="AX61" i="9"/>
  <c r="AK93" i="20"/>
  <c r="T106" i="20"/>
  <c r="AF102" i="20"/>
  <c r="AV499" i="9"/>
  <c r="AZ499" i="21" s="1"/>
  <c r="AW120" i="9"/>
  <c r="AX549" i="9"/>
  <c r="BB549" i="21" s="1"/>
  <c r="AY104" i="9"/>
  <c r="AF99" i="20"/>
  <c r="T212" i="20"/>
  <c r="AF212" i="20" s="1"/>
  <c r="AW527" i="9"/>
  <c r="BA527" i="21" s="1"/>
  <c r="AX107" i="9"/>
  <c r="AX87" i="9"/>
  <c r="AW88" i="9"/>
  <c r="AW446" i="9"/>
  <c r="AO226" i="20"/>
  <c r="AS93" i="3"/>
  <c r="AS224" i="3" s="1"/>
  <c r="AM198" i="20"/>
  <c r="O33" i="27"/>
  <c r="K19" i="32"/>
  <c r="AX117" i="9"/>
  <c r="AW491" i="9"/>
  <c r="BA491" i="21" s="1"/>
  <c r="AW49" i="9"/>
  <c r="AV533" i="9"/>
  <c r="AZ533" i="21" s="1"/>
  <c r="AT506" i="9"/>
  <c r="AX506" i="21" s="1"/>
  <c r="AU146" i="9"/>
  <c r="H9" i="32"/>
  <c r="AJ106" i="20"/>
  <c r="L38" i="27" s="1"/>
  <c r="AV55" i="9"/>
  <c r="AW48" i="9"/>
  <c r="AV520" i="9"/>
  <c r="AZ520" i="21" s="1"/>
  <c r="AX535" i="9"/>
  <c r="BB535" i="21" s="1"/>
  <c r="AY96" i="9"/>
  <c r="AX127" i="9"/>
  <c r="AW513" i="9"/>
  <c r="BA513" i="21" s="1"/>
  <c r="AX148" i="9"/>
  <c r="AW512" i="9"/>
  <c r="BA512" i="21" s="1"/>
  <c r="AO161" i="20"/>
  <c r="AP161" i="20" s="1"/>
  <c r="AV137" i="9"/>
  <c r="AU472" i="9"/>
  <c r="AR571" i="9"/>
  <c r="AR576" i="9" s="1"/>
  <c r="AW495" i="9"/>
  <c r="BA495" i="21" s="1"/>
  <c r="AX59" i="9"/>
  <c r="AY59" i="9" l="1"/>
  <c r="AX495" i="9"/>
  <c r="BB495" i="21" s="1"/>
  <c r="AX513" i="9"/>
  <c r="BB513" i="21" s="1"/>
  <c r="AY127" i="9"/>
  <c r="AX48" i="9"/>
  <c r="AW55" i="9"/>
  <c r="AW520" i="9"/>
  <c r="BA520" i="21" s="1"/>
  <c r="AY472" i="21"/>
  <c r="AX512" i="9"/>
  <c r="BB512" i="21" s="1"/>
  <c r="AY148" i="9"/>
  <c r="AY535" i="9"/>
  <c r="BC535" i="21" s="1"/>
  <c r="AW533" i="9"/>
  <c r="BA533" i="21" s="1"/>
  <c r="AX49" i="9"/>
  <c r="AY117" i="9"/>
  <c r="AX491" i="9"/>
  <c r="BB491" i="21" s="1"/>
  <c r="AY107" i="9"/>
  <c r="AX527" i="9"/>
  <c r="BB527" i="21" s="1"/>
  <c r="AY549" i="9"/>
  <c r="BC549" i="21" s="1"/>
  <c r="AX120" i="9"/>
  <c r="AW499" i="9"/>
  <c r="BA499" i="21" s="1"/>
  <c r="D9" i="32"/>
  <c r="AF106" i="20"/>
  <c r="H38" i="27" s="1"/>
  <c r="AY61" i="9"/>
  <c r="AY547" i="9"/>
  <c r="BC547" i="21" s="1"/>
  <c r="AX185" i="9"/>
  <c r="AW559" i="9"/>
  <c r="BA559" i="21" s="1"/>
  <c r="AK207" i="20"/>
  <c r="AL212" i="20"/>
  <c r="AX111" i="9"/>
  <c r="AX560" i="9"/>
  <c r="BB560" i="21" s="1"/>
  <c r="AY40" i="9"/>
  <c r="AX569" i="9"/>
  <c r="BB569" i="21" s="1"/>
  <c r="AP105" i="20" s="1"/>
  <c r="AY41" i="9"/>
  <c r="AV143" i="9"/>
  <c r="AU502" i="9"/>
  <c r="AY502" i="21" s="1"/>
  <c r="AX563" i="9"/>
  <c r="BB563" i="21" s="1"/>
  <c r="AY166" i="9"/>
  <c r="AX45" i="9"/>
  <c r="AY455" i="9"/>
  <c r="BC455" i="21" s="1"/>
  <c r="AU160" i="9"/>
  <c r="AT544" i="9"/>
  <c r="AX544" i="21" s="1"/>
  <c r="AU552" i="9"/>
  <c r="AY552" i="21" s="1"/>
  <c r="AM97" i="20" s="1"/>
  <c r="AV164" i="9"/>
  <c r="BB490" i="21"/>
  <c r="AY116" i="9"/>
  <c r="AV487" i="9"/>
  <c r="AZ487" i="21" s="1"/>
  <c r="AW139" i="9"/>
  <c r="AT169" i="9"/>
  <c r="AT173" i="9" s="1"/>
  <c r="AT575" i="9" s="1"/>
  <c r="AY545" i="9"/>
  <c r="BC545" i="21" s="1"/>
  <c r="K280" i="20"/>
  <c r="AY119" i="9"/>
  <c r="AX496" i="9"/>
  <c r="BB496" i="21" s="1"/>
  <c r="AU550" i="9"/>
  <c r="AY550" i="21" s="1"/>
  <c r="AV163" i="9"/>
  <c r="AU548" i="9"/>
  <c r="AY548" i="21" s="1"/>
  <c r="AV162" i="9"/>
  <c r="AU541" i="9"/>
  <c r="AY541" i="21" s="1"/>
  <c r="AV158" i="9"/>
  <c r="AY489" i="21"/>
  <c r="AV140" i="9"/>
  <c r="AP281" i="20"/>
  <c r="AY186" i="9"/>
  <c r="AV149" i="9"/>
  <c r="AU516" i="9"/>
  <c r="AK103" i="20"/>
  <c r="AY79" i="9"/>
  <c r="AX526" i="9"/>
  <c r="BB526" i="21" s="1"/>
  <c r="AY22" i="9"/>
  <c r="AX555" i="9"/>
  <c r="BB555" i="21" s="1"/>
  <c r="AP98" i="20" s="1"/>
  <c r="AX195" i="9"/>
  <c r="AW470" i="9"/>
  <c r="BA470" i="21" s="1"/>
  <c r="AO87" i="20" s="1"/>
  <c r="AY63" i="9"/>
  <c r="AX532" i="9"/>
  <c r="BB532" i="21" s="1"/>
  <c r="AY125" i="9"/>
  <c r="AX508" i="9"/>
  <c r="BB508" i="21" s="1"/>
  <c r="AN109" i="20"/>
  <c r="AU522" i="9"/>
  <c r="AY522" i="21" s="1"/>
  <c r="AV150" i="9"/>
  <c r="AU536" i="9"/>
  <c r="AY536" i="21" s="1"/>
  <c r="AV156" i="9"/>
  <c r="AU478" i="9"/>
  <c r="AY478" i="21" s="1"/>
  <c r="AV138" i="9"/>
  <c r="AU525" i="9"/>
  <c r="AY525" i="21" s="1"/>
  <c r="AV152" i="9"/>
  <c r="AV145" i="9"/>
  <c r="AU505" i="9"/>
  <c r="AY505" i="21" s="1"/>
  <c r="AX514" i="9"/>
  <c r="BB514" i="21" s="1"/>
  <c r="AY60" i="9"/>
  <c r="AY184" i="9"/>
  <c r="AX191" i="9"/>
  <c r="AX566" i="9"/>
  <c r="BB566" i="21" s="1"/>
  <c r="AV498" i="9"/>
  <c r="AZ498" i="21" s="1"/>
  <c r="AW142" i="9"/>
  <c r="AV153" i="9"/>
  <c r="AU529" i="9"/>
  <c r="AY529" i="21" s="1"/>
  <c r="AW503" i="9"/>
  <c r="BA503" i="21" s="1"/>
  <c r="AX144" i="9"/>
  <c r="AX507" i="9"/>
  <c r="BB507" i="21" s="1"/>
  <c r="AY124" i="9"/>
  <c r="AW475" i="9"/>
  <c r="BA475" i="21" s="1"/>
  <c r="AX72" i="9"/>
  <c r="AY540" i="9"/>
  <c r="BC540" i="21" s="1"/>
  <c r="AV539" i="9"/>
  <c r="AZ539" i="21" s="1"/>
  <c r="AW157" i="9"/>
  <c r="AV472" i="9"/>
  <c r="AZ472" i="21" s="1"/>
  <c r="AW137" i="9"/>
  <c r="AV146" i="9"/>
  <c r="AU506" i="9"/>
  <c r="AY506" i="21" s="1"/>
  <c r="BA446" i="21"/>
  <c r="AX88" i="9"/>
  <c r="AY87" i="9"/>
  <c r="AP226" i="20"/>
  <c r="AX446" i="9"/>
  <c r="AY517" i="9"/>
  <c r="AV165" i="9"/>
  <c r="AU556" i="9"/>
  <c r="AY556" i="21" s="1"/>
  <c r="AM99" i="20" s="1"/>
  <c r="AM212" i="20" s="1"/>
  <c r="AX488" i="9"/>
  <c r="BB488" i="21" s="1"/>
  <c r="AX67" i="9"/>
  <c r="AY58" i="9"/>
  <c r="AY523" i="9"/>
  <c r="BC523" i="21" s="1"/>
  <c r="AV155" i="9"/>
  <c r="AU534" i="9"/>
  <c r="AY534" i="21" s="1"/>
  <c r="AV154" i="9"/>
  <c r="AU531" i="9"/>
  <c r="AY531" i="21" s="1"/>
  <c r="AL102" i="20"/>
  <c r="AY553" i="9"/>
  <c r="BC553" i="21" s="1"/>
  <c r="AV494" i="9"/>
  <c r="AZ494" i="21" s="1"/>
  <c r="AW141" i="9"/>
  <c r="M155" i="20"/>
  <c r="M255" i="20" s="1"/>
  <c r="M277" i="20" s="1"/>
  <c r="V69" i="9"/>
  <c r="AY109" i="9"/>
  <c r="AX551" i="9"/>
  <c r="BB551" i="21" s="1"/>
  <c r="AP94" i="20" s="1"/>
  <c r="AY557" i="9"/>
  <c r="BC557" i="21" s="1"/>
  <c r="AW80" i="9"/>
  <c r="AV530" i="9"/>
  <c r="AZ530" i="21" s="1"/>
  <c r="L258" i="20"/>
  <c r="L280" i="20" s="1"/>
  <c r="M176" i="20"/>
  <c r="AX510" i="9"/>
  <c r="BB510" i="21" s="1"/>
  <c r="AY126" i="9"/>
  <c r="AX543" i="9"/>
  <c r="BB543" i="21" s="1"/>
  <c r="AY101" i="9"/>
  <c r="AX565" i="9"/>
  <c r="BB565" i="21" s="1"/>
  <c r="AY38" i="9"/>
  <c r="AX537" i="9"/>
  <c r="BB537" i="21" s="1"/>
  <c r="AY97" i="9"/>
  <c r="AU509" i="9"/>
  <c r="AY509" i="21" s="1"/>
  <c r="AV147" i="9"/>
  <c r="AU159" i="9"/>
  <c r="AT542" i="9"/>
  <c r="AX542" i="21" s="1"/>
  <c r="AL103" i="20" s="1"/>
  <c r="AN198" i="20"/>
  <c r="P33" i="27"/>
  <c r="AT93" i="3"/>
  <c r="AT224" i="3" s="1"/>
  <c r="L19" i="32"/>
  <c r="AL93" i="20"/>
  <c r="AL211" i="20" s="1"/>
  <c r="AL207" i="20"/>
  <c r="AQ214" i="20"/>
  <c r="AY453" i="9"/>
  <c r="BC453" i="21" s="1"/>
  <c r="AX504" i="9"/>
  <c r="BB504" i="21" s="1"/>
  <c r="AY123" i="9"/>
  <c r="AW191" i="9"/>
  <c r="AU546" i="9"/>
  <c r="AY546" i="21" s="1"/>
  <c r="AV161" i="9"/>
  <c r="AX528" i="9"/>
  <c r="BB528" i="21" s="1"/>
  <c r="AY108" i="9"/>
  <c r="AK106" i="20"/>
  <c r="M38" i="27" s="1"/>
  <c r="I9" i="32"/>
  <c r="AY19" i="9"/>
  <c r="AX554" i="9"/>
  <c r="BB554" i="21" s="1"/>
  <c r="AY52" i="9"/>
  <c r="AX471" i="9"/>
  <c r="BB471" i="21" s="1"/>
  <c r="AV84" i="9"/>
  <c r="AV85" i="9" s="1"/>
  <c r="AW133" i="9"/>
  <c r="AX133" i="9"/>
  <c r="AY115" i="9"/>
  <c r="AX480" i="9"/>
  <c r="BB480" i="21" s="1"/>
  <c r="AY62" i="9"/>
  <c r="AV151" i="9"/>
  <c r="AU524" i="9"/>
  <c r="AY524" i="21" s="1"/>
  <c r="AX112" i="9" l="1"/>
  <c r="AY471" i="9"/>
  <c r="BC471" i="21" s="1"/>
  <c r="AY554" i="9"/>
  <c r="BC554" i="21" s="1"/>
  <c r="AY528" i="9"/>
  <c r="BC528" i="21" s="1"/>
  <c r="AW151" i="9"/>
  <c r="AV524" i="9"/>
  <c r="AZ524" i="21" s="1"/>
  <c r="AY480" i="9"/>
  <c r="BC480" i="21" s="1"/>
  <c r="AY504" i="9"/>
  <c r="BC504" i="21" s="1"/>
  <c r="AW147" i="9"/>
  <c r="AV509" i="9"/>
  <c r="AZ509" i="21" s="1"/>
  <c r="AY537" i="9"/>
  <c r="BC537" i="21" s="1"/>
  <c r="AY565" i="9"/>
  <c r="BC565" i="21" s="1"/>
  <c r="AY543" i="9"/>
  <c r="BC543" i="21" s="1"/>
  <c r="AY510" i="9"/>
  <c r="BC510" i="21" s="1"/>
  <c r="M258" i="20"/>
  <c r="M280" i="20" s="1"/>
  <c r="N176" i="20"/>
  <c r="AX80" i="9"/>
  <c r="AW530" i="9"/>
  <c r="BA530" i="21" s="1"/>
  <c r="W69" i="9"/>
  <c r="N155" i="20"/>
  <c r="N255" i="20" s="1"/>
  <c r="N277" i="20" s="1"/>
  <c r="AW494" i="9"/>
  <c r="BA494" i="21" s="1"/>
  <c r="AX141" i="9"/>
  <c r="AY45" i="9"/>
  <c r="AY111" i="9"/>
  <c r="AO109" i="20"/>
  <c r="AV506" i="9"/>
  <c r="AZ506" i="21" s="1"/>
  <c r="AW146" i="9"/>
  <c r="AW472" i="9"/>
  <c r="AX137" i="9"/>
  <c r="AW539" i="9"/>
  <c r="BA539" i="21" s="1"/>
  <c r="AX157" i="9"/>
  <c r="AW84" i="9"/>
  <c r="AW85" i="9" s="1"/>
  <c r="AV529" i="9"/>
  <c r="AZ529" i="21" s="1"/>
  <c r="AW153" i="9"/>
  <c r="AY514" i="9"/>
  <c r="BC514" i="21" s="1"/>
  <c r="AV505" i="9"/>
  <c r="AZ505" i="21" s="1"/>
  <c r="AW145" i="9"/>
  <c r="AM207" i="20"/>
  <c r="AM93" i="20"/>
  <c r="AY508" i="9"/>
  <c r="BC508" i="21" s="1"/>
  <c r="AY532" i="9"/>
  <c r="BC532" i="21" s="1"/>
  <c r="AX470" i="9"/>
  <c r="BB470" i="21" s="1"/>
  <c r="AP87" i="20" s="1"/>
  <c r="AY195" i="9"/>
  <c r="AY555" i="9"/>
  <c r="BC555" i="21" s="1"/>
  <c r="AQ98" i="20" s="1"/>
  <c r="AY526" i="9"/>
  <c r="BC526" i="21" s="1"/>
  <c r="AQ281" i="20"/>
  <c r="AZ489" i="21"/>
  <c r="AW140" i="9"/>
  <c r="AV541" i="9"/>
  <c r="AZ541" i="21" s="1"/>
  <c r="AW158" i="9"/>
  <c r="AW162" i="9"/>
  <c r="AV548" i="9"/>
  <c r="AZ548" i="21" s="1"/>
  <c r="AW163" i="9"/>
  <c r="AV550" i="9"/>
  <c r="AZ550" i="21" s="1"/>
  <c r="AX139" i="9"/>
  <c r="AW487" i="9"/>
  <c r="BA487" i="21" s="1"/>
  <c r="AV552" i="9"/>
  <c r="AZ552" i="21" s="1"/>
  <c r="AN97" i="20" s="1"/>
  <c r="AW164" i="9"/>
  <c r="AV502" i="9"/>
  <c r="AZ502" i="21" s="1"/>
  <c r="AN102" i="20" s="1"/>
  <c r="L9" i="32" s="1"/>
  <c r="AW143" i="9"/>
  <c r="AY185" i="9"/>
  <c r="AX559" i="9"/>
  <c r="BB559" i="21" s="1"/>
  <c r="AK211" i="20"/>
  <c r="AX499" i="9"/>
  <c r="BB499" i="21" s="1"/>
  <c r="AY120" i="9"/>
  <c r="AY527" i="9"/>
  <c r="BC527" i="21" s="1"/>
  <c r="AY491" i="9"/>
  <c r="BC491" i="21" s="1"/>
  <c r="AY513" i="9"/>
  <c r="BC513" i="21" s="1"/>
  <c r="AV546" i="9"/>
  <c r="AZ546" i="21" s="1"/>
  <c r="AW161" i="9"/>
  <c r="AU169" i="9"/>
  <c r="AU173" i="9" s="1"/>
  <c r="AU575" i="9" s="1"/>
  <c r="AU542" i="9"/>
  <c r="AY542" i="21" s="1"/>
  <c r="AV159" i="9"/>
  <c r="AY551" i="9"/>
  <c r="BC551" i="21" s="1"/>
  <c r="AQ94" i="20" s="1"/>
  <c r="J9" i="32"/>
  <c r="AL106" i="20"/>
  <c r="N38" i="27" s="1"/>
  <c r="AV531" i="9"/>
  <c r="AZ531" i="21" s="1"/>
  <c r="AW154" i="9"/>
  <c r="AV534" i="9"/>
  <c r="AZ534" i="21" s="1"/>
  <c r="AW155" i="9"/>
  <c r="AY488" i="9"/>
  <c r="BC488" i="21" s="1"/>
  <c r="AY67" i="9"/>
  <c r="AW165" i="9"/>
  <c r="AV556" i="9"/>
  <c r="AZ556" i="21" s="1"/>
  <c r="AN99" i="20" s="1"/>
  <c r="AN212" i="20" s="1"/>
  <c r="BB446" i="21"/>
  <c r="AY88" i="9"/>
  <c r="AQ226" i="20"/>
  <c r="AY446" i="9"/>
  <c r="AY72" i="9"/>
  <c r="AX475" i="9"/>
  <c r="BB475" i="21" s="1"/>
  <c r="AX84" i="9"/>
  <c r="AX85" i="9" s="1"/>
  <c r="AY507" i="9"/>
  <c r="BC507" i="21" s="1"/>
  <c r="AY144" i="9"/>
  <c r="AX503" i="9"/>
  <c r="BB503" i="21" s="1"/>
  <c r="AX142" i="9"/>
  <c r="AW498" i="9"/>
  <c r="BA498" i="21" s="1"/>
  <c r="AY191" i="9"/>
  <c r="AY566" i="9"/>
  <c r="BC566" i="21" s="1"/>
  <c r="AV525" i="9"/>
  <c r="AZ525" i="21" s="1"/>
  <c r="AW152" i="9"/>
  <c r="AW138" i="9"/>
  <c r="AV478" i="9"/>
  <c r="AW156" i="9"/>
  <c r="AV536" i="9"/>
  <c r="AZ536" i="21" s="1"/>
  <c r="AW150" i="9"/>
  <c r="AV522" i="9"/>
  <c r="AZ522" i="21" s="1"/>
  <c r="AU93" i="3"/>
  <c r="AU224" i="3" s="1"/>
  <c r="M19" i="32"/>
  <c r="AO198" i="20"/>
  <c r="Q33" i="27"/>
  <c r="AW149" i="9"/>
  <c r="AV516" i="9"/>
  <c r="AY496" i="9"/>
  <c r="BC496" i="21" s="1"/>
  <c r="AT571" i="9"/>
  <c r="AT576" i="9" s="1"/>
  <c r="BC490" i="21"/>
  <c r="AU544" i="9"/>
  <c r="AY544" i="21" s="1"/>
  <c r="AV160" i="9"/>
  <c r="AY563" i="9"/>
  <c r="BC563" i="21" s="1"/>
  <c r="AM102" i="20"/>
  <c r="AY569" i="9"/>
  <c r="BC569" i="21" s="1"/>
  <c r="AQ105" i="20" s="1"/>
  <c r="AY560" i="9"/>
  <c r="BC560" i="21" s="1"/>
  <c r="AX533" i="9"/>
  <c r="BB533" i="21" s="1"/>
  <c r="AY49" i="9"/>
  <c r="AY512" i="9"/>
  <c r="BC512" i="21" s="1"/>
  <c r="AQ161" i="20"/>
  <c r="AX55" i="9"/>
  <c r="AY48" i="9"/>
  <c r="AX520" i="9"/>
  <c r="BB520" i="21" s="1"/>
  <c r="AY495" i="9"/>
  <c r="BC495" i="21" s="1"/>
  <c r="AY137" i="9" l="1"/>
  <c r="AX472" i="9"/>
  <c r="AW506" i="9"/>
  <c r="BA506" i="21" s="1"/>
  <c r="AX146" i="9"/>
  <c r="X69" i="9"/>
  <c r="O155" i="20"/>
  <c r="O255" i="20" s="1"/>
  <c r="O277" i="20" s="1"/>
  <c r="AY80" i="9"/>
  <c r="AX530" i="9"/>
  <c r="BB530" i="21" s="1"/>
  <c r="O176" i="20"/>
  <c r="N258" i="20"/>
  <c r="AY55" i="9"/>
  <c r="AY520" i="9"/>
  <c r="BC520" i="21" s="1"/>
  <c r="K9" i="32"/>
  <c r="AW522" i="9"/>
  <c r="BA522" i="21" s="1"/>
  <c r="AX150" i="9"/>
  <c r="AW536" i="9"/>
  <c r="BA536" i="21" s="1"/>
  <c r="AX156" i="9"/>
  <c r="AW478" i="9"/>
  <c r="BA478" i="21" s="1"/>
  <c r="AX138" i="9"/>
  <c r="AY475" i="9"/>
  <c r="BC475" i="21" s="1"/>
  <c r="AY84" i="9"/>
  <c r="AY85" i="9" s="1"/>
  <c r="BC446" i="21"/>
  <c r="AW159" i="9"/>
  <c r="AV542" i="9"/>
  <c r="AZ542" i="21" s="1"/>
  <c r="AX161" i="9"/>
  <c r="AW546" i="9"/>
  <c r="BA546" i="21" s="1"/>
  <c r="AU571" i="9"/>
  <c r="AU576" i="9" s="1"/>
  <c r="AW502" i="9"/>
  <c r="BA502" i="21" s="1"/>
  <c r="AX143" i="9"/>
  <c r="AX164" i="9"/>
  <c r="AW552" i="9"/>
  <c r="BA552" i="21" s="1"/>
  <c r="AO97" i="20" s="1"/>
  <c r="AX487" i="9"/>
  <c r="BB487" i="21" s="1"/>
  <c r="AY139" i="9"/>
  <c r="AW541" i="9"/>
  <c r="BA541" i="21" s="1"/>
  <c r="AX158" i="9"/>
  <c r="BA489" i="21"/>
  <c r="AX140" i="9"/>
  <c r="AP198" i="20"/>
  <c r="N19" i="32"/>
  <c r="AV93" i="3"/>
  <c r="AV224" i="3" s="1"/>
  <c r="R33" i="27"/>
  <c r="AW505" i="9"/>
  <c r="BA505" i="21" s="1"/>
  <c r="AX145" i="9"/>
  <c r="AX153" i="9"/>
  <c r="AW529" i="9"/>
  <c r="BA529" i="21" s="1"/>
  <c r="AY533" i="9"/>
  <c r="BC533" i="21" s="1"/>
  <c r="AV544" i="9"/>
  <c r="AZ544" i="21" s="1"/>
  <c r="AW160" i="9"/>
  <c r="AX149" i="9"/>
  <c r="AW516" i="9"/>
  <c r="AN93" i="20"/>
  <c r="AZ478" i="21"/>
  <c r="AV571" i="9"/>
  <c r="AX152" i="9"/>
  <c r="AW525" i="9"/>
  <c r="BA525" i="21" s="1"/>
  <c r="AX498" i="9"/>
  <c r="BB498" i="21" s="1"/>
  <c r="AY142" i="9"/>
  <c r="AY503" i="9"/>
  <c r="BC503" i="21" s="1"/>
  <c r="AV169" i="9"/>
  <c r="AV173" i="9" s="1"/>
  <c r="AV575" i="9" s="1"/>
  <c r="AP109" i="20"/>
  <c r="AW556" i="9"/>
  <c r="BA556" i="21" s="1"/>
  <c r="AO99" i="20" s="1"/>
  <c r="AO212" i="20" s="1"/>
  <c r="AX165" i="9"/>
  <c r="AX155" i="9"/>
  <c r="AW534" i="9"/>
  <c r="BA534" i="21" s="1"/>
  <c r="AW531" i="9"/>
  <c r="BA531" i="21" s="1"/>
  <c r="AX154" i="9"/>
  <c r="AM103" i="20"/>
  <c r="AM106" i="20" s="1"/>
  <c r="O38" i="27" s="1"/>
  <c r="AY133" i="9"/>
  <c r="AY499" i="9"/>
  <c r="BC499" i="21" s="1"/>
  <c r="AY559" i="9"/>
  <c r="BC559" i="21" s="1"/>
  <c r="AX163" i="9"/>
  <c r="AW550" i="9"/>
  <c r="BA550" i="21" s="1"/>
  <c r="AX162" i="9"/>
  <c r="AW548" i="9"/>
  <c r="BA548" i="21" s="1"/>
  <c r="AY470" i="9"/>
  <c r="BC470" i="21" s="1"/>
  <c r="AQ87" i="20" s="1"/>
  <c r="AM211" i="20"/>
  <c r="AY157" i="9"/>
  <c r="AX539" i="9"/>
  <c r="BB539" i="21" s="1"/>
  <c r="AW169" i="9"/>
  <c r="AW173" i="9" s="1"/>
  <c r="AW575" i="9" s="1"/>
  <c r="BA472" i="21"/>
  <c r="AY112" i="9"/>
  <c r="AX494" i="9"/>
  <c r="BB494" i="21" s="1"/>
  <c r="AY141" i="9"/>
  <c r="AW509" i="9"/>
  <c r="BA509" i="21" s="1"/>
  <c r="AX147" i="9"/>
  <c r="AW524" i="9"/>
  <c r="BA524" i="21" s="1"/>
  <c r="AX151" i="9"/>
  <c r="AX524" i="9" l="1"/>
  <c r="BB524" i="21" s="1"/>
  <c r="AY151" i="9"/>
  <c r="AY494" i="9"/>
  <c r="BC494" i="21" s="1"/>
  <c r="AW93" i="3"/>
  <c r="AW224" i="3" s="1"/>
  <c r="O19" i="32"/>
  <c r="AQ198" i="20"/>
  <c r="S33" i="27"/>
  <c r="AY154" i="9"/>
  <c r="AX531" i="9"/>
  <c r="BB531" i="21" s="1"/>
  <c r="AX556" i="9"/>
  <c r="BB556" i="21" s="1"/>
  <c r="AP99" i="20" s="1"/>
  <c r="AY165" i="9"/>
  <c r="AY498" i="9"/>
  <c r="BC498" i="21" s="1"/>
  <c r="AY152" i="9"/>
  <c r="AX525" i="9"/>
  <c r="BB525" i="21" s="1"/>
  <c r="AN207" i="20"/>
  <c r="AY145" i="9"/>
  <c r="AX505" i="9"/>
  <c r="BB505" i="21" s="1"/>
  <c r="AY164" i="9"/>
  <c r="AX552" i="9"/>
  <c r="BB552" i="21" s="1"/>
  <c r="AP97" i="20" s="1"/>
  <c r="AO102" i="20"/>
  <c r="AN103" i="20"/>
  <c r="AN106" i="20" s="1"/>
  <c r="P38" i="27" s="1"/>
  <c r="AQ109" i="20"/>
  <c r="AO207" i="20"/>
  <c r="AO93" i="20"/>
  <c r="O258" i="20"/>
  <c r="O280" i="20" s="1"/>
  <c r="P176" i="20"/>
  <c r="AY530" i="9"/>
  <c r="BC530" i="21" s="1"/>
  <c r="P155" i="20"/>
  <c r="P255" i="20" s="1"/>
  <c r="P277" i="20" s="1"/>
  <c r="Y69" i="9"/>
  <c r="AY472" i="9"/>
  <c r="BC472" i="21" s="1"/>
  <c r="AX509" i="9"/>
  <c r="BB509" i="21" s="1"/>
  <c r="AY147" i="9"/>
  <c r="AY539" i="9"/>
  <c r="BC539" i="21" s="1"/>
  <c r="AY162" i="9"/>
  <c r="AX548" i="9"/>
  <c r="BB548" i="21" s="1"/>
  <c r="AY163" i="9"/>
  <c r="AX550" i="9"/>
  <c r="BB550" i="21" s="1"/>
  <c r="AX534" i="9"/>
  <c r="BB534" i="21" s="1"/>
  <c r="AY155" i="9"/>
  <c r="AV576" i="9"/>
  <c r="AN211" i="20"/>
  <c r="AY149" i="9"/>
  <c r="AX516" i="9"/>
  <c r="AW544" i="9"/>
  <c r="BA544" i="21" s="1"/>
  <c r="AX160" i="9"/>
  <c r="AY153" i="9"/>
  <c r="AX529" i="9"/>
  <c r="BB529" i="21" s="1"/>
  <c r="BB489" i="21"/>
  <c r="AY140" i="9"/>
  <c r="AX541" i="9"/>
  <c r="BB541" i="21" s="1"/>
  <c r="AY158" i="9"/>
  <c r="AY487" i="9"/>
  <c r="BC487" i="21" s="1"/>
  <c r="AX502" i="9"/>
  <c r="BB502" i="21" s="1"/>
  <c r="AY143" i="9"/>
  <c r="AY161" i="9"/>
  <c r="AX546" i="9"/>
  <c r="BB546" i="21" s="1"/>
  <c r="AX159" i="9"/>
  <c r="AW542" i="9"/>
  <c r="BA542" i="21" s="1"/>
  <c r="AO103" i="20" s="1"/>
  <c r="AY138" i="9"/>
  <c r="AX478" i="9"/>
  <c r="BB478" i="21" s="1"/>
  <c r="AX536" i="9"/>
  <c r="BB536" i="21" s="1"/>
  <c r="AY156" i="9"/>
  <c r="AX522" i="9"/>
  <c r="BB522" i="21" s="1"/>
  <c r="AP93" i="20" s="1"/>
  <c r="AY150" i="9"/>
  <c r="N280" i="20"/>
  <c r="AY146" i="9"/>
  <c r="AX506" i="9"/>
  <c r="BB506" i="21" s="1"/>
  <c r="BB472" i="21"/>
  <c r="AY506" i="9" l="1"/>
  <c r="BC506" i="21" s="1"/>
  <c r="AY522" i="9"/>
  <c r="BC522" i="21" s="1"/>
  <c r="AY536" i="9"/>
  <c r="BC536" i="21" s="1"/>
  <c r="AP207" i="20"/>
  <c r="AY502" i="9"/>
  <c r="BC502" i="21" s="1"/>
  <c r="AY516" i="9"/>
  <c r="AW571" i="9"/>
  <c r="AW576" i="9" s="1"/>
  <c r="AY509" i="9"/>
  <c r="BC509" i="21" s="1"/>
  <c r="AO211" i="20"/>
  <c r="M9" i="32"/>
  <c r="AO106" i="20"/>
  <c r="Q38" i="27" s="1"/>
  <c r="AY552" i="9"/>
  <c r="BC552" i="21" s="1"/>
  <c r="AQ97" i="20" s="1"/>
  <c r="AY525" i="9"/>
  <c r="BC525" i="21" s="1"/>
  <c r="AP212" i="20"/>
  <c r="AY531" i="9"/>
  <c r="BC531" i="21" s="1"/>
  <c r="AY478" i="9"/>
  <c r="AX542" i="9"/>
  <c r="AY159" i="9"/>
  <c r="AY546" i="9"/>
  <c r="BC546" i="21" s="1"/>
  <c r="AP102" i="20"/>
  <c r="AY541" i="9"/>
  <c r="BC541" i="21" s="1"/>
  <c r="BC489" i="21"/>
  <c r="AY529" i="9"/>
  <c r="BC529" i="21" s="1"/>
  <c r="AX169" i="9"/>
  <c r="AX173" i="9" s="1"/>
  <c r="AX575" i="9" s="1"/>
  <c r="AX544" i="9"/>
  <c r="BB544" i="21" s="1"/>
  <c r="AY160" i="9"/>
  <c r="AY534" i="9"/>
  <c r="BC534" i="21" s="1"/>
  <c r="AY550" i="9"/>
  <c r="BC550" i="21" s="1"/>
  <c r="AY548" i="9"/>
  <c r="BC548" i="21" s="1"/>
  <c r="Z69" i="9"/>
  <c r="Q155" i="20"/>
  <c r="Q255" i="20" s="1"/>
  <c r="Q277" i="20" s="1"/>
  <c r="Q176" i="20"/>
  <c r="P258" i="20"/>
  <c r="P280" i="20" s="1"/>
  <c r="AY505" i="9"/>
  <c r="BC505" i="21" s="1"/>
  <c r="AY556" i="9"/>
  <c r="BC556" i="21" s="1"/>
  <c r="AQ99" i="20" s="1"/>
  <c r="AQ212" i="20" s="1"/>
  <c r="AY524" i="9"/>
  <c r="BC524" i="21" s="1"/>
  <c r="Q258" i="20" l="1"/>
  <c r="Q280" i="20" s="1"/>
  <c r="R176" i="20"/>
  <c r="R155" i="20"/>
  <c r="AB69" i="9"/>
  <c r="N9" i="32"/>
  <c r="BB542" i="21"/>
  <c r="AP103" i="20" s="1"/>
  <c r="AX571" i="9"/>
  <c r="AX576" i="9" s="1"/>
  <c r="BC478" i="21"/>
  <c r="AY544" i="9"/>
  <c r="BC544" i="21" s="1"/>
  <c r="AY542" i="9"/>
  <c r="BC542" i="21" s="1"/>
  <c r="AQ103" i="20" s="1"/>
  <c r="AQ102" i="20"/>
  <c r="O9" i="32" s="1"/>
  <c r="AQ93" i="20"/>
  <c r="AY169" i="9"/>
  <c r="AY173" i="9" s="1"/>
  <c r="AY575" i="9" s="1"/>
  <c r="AQ106" i="20" l="1"/>
  <c r="S38" i="27" s="1"/>
  <c r="AQ211" i="20"/>
  <c r="AY571" i="9"/>
  <c r="AY576" i="9" s="1"/>
  <c r="T155" i="20"/>
  <c r="T255" i="20" s="1"/>
  <c r="AC69" i="9"/>
  <c r="S176" i="20"/>
  <c r="R258" i="20"/>
  <c r="T176" i="20"/>
  <c r="AQ207" i="20"/>
  <c r="AP211" i="20"/>
  <c r="AP106" i="20"/>
  <c r="R38" i="27" s="1"/>
  <c r="R255" i="20"/>
  <c r="S155" i="20"/>
  <c r="R277" i="20" l="1"/>
  <c r="S277" i="20" s="1"/>
  <c r="S255" i="20"/>
  <c r="R280" i="20"/>
  <c r="S280" i="20" s="1"/>
  <c r="S258" i="20"/>
  <c r="AD69" i="9"/>
  <c r="U155" i="20"/>
  <c r="U255" i="20" s="1"/>
  <c r="U277" i="20" s="1"/>
  <c r="T258" i="20"/>
  <c r="U176" i="20"/>
  <c r="T277" i="20"/>
  <c r="U258" i="20" l="1"/>
  <c r="U280" i="20" s="1"/>
  <c r="V176" i="20"/>
  <c r="V155" i="20"/>
  <c r="V255" i="20" s="1"/>
  <c r="AE69" i="9"/>
  <c r="T280" i="20"/>
  <c r="W155" i="20" l="1"/>
  <c r="W255" i="20" s="1"/>
  <c r="W277" i="20" s="1"/>
  <c r="AF69" i="9"/>
  <c r="W176" i="20"/>
  <c r="V258" i="20"/>
  <c r="V277" i="20"/>
  <c r="V280" i="20" l="1"/>
  <c r="W258" i="20"/>
  <c r="W280" i="20" s="1"/>
  <c r="X176" i="20"/>
  <c r="AG69" i="9"/>
  <c r="X155" i="20"/>
  <c r="X255" i="20" s="1"/>
  <c r="Y155" i="20" l="1"/>
  <c r="Y255" i="20" s="1"/>
  <c r="Y277" i="20" s="1"/>
  <c r="AH69" i="9"/>
  <c r="X277" i="20"/>
  <c r="X258" i="20"/>
  <c r="X280" i="20" s="1"/>
  <c r="Y176" i="20"/>
  <c r="AI69" i="9" l="1"/>
  <c r="Z155" i="20"/>
  <c r="Z255" i="20" s="1"/>
  <c r="Y258" i="20"/>
  <c r="Z176" i="20"/>
  <c r="AA176" i="20" l="1"/>
  <c r="Z258" i="20"/>
  <c r="Z280" i="20" s="1"/>
  <c r="Z277" i="20"/>
  <c r="Y280" i="20"/>
  <c r="AA155" i="20"/>
  <c r="AA255" i="20" s="1"/>
  <c r="AA277" i="20" s="1"/>
  <c r="AJ69" i="9"/>
  <c r="AK69" i="9" l="1"/>
  <c r="AB155" i="20"/>
  <c r="AB255" i="20" s="1"/>
  <c r="AB277" i="20" s="1"/>
  <c r="AB176" i="20"/>
  <c r="AA258" i="20"/>
  <c r="AB258" i="20" l="1"/>
  <c r="AB280" i="20" s="1"/>
  <c r="AC176" i="20"/>
  <c r="AA280" i="20"/>
  <c r="AC155" i="20"/>
  <c r="AC255" i="20" s="1"/>
  <c r="AC277" i="20" s="1"/>
  <c r="AL69" i="9"/>
  <c r="AM69" i="9" l="1"/>
  <c r="AD155" i="20"/>
  <c r="AD255" i="20" s="1"/>
  <c r="AD277" i="20" s="1"/>
  <c r="AC258" i="20"/>
  <c r="AC280" i="20" s="1"/>
  <c r="AD176" i="20"/>
  <c r="AE176" i="20" l="1"/>
  <c r="AD258" i="20"/>
  <c r="AD280" i="20" s="1"/>
  <c r="AE155" i="20"/>
  <c r="AO69" i="9"/>
  <c r="AP69" i="9" l="1"/>
  <c r="AG155" i="20"/>
  <c r="AG255" i="20" s="1"/>
  <c r="AG277" i="20" s="1"/>
  <c r="AF155" i="20"/>
  <c r="AE255" i="20"/>
  <c r="AE258" i="20"/>
  <c r="AF176" i="20"/>
  <c r="AG176" i="20"/>
  <c r="AE277" i="20" l="1"/>
  <c r="AF277" i="20" s="1"/>
  <c r="AF255" i="20"/>
  <c r="AG258" i="20"/>
  <c r="AG280" i="20" s="1"/>
  <c r="AH176" i="20"/>
  <c r="AE280" i="20"/>
  <c r="AF280" i="20" s="1"/>
  <c r="AF258" i="20"/>
  <c r="AQ69" i="9"/>
  <c r="AH155" i="20"/>
  <c r="AH255" i="20" s="1"/>
  <c r="AH277" i="20" s="1"/>
  <c r="AI176" i="20" l="1"/>
  <c r="AH258" i="20"/>
  <c r="AH280" i="20" s="1"/>
  <c r="AR69" i="9"/>
  <c r="AI155" i="20"/>
  <c r="AI255" i="20" s="1"/>
  <c r="AI277" i="20" s="1"/>
  <c r="AS69" i="9" l="1"/>
  <c r="AJ155" i="20"/>
  <c r="AJ255" i="20" s="1"/>
  <c r="AJ277" i="20" s="1"/>
  <c r="AJ176" i="20"/>
  <c r="AI258" i="20"/>
  <c r="AI280" i="20" s="1"/>
  <c r="AJ258" i="20" l="1"/>
  <c r="AJ280" i="20" s="1"/>
  <c r="AK176" i="20"/>
  <c r="AT69" i="9"/>
  <c r="AK155" i="20"/>
  <c r="AK255" i="20" s="1"/>
  <c r="AK277" i="20" s="1"/>
  <c r="AK258" i="20" l="1"/>
  <c r="AK280" i="20" s="1"/>
  <c r="AL176" i="20"/>
  <c r="AL155" i="20"/>
  <c r="AL255" i="20" s="1"/>
  <c r="AL277" i="20" s="1"/>
  <c r="AU69" i="9"/>
  <c r="AM155" i="20" l="1"/>
  <c r="AM255" i="20" s="1"/>
  <c r="AM277" i="20" s="1"/>
  <c r="AV69" i="9"/>
  <c r="AL258" i="20"/>
  <c r="AL280" i="20" s="1"/>
  <c r="AM176" i="20"/>
  <c r="AC500" i="8"/>
  <c r="AH500" i="21" s="1"/>
  <c r="AE500" i="8"/>
  <c r="AJ500" i="21" s="1"/>
  <c r="AG500" i="8"/>
  <c r="AL500" i="21" s="1"/>
  <c r="AI500" i="8"/>
  <c r="AN500" i="21" s="1"/>
  <c r="AD500" i="8"/>
  <c r="AI500" i="21" s="1"/>
  <c r="AH500" i="8"/>
  <c r="AM500" i="21" s="1"/>
  <c r="AL500" i="8"/>
  <c r="AQ500" i="21" s="1"/>
  <c r="AN176" i="20" l="1"/>
  <c r="AM258" i="20"/>
  <c r="AM280" i="20" s="1"/>
  <c r="AN155" i="20"/>
  <c r="AN255" i="20" s="1"/>
  <c r="AN277" i="20" s="1"/>
  <c r="AW69" i="9"/>
  <c r="AJ500" i="8"/>
  <c r="AO500" i="21" s="1"/>
  <c r="AF500" i="8"/>
  <c r="AK500" i="21" s="1"/>
  <c r="AB500" i="8"/>
  <c r="AG500" i="21" s="1"/>
  <c r="AM122" i="8" l="1"/>
  <c r="AK500" i="8"/>
  <c r="AP500" i="21" s="1"/>
  <c r="AM120" i="8"/>
  <c r="AA500" i="8"/>
  <c r="AM132" i="8"/>
  <c r="AO176" i="20"/>
  <c r="AN258" i="20"/>
  <c r="AN280" i="20" s="1"/>
  <c r="AM121" i="8"/>
  <c r="AM134" i="8"/>
  <c r="AO155" i="20"/>
  <c r="AO255" i="20" s="1"/>
  <c r="AO277" i="20" s="1"/>
  <c r="AX69" i="9"/>
  <c r="AI517" i="8"/>
  <c r="AN517" i="21" s="1"/>
  <c r="AB92" i="20" s="1"/>
  <c r="AB209" i="20" s="1"/>
  <c r="AB517" i="8"/>
  <c r="AG517" i="21" s="1"/>
  <c r="U92" i="20" s="1"/>
  <c r="U209" i="20" s="1"/>
  <c r="AK517" i="8"/>
  <c r="AP517" i="21" s="1"/>
  <c r="AD92" i="20" s="1"/>
  <c r="AD209" i="20" s="1"/>
  <c r="AL517" i="8"/>
  <c r="AQ517" i="21" s="1"/>
  <c r="AE92" i="20" s="1"/>
  <c r="AE209" i="20" s="1"/>
  <c r="R500" i="8"/>
  <c r="W500" i="21" s="1"/>
  <c r="O500" i="8"/>
  <c r="T500" i="21" s="1"/>
  <c r="W500" i="8"/>
  <c r="AB500" i="21" s="1"/>
  <c r="V500" i="8"/>
  <c r="AA500" i="21" s="1"/>
  <c r="P500" i="8"/>
  <c r="U500" i="21" s="1"/>
  <c r="R517" i="8"/>
  <c r="W517" i="21" s="1"/>
  <c r="K92" i="20" s="1"/>
  <c r="K209" i="20" s="1"/>
  <c r="S517" i="8"/>
  <c r="X517" i="21" s="1"/>
  <c r="L92" i="20" s="1"/>
  <c r="L209" i="20" s="1"/>
  <c r="T517" i="8"/>
  <c r="Y517" i="21" s="1"/>
  <c r="M92" i="20" s="1"/>
  <c r="M209" i="20" s="1"/>
  <c r="P517" i="8"/>
  <c r="U517" i="21" s="1"/>
  <c r="I92" i="20" s="1"/>
  <c r="I209" i="20" s="1"/>
  <c r="X517" i="8"/>
  <c r="AC517" i="21" s="1"/>
  <c r="Q92" i="20" s="1"/>
  <c r="Q209" i="20" s="1"/>
  <c r="U517" i="8"/>
  <c r="Z517" i="21" s="1"/>
  <c r="N92" i="20" s="1"/>
  <c r="N209" i="20" s="1"/>
  <c r="AN517" i="8"/>
  <c r="AS517" i="21" s="1"/>
  <c r="AG92" i="20" s="1"/>
  <c r="Y500" i="8"/>
  <c r="AD500" i="21" s="1"/>
  <c r="AM129" i="8" l="1"/>
  <c r="AM124" i="8"/>
  <c r="AM127" i="8"/>
  <c r="AM130" i="8"/>
  <c r="U500" i="8"/>
  <c r="Z500" i="21" s="1"/>
  <c r="Q492" i="8"/>
  <c r="V492" i="21" s="1"/>
  <c r="N483" i="8"/>
  <c r="AK483" i="8"/>
  <c r="AI483" i="8"/>
  <c r="AG483" i="8"/>
  <c r="AE483" i="8"/>
  <c r="AC483" i="8"/>
  <c r="AL483" i="8"/>
  <c r="AJ483" i="8"/>
  <c r="AH483" i="8"/>
  <c r="AF483" i="8"/>
  <c r="AD483" i="8"/>
  <c r="AB483" i="8"/>
  <c r="AK135" i="8"/>
  <c r="AA517" i="8"/>
  <c r="AL492" i="8"/>
  <c r="AQ492" i="21" s="1"/>
  <c r="AE90" i="20" s="1"/>
  <c r="AE210" i="20" s="1"/>
  <c r="AD492" i="8"/>
  <c r="AI492" i="21" s="1"/>
  <c r="W90" i="20" s="1"/>
  <c r="W210" i="20" s="1"/>
  <c r="AF492" i="8"/>
  <c r="AK492" i="21" s="1"/>
  <c r="Y90" i="20" s="1"/>
  <c r="Y210" i="20" s="1"/>
  <c r="AG492" i="8"/>
  <c r="AL492" i="21" s="1"/>
  <c r="Z90" i="20" s="1"/>
  <c r="Z210" i="20" s="1"/>
  <c r="AP155" i="20"/>
  <c r="AP255" i="20" s="1"/>
  <c r="AP277" i="20" s="1"/>
  <c r="AY69" i="9"/>
  <c r="AM123" i="8"/>
  <c r="AO258" i="20"/>
  <c r="AO280" i="20" s="1"/>
  <c r="AP176" i="20"/>
  <c r="T492" i="8"/>
  <c r="Y492" i="21" s="1"/>
  <c r="U492" i="8"/>
  <c r="Z492" i="21" s="1"/>
  <c r="N90" i="20" s="1"/>
  <c r="N210" i="20" s="1"/>
  <c r="Q500" i="8"/>
  <c r="V500" i="21" s="1"/>
  <c r="Z120" i="8"/>
  <c r="S492" i="8"/>
  <c r="X492" i="21" s="1"/>
  <c r="P492" i="8"/>
  <c r="U492" i="21" s="1"/>
  <c r="I90" i="20" s="1"/>
  <c r="I210" i="20" s="1"/>
  <c r="V492" i="8"/>
  <c r="AA492" i="21" s="1"/>
  <c r="O90" i="20" s="1"/>
  <c r="O210" i="20" s="1"/>
  <c r="N500" i="8"/>
  <c r="Z132" i="8"/>
  <c r="Z124" i="8"/>
  <c r="AI492" i="8"/>
  <c r="AN492" i="21" s="1"/>
  <c r="AB90" i="20" s="1"/>
  <c r="AB210" i="20" s="1"/>
  <c r="E10" i="32"/>
  <c r="AG209" i="20"/>
  <c r="W492" i="8"/>
  <c r="AB492" i="21" s="1"/>
  <c r="P90" i="20" s="1"/>
  <c r="P210" i="20" s="1"/>
  <c r="X500" i="8"/>
  <c r="AC500" i="21" s="1"/>
  <c r="S500" i="8"/>
  <c r="X500" i="21" s="1"/>
  <c r="T500" i="8"/>
  <c r="Y500" i="21" s="1"/>
  <c r="AD517" i="8"/>
  <c r="AI517" i="21" s="1"/>
  <c r="W92" i="20" s="1"/>
  <c r="W209" i="20" s="1"/>
  <c r="AG517" i="8"/>
  <c r="AL517" i="21" s="1"/>
  <c r="Z92" i="20" s="1"/>
  <c r="Z209" i="20" s="1"/>
  <c r="AF517" i="8"/>
  <c r="AK517" i="21" s="1"/>
  <c r="Y92" i="20" s="1"/>
  <c r="Y209" i="20" s="1"/>
  <c r="AH492" i="8"/>
  <c r="AM492" i="21" s="1"/>
  <c r="AA90" i="20" s="1"/>
  <c r="AA210" i="20" s="1"/>
  <c r="AE517" i="8"/>
  <c r="AJ517" i="21" s="1"/>
  <c r="X92" i="20" s="1"/>
  <c r="X209" i="20" s="1"/>
  <c r="AE492" i="8"/>
  <c r="AJ492" i="21" s="1"/>
  <c r="X90" i="20" s="1"/>
  <c r="X210" i="20" s="1"/>
  <c r="AH517" i="8"/>
  <c r="AM517" i="21" s="1"/>
  <c r="AA92" i="20" s="1"/>
  <c r="AA209" i="20" s="1"/>
  <c r="AC517" i="8"/>
  <c r="AH517" i="21" s="1"/>
  <c r="V92" i="20" s="1"/>
  <c r="V209" i="20" s="1"/>
  <c r="AJ517" i="8"/>
  <c r="AO517" i="21" s="1"/>
  <c r="AC92" i="20" s="1"/>
  <c r="AC209" i="20" s="1"/>
  <c r="AJ492" i="8"/>
  <c r="AO492" i="21" s="1"/>
  <c r="AC90" i="20" s="1"/>
  <c r="AB492" i="8"/>
  <c r="AG492" i="21" s="1"/>
  <c r="U90" i="20" s="1"/>
  <c r="U210" i="20" s="1"/>
  <c r="AK492" i="8"/>
  <c r="AP492" i="21" s="1"/>
  <c r="AD90" i="20" s="1"/>
  <c r="AD210" i="20" s="1"/>
  <c r="AC492" i="8"/>
  <c r="AH492" i="21" s="1"/>
  <c r="V90" i="20" s="1"/>
  <c r="V210" i="20" s="1"/>
  <c r="AE135" i="8"/>
  <c r="AF500" i="21"/>
  <c r="AR500" i="21" s="1"/>
  <c r="AM500" i="8"/>
  <c r="Y517" i="8"/>
  <c r="AD517" i="21" s="1"/>
  <c r="R92" i="20" s="1"/>
  <c r="R209" i="20" s="1"/>
  <c r="X492" i="8"/>
  <c r="AC492" i="21" s="1"/>
  <c r="Q90" i="20" s="1"/>
  <c r="Q210" i="20" s="1"/>
  <c r="V517" i="8"/>
  <c r="AA517" i="21" s="1"/>
  <c r="O92" i="20" s="1"/>
  <c r="O209" i="20" s="1"/>
  <c r="O517" i="8"/>
  <c r="T517" i="21" s="1"/>
  <c r="H92" i="20" s="1"/>
  <c r="H209" i="20" s="1"/>
  <c r="Q517" i="8"/>
  <c r="V517" i="21" s="1"/>
  <c r="J92" i="20" s="1"/>
  <c r="J209" i="20" s="1"/>
  <c r="AO517" i="8"/>
  <c r="AT517" i="21" s="1"/>
  <c r="AH92" i="20" s="1"/>
  <c r="Z122" i="8"/>
  <c r="Z130" i="8" l="1"/>
  <c r="Z126" i="8"/>
  <c r="AM128" i="8"/>
  <c r="AK575" i="8"/>
  <c r="AK69" i="8"/>
  <c r="AK73" i="8" s="1"/>
  <c r="AD67" i="29" s="1"/>
  <c r="AD69" i="29" s="1"/>
  <c r="AE571" i="8"/>
  <c r="AJ483" i="21"/>
  <c r="Y492" i="8"/>
  <c r="AD492" i="21" s="1"/>
  <c r="R90" i="20" s="1"/>
  <c r="R210" i="20" s="1"/>
  <c r="AN500" i="8"/>
  <c r="AS500" i="21" s="1"/>
  <c r="F10" i="32"/>
  <c r="AH209" i="20"/>
  <c r="W483" i="8"/>
  <c r="V483" i="8"/>
  <c r="U135" i="8"/>
  <c r="T135" i="8"/>
  <c r="AE575" i="8"/>
  <c r="AE69" i="8"/>
  <c r="AE73" i="8" s="1"/>
  <c r="X67" i="29" s="1"/>
  <c r="X69" i="29" s="1"/>
  <c r="S500" i="21"/>
  <c r="AE500" i="21" s="1"/>
  <c r="Z500" i="8"/>
  <c r="Z134" i="8"/>
  <c r="AQ176" i="20"/>
  <c r="AP258" i="20"/>
  <c r="AP280" i="20" s="1"/>
  <c r="AM125" i="8"/>
  <c r="AM517" i="8"/>
  <c r="AF517" i="21"/>
  <c r="AG483" i="21"/>
  <c r="AB571" i="8"/>
  <c r="AD571" i="8"/>
  <c r="AI483" i="21"/>
  <c r="AK483" i="21"/>
  <c r="AF571" i="8"/>
  <c r="AM483" i="21"/>
  <c r="AH571" i="8"/>
  <c r="AJ571" i="8"/>
  <c r="AO483" i="21"/>
  <c r="AQ483" i="21"/>
  <c r="AL571" i="8"/>
  <c r="Z121" i="8"/>
  <c r="J90" i="20"/>
  <c r="J210" i="20" s="1"/>
  <c r="AL135" i="8"/>
  <c r="AB135" i="8"/>
  <c r="AJ135" i="8"/>
  <c r="Z129" i="8"/>
  <c r="N517" i="8"/>
  <c r="R483" i="8"/>
  <c r="W517" i="8"/>
  <c r="AB517" i="21" s="1"/>
  <c r="P92" i="20" s="1"/>
  <c r="P209" i="20" s="1"/>
  <c r="R492" i="8"/>
  <c r="W492" i="21" s="1"/>
  <c r="K90" i="20" s="1"/>
  <c r="K210" i="20" s="1"/>
  <c r="Q135" i="8"/>
  <c r="X135" i="8"/>
  <c r="AC210" i="20"/>
  <c r="AM126" i="8"/>
  <c r="AA483" i="8"/>
  <c r="L90" i="20"/>
  <c r="L210" i="20" s="1"/>
  <c r="M90" i="20"/>
  <c r="M210" i="20" s="1"/>
  <c r="Z131" i="8"/>
  <c r="AQ155" i="20"/>
  <c r="AQ255" i="20" s="1"/>
  <c r="AQ277" i="20" s="1"/>
  <c r="AM133" i="8"/>
  <c r="AC571" i="8"/>
  <c r="AH483" i="21"/>
  <c r="AL483" i="21"/>
  <c r="AG571" i="8"/>
  <c r="AI571" i="8"/>
  <c r="AN483" i="21"/>
  <c r="AK571" i="8"/>
  <c r="AK576" i="8" s="1"/>
  <c r="AP483" i="21"/>
  <c r="S483" i="21"/>
  <c r="AD135" i="8"/>
  <c r="AH135" i="8"/>
  <c r="AI135" i="8"/>
  <c r="AC135" i="8"/>
  <c r="AF135" i="8"/>
  <c r="AG135" i="8"/>
  <c r="AO500" i="8"/>
  <c r="AT500" i="21" s="1"/>
  <c r="AN492" i="8"/>
  <c r="AS492" i="21" s="1"/>
  <c r="AG90" i="20" s="1"/>
  <c r="AE576" i="8" l="1"/>
  <c r="Z127" i="8"/>
  <c r="X575" i="8"/>
  <c r="X69" i="8"/>
  <c r="X73" i="8" s="1"/>
  <c r="Q67" i="29" s="1"/>
  <c r="Q69" i="29" s="1"/>
  <c r="Q575" i="8"/>
  <c r="Q69" i="8"/>
  <c r="Q73" i="8" s="1"/>
  <c r="J67" i="29" s="1"/>
  <c r="J69" i="29" s="1"/>
  <c r="R571" i="8"/>
  <c r="W483" i="21"/>
  <c r="W571" i="8"/>
  <c r="AB483" i="21"/>
  <c r="AN483" i="8"/>
  <c r="AG69" i="8"/>
  <c r="AG73" i="8" s="1"/>
  <c r="Z67" i="29" s="1"/>
  <c r="Z69" i="29" s="1"/>
  <c r="AG575" i="8"/>
  <c r="AC575" i="8"/>
  <c r="AC69" i="8"/>
  <c r="AC73" i="8" s="1"/>
  <c r="V67" i="29" s="1"/>
  <c r="V69" i="29" s="1"/>
  <c r="AH575" i="8"/>
  <c r="AH576" i="8" s="1"/>
  <c r="AH69" i="8"/>
  <c r="AH73" i="8" s="1"/>
  <c r="AA67" i="29" s="1"/>
  <c r="AA69" i="29" s="1"/>
  <c r="G91" i="20"/>
  <c r="G207" i="20"/>
  <c r="Z207" i="20"/>
  <c r="Z91" i="20"/>
  <c r="Z100" i="20" s="1"/>
  <c r="AC576" i="8"/>
  <c r="Z517" i="8"/>
  <c r="S517" i="21"/>
  <c r="AB575" i="8"/>
  <c r="AB576" i="8" s="1"/>
  <c r="AB69" i="8"/>
  <c r="AB73" i="8" s="1"/>
  <c r="U67" i="29" s="1"/>
  <c r="U69" i="29" s="1"/>
  <c r="AC91" i="20"/>
  <c r="AC100" i="20" s="1"/>
  <c r="AC207" i="20"/>
  <c r="W207" i="20"/>
  <c r="W91" i="20"/>
  <c r="W100" i="20" s="1"/>
  <c r="T483" i="8"/>
  <c r="X483" i="8"/>
  <c r="P483" i="8"/>
  <c r="Q483" i="8"/>
  <c r="AM131" i="8"/>
  <c r="AA492" i="8"/>
  <c r="AA135" i="8"/>
  <c r="X91" i="20"/>
  <c r="X100" i="20" s="1"/>
  <c r="X207" i="20"/>
  <c r="U483" i="8"/>
  <c r="Z128" i="8"/>
  <c r="N135" i="8"/>
  <c r="N492" i="8"/>
  <c r="AG210" i="20"/>
  <c r="E8" i="32"/>
  <c r="AO492" i="8"/>
  <c r="AT492" i="21" s="1"/>
  <c r="AH90" i="20" s="1"/>
  <c r="AF575" i="8"/>
  <c r="AF576" i="8" s="1"/>
  <c r="AF69" i="8"/>
  <c r="AF73" i="8" s="1"/>
  <c r="Y67" i="29" s="1"/>
  <c r="Y69" i="29" s="1"/>
  <c r="AI575" i="8"/>
  <c r="AI576" i="8" s="1"/>
  <c r="AI69" i="8"/>
  <c r="AI73" i="8" s="1"/>
  <c r="AB67" i="29" s="1"/>
  <c r="AB69" i="29" s="1"/>
  <c r="AD575" i="8"/>
  <c r="AD576" i="8" s="1"/>
  <c r="AD69" i="8"/>
  <c r="AD73" i="8" s="1"/>
  <c r="W67" i="29" s="1"/>
  <c r="W69" i="29" s="1"/>
  <c r="AD91" i="20"/>
  <c r="AD100" i="20" s="1"/>
  <c r="AD207" i="20"/>
  <c r="AB91" i="20"/>
  <c r="AB100" i="20" s="1"/>
  <c r="AB207" i="20"/>
  <c r="AG576" i="8"/>
  <c r="V207" i="20"/>
  <c r="V91" i="20"/>
  <c r="V100" i="20" s="1"/>
  <c r="AF483" i="21"/>
  <c r="AM483" i="8"/>
  <c r="Y483" i="8"/>
  <c r="Y135" i="8"/>
  <c r="Z133" i="8"/>
  <c r="S483" i="8"/>
  <c r="S135" i="8"/>
  <c r="AJ575" i="8"/>
  <c r="AJ576" i="8" s="1"/>
  <c r="AJ69" i="8"/>
  <c r="AJ73" i="8" s="1"/>
  <c r="AC67" i="29" s="1"/>
  <c r="AC69" i="29" s="1"/>
  <c r="AL575" i="8"/>
  <c r="AL576" i="8" s="1"/>
  <c r="AL69" i="8"/>
  <c r="AL73" i="8" s="1"/>
  <c r="AE67" i="29" s="1"/>
  <c r="AE69" i="29" s="1"/>
  <c r="AE207" i="20"/>
  <c r="AE91" i="20"/>
  <c r="AE100" i="20" s="1"/>
  <c r="AA91" i="20"/>
  <c r="AA100" i="20" s="1"/>
  <c r="AA207" i="20"/>
  <c r="Y207" i="20"/>
  <c r="Y91" i="20"/>
  <c r="Y100" i="20" s="1"/>
  <c r="U91" i="20"/>
  <c r="U100" i="20" s="1"/>
  <c r="U207" i="20"/>
  <c r="AR517" i="21"/>
  <c r="T92" i="20"/>
  <c r="AM135" i="8"/>
  <c r="AM69" i="8" s="1"/>
  <c r="AM73" i="8" s="1"/>
  <c r="AQ258" i="20"/>
  <c r="AQ280" i="20" s="1"/>
  <c r="W135" i="8"/>
  <c r="P135" i="8"/>
  <c r="R135" i="8"/>
  <c r="X80" i="29"/>
  <c r="X87" i="29" s="1"/>
  <c r="AD60" i="3" s="1"/>
  <c r="X82" i="29"/>
  <c r="X89" i="29" s="1"/>
  <c r="AD27" i="5"/>
  <c r="AD29" i="5" s="1"/>
  <c r="AD31" i="5" s="1"/>
  <c r="X79" i="29"/>
  <c r="X81" i="29"/>
  <c r="X88" i="29" s="1"/>
  <c r="T575" i="8"/>
  <c r="T69" i="8"/>
  <c r="T73" i="8" s="1"/>
  <c r="M67" i="29" s="1"/>
  <c r="M69" i="29" s="1"/>
  <c r="U69" i="8"/>
  <c r="U73" i="8" s="1"/>
  <c r="N67" i="29" s="1"/>
  <c r="N69" i="29" s="1"/>
  <c r="U575" i="8"/>
  <c r="V571" i="8"/>
  <c r="AA483" i="21"/>
  <c r="AJ27" i="5"/>
  <c r="AJ29" i="5" s="1"/>
  <c r="AJ31" i="5" s="1"/>
  <c r="AD81" i="29"/>
  <c r="AD88" i="29" s="1"/>
  <c r="AD79" i="29"/>
  <c r="AD80" i="29"/>
  <c r="AD87" i="29" s="1"/>
  <c r="AJ60" i="3" s="1"/>
  <c r="AD82" i="29"/>
  <c r="AD89" i="29" s="1"/>
  <c r="V135" i="8"/>
  <c r="AO135" i="8"/>
  <c r="AN135" i="8" l="1"/>
  <c r="AH210" i="20"/>
  <c r="F8" i="32"/>
  <c r="AO69" i="8"/>
  <c r="AO73" i="8" s="1"/>
  <c r="AH67" i="29" s="1"/>
  <c r="AH69" i="29" s="1"/>
  <c r="AO575" i="8"/>
  <c r="AD83" i="29"/>
  <c r="AD90" i="29" s="1"/>
  <c r="AD86" i="29"/>
  <c r="AJ40" i="3" s="1"/>
  <c r="AJ42" i="5"/>
  <c r="AJ43" i="5" s="1"/>
  <c r="AJ48" i="5"/>
  <c r="AJ49" i="5" s="1"/>
  <c r="AJ38" i="5"/>
  <c r="AJ39" i="5" s="1"/>
  <c r="T27" i="5"/>
  <c r="T29" i="5" s="1"/>
  <c r="T31" i="5" s="1"/>
  <c r="N80" i="29"/>
  <c r="N87" i="29" s="1"/>
  <c r="T60" i="3" s="1"/>
  <c r="N81" i="29"/>
  <c r="N88" i="29" s="1"/>
  <c r="N79" i="29"/>
  <c r="N82" i="29"/>
  <c r="N89" i="29" s="1"/>
  <c r="X83" i="29"/>
  <c r="X90" i="29" s="1"/>
  <c r="X86" i="29"/>
  <c r="AD40" i="3" s="1"/>
  <c r="R575" i="8"/>
  <c r="R69" i="8"/>
  <c r="R73" i="8" s="1"/>
  <c r="K67" i="29" s="1"/>
  <c r="K69" i="29" s="1"/>
  <c r="W575" i="8"/>
  <c r="W69" i="8"/>
  <c r="W73" i="8" s="1"/>
  <c r="P67" i="29" s="1"/>
  <c r="P69" i="29" s="1"/>
  <c r="AF92" i="20"/>
  <c r="D10" i="32" s="1"/>
  <c r="T209" i="20"/>
  <c r="AF209" i="20" s="1"/>
  <c r="Y116" i="20"/>
  <c r="Y174" i="20"/>
  <c r="AE116" i="20"/>
  <c r="AE174" i="20"/>
  <c r="AE81" i="29"/>
  <c r="AE88" i="29" s="1"/>
  <c r="AE79" i="29"/>
  <c r="AK27" i="5"/>
  <c r="AK29" i="5" s="1"/>
  <c r="AK31" i="5" s="1"/>
  <c r="AE80" i="29"/>
  <c r="AE87" i="29" s="1"/>
  <c r="AK60" i="3" s="1"/>
  <c r="AE82" i="29"/>
  <c r="AE89" i="29" s="1"/>
  <c r="AI27" i="5"/>
  <c r="AI29" i="5" s="1"/>
  <c r="AI31" i="5" s="1"/>
  <c r="AC80" i="29"/>
  <c r="AC87" i="29" s="1"/>
  <c r="AI60" i="3" s="1"/>
  <c r="AC79" i="29"/>
  <c r="AC82" i="29"/>
  <c r="AC89" i="29" s="1"/>
  <c r="AC81" i="29"/>
  <c r="AC88" i="29" s="1"/>
  <c r="S575" i="8"/>
  <c r="S69" i="8"/>
  <c r="S73" i="8" s="1"/>
  <c r="L67" i="29" s="1"/>
  <c r="L69" i="29" s="1"/>
  <c r="Y571" i="8"/>
  <c r="AD483" i="21"/>
  <c r="AR483" i="21"/>
  <c r="T207" i="20"/>
  <c r="T91" i="20"/>
  <c r="AF91" i="20" s="1"/>
  <c r="AC27" i="5"/>
  <c r="AC29" i="5" s="1"/>
  <c r="AC31" i="5" s="1"/>
  <c r="W81" i="29"/>
  <c r="W88" i="29" s="1"/>
  <c r="W80" i="29"/>
  <c r="W87" i="29" s="1"/>
  <c r="AC60" i="3" s="1"/>
  <c r="W82" i="29"/>
  <c r="W89" i="29" s="1"/>
  <c r="W79" i="29"/>
  <c r="AB79" i="29"/>
  <c r="AB81" i="29"/>
  <c r="AB88" i="29" s="1"/>
  <c r="AH27" i="5"/>
  <c r="AH29" i="5" s="1"/>
  <c r="AH31" i="5" s="1"/>
  <c r="AB82" i="29"/>
  <c r="AB89" i="29" s="1"/>
  <c r="AB80" i="29"/>
  <c r="AB87" i="29" s="1"/>
  <c r="AH60" i="3" s="1"/>
  <c r="AE27" i="5"/>
  <c r="AE29" i="5" s="1"/>
  <c r="AE31" i="5" s="1"/>
  <c r="Y82" i="29"/>
  <c r="Y89" i="29" s="1"/>
  <c r="Y79" i="29"/>
  <c r="Y81" i="29"/>
  <c r="Y88" i="29" s="1"/>
  <c r="Y80" i="29"/>
  <c r="Y87" i="29" s="1"/>
  <c r="AE60" i="3" s="1"/>
  <c r="O492" i="8"/>
  <c r="T492" i="21" s="1"/>
  <c r="H90" i="20" s="1"/>
  <c r="Z125" i="8"/>
  <c r="N575" i="8"/>
  <c r="N69" i="8"/>
  <c r="N73" i="8" s="1"/>
  <c r="G67" i="29" s="1"/>
  <c r="G69" i="29" s="1"/>
  <c r="U571" i="8"/>
  <c r="U576" i="8" s="1"/>
  <c r="Z483" i="21"/>
  <c r="X116" i="20"/>
  <c r="X174" i="20"/>
  <c r="AA571" i="8"/>
  <c r="AF492" i="21"/>
  <c r="AM492" i="8"/>
  <c r="Q571" i="8"/>
  <c r="Q576" i="8" s="1"/>
  <c r="V483" i="21"/>
  <c r="X571" i="8"/>
  <c r="X576" i="8" s="1"/>
  <c r="AC483" i="21"/>
  <c r="W116" i="20"/>
  <c r="W174" i="20"/>
  <c r="Z116" i="20"/>
  <c r="Z174" i="20"/>
  <c r="AG27" i="5"/>
  <c r="AG29" i="5" s="1"/>
  <c r="AG31" i="5" s="1"/>
  <c r="AA80" i="29"/>
  <c r="AA87" i="29" s="1"/>
  <c r="AG60" i="3" s="1"/>
  <c r="AA79" i="29"/>
  <c r="AA81" i="29"/>
  <c r="AA88" i="29" s="1"/>
  <c r="AA82" i="29"/>
  <c r="AA89" i="29" s="1"/>
  <c r="V80" i="29"/>
  <c r="V87" i="29" s="1"/>
  <c r="AB60" i="3" s="1"/>
  <c r="V81" i="29"/>
  <c r="V88" i="29" s="1"/>
  <c r="AB27" i="5"/>
  <c r="AB29" i="5" s="1"/>
  <c r="AB31" i="5" s="1"/>
  <c r="V79" i="29"/>
  <c r="V82" i="29"/>
  <c r="V89" i="29" s="1"/>
  <c r="AS483" i="21"/>
  <c r="AN571" i="8"/>
  <c r="AO483" i="8"/>
  <c r="P207" i="20"/>
  <c r="P91" i="20"/>
  <c r="P100" i="20" s="1"/>
  <c r="K207" i="20"/>
  <c r="K91" i="20"/>
  <c r="K100" i="20" s="1"/>
  <c r="P27" i="5"/>
  <c r="P29" i="5" s="1"/>
  <c r="P31" i="5" s="1"/>
  <c r="J81" i="29"/>
  <c r="J88" i="29" s="1"/>
  <c r="J82" i="29"/>
  <c r="J89" i="29" s="1"/>
  <c r="J79" i="29"/>
  <c r="J80" i="29"/>
  <c r="J87" i="29" s="1"/>
  <c r="P60" i="3" s="1"/>
  <c r="Q79" i="29"/>
  <c r="Q81" i="29"/>
  <c r="Q88" i="29" s="1"/>
  <c r="W27" i="5"/>
  <c r="W29" i="5" s="1"/>
  <c r="W31" i="5" s="1"/>
  <c r="Q80" i="29"/>
  <c r="Q87" i="29" s="1"/>
  <c r="W60" i="3" s="1"/>
  <c r="Q82" i="29"/>
  <c r="Q89" i="29" s="1"/>
  <c r="V575" i="8"/>
  <c r="V576" i="8" s="1"/>
  <c r="V69" i="8"/>
  <c r="V73" i="8" s="1"/>
  <c r="O67" i="29" s="1"/>
  <c r="O69" i="29" s="1"/>
  <c r="AJ199" i="3"/>
  <c r="AD49" i="20" s="1"/>
  <c r="AK37" i="18" s="1"/>
  <c r="AJ62" i="3"/>
  <c r="AD76" i="20"/>
  <c r="AJ75" i="3"/>
  <c r="O207" i="20"/>
  <c r="O91" i="20"/>
  <c r="O100" i="20" s="1"/>
  <c r="M82" i="29"/>
  <c r="M89" i="29" s="1"/>
  <c r="M80" i="29"/>
  <c r="M87" i="29" s="1"/>
  <c r="S60" i="3" s="1"/>
  <c r="S27" i="5"/>
  <c r="S29" i="5" s="1"/>
  <c r="S31" i="5" s="1"/>
  <c r="M81" i="29"/>
  <c r="M88" i="29" s="1"/>
  <c r="M79" i="29"/>
  <c r="X76" i="20"/>
  <c r="AD75" i="3"/>
  <c r="AD42" i="5"/>
  <c r="AD43" i="5" s="1"/>
  <c r="AD38" i="5"/>
  <c r="AD39" i="5" s="1"/>
  <c r="AD48" i="5"/>
  <c r="AD49" i="5" s="1"/>
  <c r="AD199" i="3"/>
  <c r="X49" i="20" s="1"/>
  <c r="AD62" i="3"/>
  <c r="P575" i="8"/>
  <c r="P69" i="8"/>
  <c r="P73" i="8" s="1"/>
  <c r="I67" i="29" s="1"/>
  <c r="I69" i="29" s="1"/>
  <c r="U116" i="20"/>
  <c r="U174" i="20"/>
  <c r="AA116" i="20"/>
  <c r="AA174" i="20"/>
  <c r="S571" i="8"/>
  <c r="S576" i="8" s="1"/>
  <c r="X483" i="21"/>
  <c r="Y575" i="8"/>
  <c r="Y69" i="8"/>
  <c r="Y73" i="8" s="1"/>
  <c r="R67" i="29" s="1"/>
  <c r="R69" i="29" s="1"/>
  <c r="V116" i="20"/>
  <c r="V174" i="20"/>
  <c r="AB116" i="20"/>
  <c r="AB174" i="20"/>
  <c r="AD116" i="20"/>
  <c r="AD174" i="20"/>
  <c r="S492" i="21"/>
  <c r="Z492" i="8"/>
  <c r="N571" i="8"/>
  <c r="AA575" i="8"/>
  <c r="AM575" i="8" s="1"/>
  <c r="AA69" i="8"/>
  <c r="AA73" i="8" s="1"/>
  <c r="T67" i="29" s="1"/>
  <c r="P571" i="8"/>
  <c r="P576" i="8" s="1"/>
  <c r="U483" i="21"/>
  <c r="T571" i="8"/>
  <c r="T576" i="8" s="1"/>
  <c r="Y483" i="21"/>
  <c r="AC116" i="20"/>
  <c r="AC174" i="20"/>
  <c r="U79" i="29"/>
  <c r="U82" i="29"/>
  <c r="U89" i="29" s="1"/>
  <c r="AA27" i="5"/>
  <c r="AA29" i="5" s="1"/>
  <c r="AA31" i="5" s="1"/>
  <c r="U80" i="29"/>
  <c r="U87" i="29" s="1"/>
  <c r="AA60" i="3" s="1"/>
  <c r="U81" i="29"/>
  <c r="U88" i="29" s="1"/>
  <c r="AE517" i="21"/>
  <c r="G92" i="20"/>
  <c r="AF27" i="5"/>
  <c r="AF29" i="5" s="1"/>
  <c r="AF31" i="5" s="1"/>
  <c r="Z81" i="29"/>
  <c r="Z88" i="29" s="1"/>
  <c r="Z80" i="29"/>
  <c r="Z87" i="29" s="1"/>
  <c r="AF60" i="3" s="1"/>
  <c r="Z82" i="29"/>
  <c r="Z89" i="29" s="1"/>
  <c r="Z79" i="29"/>
  <c r="AN575" i="8"/>
  <c r="AN576" i="8" s="1"/>
  <c r="AN69" i="8"/>
  <c r="AN73" i="8" s="1"/>
  <c r="AG67" i="29" s="1"/>
  <c r="AG69" i="29" s="1"/>
  <c r="W576" i="8"/>
  <c r="R576" i="8"/>
  <c r="Z76" i="20" l="1"/>
  <c r="AF75" i="3"/>
  <c r="AA62" i="3"/>
  <c r="AA199" i="3"/>
  <c r="U49" i="20" s="1"/>
  <c r="AC257" i="20"/>
  <c r="M207" i="20"/>
  <c r="M91" i="20"/>
  <c r="M100" i="20" s="1"/>
  <c r="I207" i="20"/>
  <c r="I91" i="20"/>
  <c r="I100" i="20" s="1"/>
  <c r="T69" i="29"/>
  <c r="AF67" i="29"/>
  <c r="N576" i="8"/>
  <c r="AE492" i="21"/>
  <c r="G90" i="20"/>
  <c r="AJ99" i="3"/>
  <c r="AJ229" i="3" s="1"/>
  <c r="AD336" i="20"/>
  <c r="AD338" i="20" s="1"/>
  <c r="AD341" i="20" s="1"/>
  <c r="AD342" i="20" s="1"/>
  <c r="AH99" i="3"/>
  <c r="AH229" i="3" s="1"/>
  <c r="AB336" i="20"/>
  <c r="AB338" i="20" s="1"/>
  <c r="AB341" i="20" s="1"/>
  <c r="AB342" i="20" s="1"/>
  <c r="V336" i="20"/>
  <c r="V338" i="20" s="1"/>
  <c r="V341" i="20" s="1"/>
  <c r="V342" i="20" s="1"/>
  <c r="AB99" i="3"/>
  <c r="AB229" i="3" s="1"/>
  <c r="AG99" i="3"/>
  <c r="AG229" i="3" s="1"/>
  <c r="AA336" i="20"/>
  <c r="AA338" i="20" s="1"/>
  <c r="AA341" i="20" s="1"/>
  <c r="AA342" i="20" s="1"/>
  <c r="AA99" i="3"/>
  <c r="AA229" i="3" s="1"/>
  <c r="U336" i="20"/>
  <c r="U338" i="20" s="1"/>
  <c r="U341" i="20" s="1"/>
  <c r="U342" i="20" s="1"/>
  <c r="AE37" i="18"/>
  <c r="AD211" i="3"/>
  <c r="AD79" i="3"/>
  <c r="AD90" i="3" s="1"/>
  <c r="M86" i="29"/>
  <c r="S40" i="3" s="1"/>
  <c r="M83" i="29"/>
  <c r="M90" i="29" s="1"/>
  <c r="S48" i="5"/>
  <c r="S49" i="5" s="1"/>
  <c r="S42" i="5"/>
  <c r="S43" i="5" s="1"/>
  <c r="S38" i="5"/>
  <c r="S39" i="5" s="1"/>
  <c r="W62" i="3"/>
  <c r="W199" i="3"/>
  <c r="Q49" i="20" s="1"/>
  <c r="Q76" i="20"/>
  <c r="W75" i="3"/>
  <c r="P62" i="3"/>
  <c r="P199" i="3"/>
  <c r="J49" i="20" s="1"/>
  <c r="Q37" i="18" s="1"/>
  <c r="P42" i="5"/>
  <c r="P43" i="5" s="1"/>
  <c r="P38" i="5"/>
  <c r="P39" i="5" s="1"/>
  <c r="P48" i="5"/>
  <c r="P49" i="5" s="1"/>
  <c r="AB48" i="5"/>
  <c r="AB49" i="5" s="1"/>
  <c r="AB38" i="5"/>
  <c r="AB39" i="5" s="1"/>
  <c r="AB42" i="5"/>
  <c r="AB43" i="5" s="1"/>
  <c r="AB62" i="3"/>
  <c r="AB199" i="3"/>
  <c r="V49" i="20" s="1"/>
  <c r="AA76" i="20"/>
  <c r="AG75" i="3"/>
  <c r="AG199" i="3"/>
  <c r="AA49" i="20" s="1"/>
  <c r="AG62" i="3"/>
  <c r="Z336" i="20"/>
  <c r="Z338" i="20" s="1"/>
  <c r="Z341" i="20" s="1"/>
  <c r="Z342" i="20" s="1"/>
  <c r="AF99" i="3"/>
  <c r="AF229" i="3" s="1"/>
  <c r="AC99" i="3"/>
  <c r="AC229" i="3" s="1"/>
  <c r="W336" i="20"/>
  <c r="W338" i="20" s="1"/>
  <c r="W341" i="20" s="1"/>
  <c r="W342" i="20" s="1"/>
  <c r="AR492" i="21"/>
  <c r="T90" i="20"/>
  <c r="X257" i="20"/>
  <c r="N91" i="20"/>
  <c r="N100" i="20" s="1"/>
  <c r="N207" i="20"/>
  <c r="G81" i="29"/>
  <c r="G88" i="29" s="1"/>
  <c r="G82" i="29"/>
  <c r="G89" i="29" s="1"/>
  <c r="M27" i="5"/>
  <c r="G79" i="29"/>
  <c r="G80" i="29"/>
  <c r="G87" i="29" s="1"/>
  <c r="M60" i="3" s="1"/>
  <c r="AE62" i="3"/>
  <c r="AE199" i="3"/>
  <c r="Y49" i="20" s="1"/>
  <c r="Y83" i="29"/>
  <c r="Y90" i="29" s="1"/>
  <c r="Y86" i="29"/>
  <c r="AE40" i="3" s="1"/>
  <c r="AE48" i="5"/>
  <c r="AE49" i="5" s="1"/>
  <c r="AE38" i="5"/>
  <c r="AE39" i="5" s="1"/>
  <c r="AE42" i="5"/>
  <c r="AE43" i="5" s="1"/>
  <c r="AB76" i="20"/>
  <c r="AH75" i="3"/>
  <c r="W86" i="29"/>
  <c r="AC40" i="3" s="1"/>
  <c r="W83" i="29"/>
  <c r="W90" i="29" s="1"/>
  <c r="AC199" i="3"/>
  <c r="W49" i="20" s="1"/>
  <c r="AC62" i="3"/>
  <c r="AC38" i="5"/>
  <c r="AC39" i="5" s="1"/>
  <c r="AC48" i="5"/>
  <c r="AC49" i="5" s="1"/>
  <c r="AC42" i="5"/>
  <c r="AC43" i="5" s="1"/>
  <c r="AF207" i="20"/>
  <c r="R91" i="20"/>
  <c r="R100" i="20" s="1"/>
  <c r="R207" i="20"/>
  <c r="R27" i="5"/>
  <c r="R29" i="5" s="1"/>
  <c r="R31" i="5" s="1"/>
  <c r="L79" i="29"/>
  <c r="L81" i="29"/>
  <c r="L88" i="29" s="1"/>
  <c r="L80" i="29"/>
  <c r="L87" i="29" s="1"/>
  <c r="R60" i="3" s="1"/>
  <c r="L82" i="29"/>
  <c r="L89" i="29" s="1"/>
  <c r="AC76" i="20"/>
  <c r="AI75" i="3"/>
  <c r="AC83" i="29"/>
  <c r="AC90" i="29" s="1"/>
  <c r="AC86" i="29"/>
  <c r="AI40" i="3" s="1"/>
  <c r="AI38" i="5"/>
  <c r="AI39" i="5" s="1"/>
  <c r="AI42" i="5"/>
  <c r="AI43" i="5" s="1"/>
  <c r="AI48" i="5"/>
  <c r="AI49" i="5" s="1"/>
  <c r="AK62" i="3"/>
  <c r="AK199" i="3"/>
  <c r="AE49" i="20" s="1"/>
  <c r="AL37" i="18" s="1"/>
  <c r="AE86" i="29"/>
  <c r="AK40" i="3" s="1"/>
  <c r="AE83" i="29"/>
  <c r="AE90" i="29" s="1"/>
  <c r="AE257" i="20"/>
  <c r="AF174" i="20"/>
  <c r="Y257" i="20"/>
  <c r="V27" i="5"/>
  <c r="V29" i="5" s="1"/>
  <c r="V31" i="5" s="1"/>
  <c r="P81" i="29"/>
  <c r="P88" i="29" s="1"/>
  <c r="P82" i="29"/>
  <c r="P89" i="29" s="1"/>
  <c r="P80" i="29"/>
  <c r="P87" i="29" s="1"/>
  <c r="V60" i="3" s="1"/>
  <c r="P79" i="29"/>
  <c r="K81" i="29"/>
  <c r="K88" i="29" s="1"/>
  <c r="K79" i="29"/>
  <c r="Q27" i="5"/>
  <c r="Q29" i="5" s="1"/>
  <c r="Q31" i="5" s="1"/>
  <c r="K82" i="29"/>
  <c r="K89" i="29" s="1"/>
  <c r="K80" i="29"/>
  <c r="K87" i="29" s="1"/>
  <c r="Q60" i="3" s="1"/>
  <c r="AD179" i="3"/>
  <c r="X31" i="20" s="1"/>
  <c r="AD42" i="3"/>
  <c r="T75" i="3"/>
  <c r="N76" i="20"/>
  <c r="T42" i="5"/>
  <c r="T43" i="5" s="1"/>
  <c r="T48" i="5"/>
  <c r="T49" i="5" s="1"/>
  <c r="T38" i="5"/>
  <c r="T39" i="5" s="1"/>
  <c r="AH82" i="29"/>
  <c r="AH89" i="29" s="1"/>
  <c r="AH81" i="29"/>
  <c r="AH88" i="29" s="1"/>
  <c r="AN27" i="5"/>
  <c r="AN29" i="5" s="1"/>
  <c r="AN31" i="5" s="1"/>
  <c r="AH79" i="29"/>
  <c r="AH80" i="29"/>
  <c r="AH87" i="29" s="1"/>
  <c r="AN60" i="3" s="1"/>
  <c r="AG80" i="29"/>
  <c r="AG87" i="29" s="1"/>
  <c r="AM60" i="3" s="1"/>
  <c r="AG81" i="29"/>
  <c r="AG88" i="29" s="1"/>
  <c r="AM27" i="5"/>
  <c r="AM29" i="5" s="1"/>
  <c r="AM31" i="5" s="1"/>
  <c r="AG79" i="29"/>
  <c r="AG82" i="29"/>
  <c r="AG89" i="29" s="1"/>
  <c r="Z83" i="29"/>
  <c r="Z90" i="29" s="1"/>
  <c r="Z86" i="29"/>
  <c r="AF40" i="3" s="1"/>
  <c r="AF62" i="3"/>
  <c r="AF199" i="3"/>
  <c r="Z49" i="20" s="1"/>
  <c r="AF42" i="5"/>
  <c r="AF43" i="5" s="1"/>
  <c r="AF48" i="5"/>
  <c r="AF49" i="5" s="1"/>
  <c r="AF38" i="5"/>
  <c r="AF39" i="5" s="1"/>
  <c r="G209" i="20"/>
  <c r="S92" i="20"/>
  <c r="C10" i="32" s="1"/>
  <c r="U76" i="20"/>
  <c r="AA75" i="3"/>
  <c r="AA42" i="5"/>
  <c r="AA43" i="5" s="1"/>
  <c r="AA38" i="5"/>
  <c r="AA39" i="5" s="1"/>
  <c r="AA48" i="5"/>
  <c r="AA49" i="5" s="1"/>
  <c r="U83" i="29"/>
  <c r="U90" i="29" s="1"/>
  <c r="U86" i="29"/>
  <c r="AA40" i="3" s="1"/>
  <c r="AC336" i="20"/>
  <c r="AC338" i="20" s="1"/>
  <c r="AC341" i="20" s="1"/>
  <c r="AC342" i="20" s="1"/>
  <c r="AI99" i="3"/>
  <c r="AI229" i="3" s="1"/>
  <c r="AD257" i="20"/>
  <c r="AB257" i="20"/>
  <c r="V257" i="20"/>
  <c r="R82" i="29"/>
  <c r="R89" i="29" s="1"/>
  <c r="R79" i="29"/>
  <c r="X27" i="5"/>
  <c r="X29" i="5" s="1"/>
  <c r="X31" i="5" s="1"/>
  <c r="R81" i="29"/>
  <c r="R88" i="29" s="1"/>
  <c r="R80" i="29"/>
  <c r="R87" i="29" s="1"/>
  <c r="X60" i="3" s="1"/>
  <c r="L207" i="20"/>
  <c r="L91" i="20"/>
  <c r="L100" i="20" s="1"/>
  <c r="AA257" i="20"/>
  <c r="I81" i="29"/>
  <c r="I88" i="29" s="1"/>
  <c r="I79" i="29"/>
  <c r="O27" i="5"/>
  <c r="O29" i="5" s="1"/>
  <c r="O31" i="5" s="1"/>
  <c r="I82" i="29"/>
  <c r="I89" i="29" s="1"/>
  <c r="I80" i="29"/>
  <c r="I87" i="29" s="1"/>
  <c r="O60" i="3" s="1"/>
  <c r="AD201" i="3"/>
  <c r="M76" i="20"/>
  <c r="S75" i="3"/>
  <c r="S199" i="3"/>
  <c r="M49" i="20" s="1"/>
  <c r="T37" i="18" s="1"/>
  <c r="S62" i="3"/>
  <c r="O116" i="20"/>
  <c r="O174" i="20"/>
  <c r="AJ211" i="3"/>
  <c r="AJ79" i="3"/>
  <c r="AJ90" i="3" s="1"/>
  <c r="AJ201" i="3"/>
  <c r="U27" i="5"/>
  <c r="U29" i="5" s="1"/>
  <c r="U31" i="5" s="1"/>
  <c r="O81" i="29"/>
  <c r="O88" i="29" s="1"/>
  <c r="O82" i="29"/>
  <c r="O89" i="29" s="1"/>
  <c r="O79" i="29"/>
  <c r="O80" i="29"/>
  <c r="O87" i="29" s="1"/>
  <c r="U60" i="3" s="1"/>
  <c r="W42" i="5"/>
  <c r="W43" i="5" s="1"/>
  <c r="W48" i="5"/>
  <c r="W49" i="5" s="1"/>
  <c r="W38" i="5"/>
  <c r="W39" i="5" s="1"/>
  <c r="Q86" i="29"/>
  <c r="W40" i="3" s="1"/>
  <c r="Q83" i="29"/>
  <c r="Q90" i="29" s="1"/>
  <c r="J86" i="29"/>
  <c r="P40" i="3" s="1"/>
  <c r="J83" i="29"/>
  <c r="J90" i="29" s="1"/>
  <c r="J76" i="20"/>
  <c r="P75" i="3"/>
  <c r="K116" i="20"/>
  <c r="K174" i="20"/>
  <c r="P116" i="20"/>
  <c r="P174" i="20"/>
  <c r="AT483" i="21"/>
  <c r="AO571" i="8"/>
  <c r="AO576" i="8" s="1"/>
  <c r="AG91" i="20"/>
  <c r="AG207" i="20"/>
  <c r="V86" i="29"/>
  <c r="AB40" i="3" s="1"/>
  <c r="V83" i="29"/>
  <c r="V90" i="29" s="1"/>
  <c r="V76" i="20"/>
  <c r="AB75" i="3"/>
  <c r="AA86" i="29"/>
  <c r="AG40" i="3" s="1"/>
  <c r="AA83" i="29"/>
  <c r="AA90" i="29" s="1"/>
  <c r="AG42" i="5"/>
  <c r="AG43" i="5" s="1"/>
  <c r="AG48" i="5"/>
  <c r="AG49" i="5" s="1"/>
  <c r="AG38" i="5"/>
  <c r="AG39" i="5" s="1"/>
  <c r="Z257" i="20"/>
  <c r="W257" i="20"/>
  <c r="Q207" i="20"/>
  <c r="Q91" i="20"/>
  <c r="Q100" i="20" s="1"/>
  <c r="J207" i="20"/>
  <c r="J91" i="20"/>
  <c r="J100" i="20" s="1"/>
  <c r="AM571" i="8"/>
  <c r="AA576" i="8"/>
  <c r="AM576" i="8" s="1"/>
  <c r="AD99" i="3"/>
  <c r="AD229" i="3" s="1"/>
  <c r="X336" i="20"/>
  <c r="X338" i="20" s="1"/>
  <c r="X341" i="20" s="1"/>
  <c r="X342" i="20" s="1"/>
  <c r="H210" i="20"/>
  <c r="Y76" i="20"/>
  <c r="AE75" i="3"/>
  <c r="AH62" i="3"/>
  <c r="AH199" i="3"/>
  <c r="AB49" i="20" s="1"/>
  <c r="AI37" i="18" s="1"/>
  <c r="AH42" i="5"/>
  <c r="AH43" i="5" s="1"/>
  <c r="AH38" i="5"/>
  <c r="AH39" i="5" s="1"/>
  <c r="AH48" i="5"/>
  <c r="AH49" i="5" s="1"/>
  <c r="AB83" i="29"/>
  <c r="AB90" i="29" s="1"/>
  <c r="AB86" i="29"/>
  <c r="AH40" i="3" s="1"/>
  <c r="AC75" i="3"/>
  <c r="W76" i="20"/>
  <c r="D7" i="32"/>
  <c r="H37" i="27"/>
  <c r="Y576" i="8"/>
  <c r="AI62" i="3"/>
  <c r="AI199" i="3"/>
  <c r="AC49" i="20" s="1"/>
  <c r="AJ37" i="18" s="1"/>
  <c r="AK38" i="5"/>
  <c r="AK39" i="5" s="1"/>
  <c r="AK48" i="5"/>
  <c r="AK49" i="5" s="1"/>
  <c r="AK42" i="5"/>
  <c r="AK43" i="5" s="1"/>
  <c r="AE76" i="20"/>
  <c r="AK75" i="3"/>
  <c r="AK99" i="3"/>
  <c r="AK229" i="3" s="1"/>
  <c r="AE336" i="20"/>
  <c r="AE338" i="20" s="1"/>
  <c r="AE341" i="20" s="1"/>
  <c r="AE342" i="20" s="1"/>
  <c r="Y336" i="20"/>
  <c r="Y338" i="20" s="1"/>
  <c r="Y341" i="20" s="1"/>
  <c r="Y342" i="20" s="1"/>
  <c r="AE99" i="3"/>
  <c r="AE229" i="3" s="1"/>
  <c r="N86" i="29"/>
  <c r="T40" i="3" s="1"/>
  <c r="N83" i="29"/>
  <c r="N90" i="29" s="1"/>
  <c r="T199" i="3"/>
  <c r="N49" i="20" s="1"/>
  <c r="U37" i="18" s="1"/>
  <c r="T62" i="3"/>
  <c r="AJ179" i="3"/>
  <c r="AD31" i="20" s="1"/>
  <c r="AJ42" i="3"/>
  <c r="AJ181" i="3" l="1"/>
  <c r="T201" i="3"/>
  <c r="AK79" i="3"/>
  <c r="AK90" i="3" s="1"/>
  <c r="AK211" i="3"/>
  <c r="AH42" i="3"/>
  <c r="AH179" i="3"/>
  <c r="AB31" i="20" s="1"/>
  <c r="AH201" i="3"/>
  <c r="AB79" i="3"/>
  <c r="AB90" i="3" s="1"/>
  <c r="AB211" i="3"/>
  <c r="P257" i="20"/>
  <c r="P211" i="3"/>
  <c r="P79" i="3"/>
  <c r="P90" i="3" s="1"/>
  <c r="O86" i="29"/>
  <c r="U40" i="3" s="1"/>
  <c r="O83" i="29"/>
  <c r="O90" i="29" s="1"/>
  <c r="O76" i="20"/>
  <c r="U75" i="3"/>
  <c r="S201" i="3"/>
  <c r="S211" i="3"/>
  <c r="S79" i="3"/>
  <c r="S90" i="3" s="1"/>
  <c r="O199" i="3"/>
  <c r="I49" i="20" s="1"/>
  <c r="P37" i="18" s="1"/>
  <c r="O62" i="3"/>
  <c r="O38" i="5"/>
  <c r="O39" i="5" s="1"/>
  <c r="O42" i="5"/>
  <c r="O43" i="5" s="1"/>
  <c r="O48" i="5"/>
  <c r="O49" i="5" s="1"/>
  <c r="I76" i="20"/>
  <c r="O75" i="3"/>
  <c r="X75" i="3"/>
  <c r="R76" i="20"/>
  <c r="R83" i="29"/>
  <c r="R90" i="29" s="1"/>
  <c r="R86" i="29"/>
  <c r="X40" i="3" s="1"/>
  <c r="AA179" i="3"/>
  <c r="U31" i="20" s="1"/>
  <c r="AA42" i="3"/>
  <c r="S209" i="20"/>
  <c r="AG37" i="18"/>
  <c r="AF179" i="3"/>
  <c r="Z31" i="20" s="1"/>
  <c r="AF42" i="3"/>
  <c r="AM38" i="5"/>
  <c r="AM39" i="5" s="1"/>
  <c r="AM48" i="5"/>
  <c r="AM49" i="5" s="1"/>
  <c r="AM42" i="5"/>
  <c r="AM43" i="5" s="1"/>
  <c r="AM62" i="3"/>
  <c r="AM199" i="3"/>
  <c r="AG49" i="20" s="1"/>
  <c r="AN37" i="18" s="1"/>
  <c r="AH83" i="29"/>
  <c r="AH90" i="29" s="1"/>
  <c r="AH86" i="29"/>
  <c r="AN40" i="3" s="1"/>
  <c r="AH76" i="20"/>
  <c r="J143" i="27" s="1"/>
  <c r="AN75" i="3"/>
  <c r="T79" i="3"/>
  <c r="T90" i="3" s="1"/>
  <c r="T211" i="3"/>
  <c r="AE20" i="18"/>
  <c r="AE50" i="18" s="1"/>
  <c r="X62" i="20"/>
  <c r="K86" i="29"/>
  <c r="Q40" i="3" s="1"/>
  <c r="K83" i="29"/>
  <c r="K90" i="29" s="1"/>
  <c r="P86" i="29"/>
  <c r="V40" i="3" s="1"/>
  <c r="P83" i="29"/>
  <c r="P90" i="29" s="1"/>
  <c r="V48" i="5"/>
  <c r="V49" i="5" s="1"/>
  <c r="V42" i="5"/>
  <c r="V43" i="5" s="1"/>
  <c r="V38" i="5"/>
  <c r="V39" i="5" s="1"/>
  <c r="R199" i="3"/>
  <c r="L49" i="20" s="1"/>
  <c r="S37" i="18" s="1"/>
  <c r="R62" i="3"/>
  <c r="L83" i="29"/>
  <c r="L90" i="29" s="1"/>
  <c r="L86" i="29"/>
  <c r="R40" i="3" s="1"/>
  <c r="AD37" i="18"/>
  <c r="AC179" i="3"/>
  <c r="W31" i="20" s="1"/>
  <c r="AC42" i="3"/>
  <c r="AE179" i="3"/>
  <c r="Y31" i="20" s="1"/>
  <c r="AE42" i="3"/>
  <c r="AF37" i="18"/>
  <c r="M62" i="3"/>
  <c r="M199" i="3"/>
  <c r="G49" i="20" s="1"/>
  <c r="M29" i="5"/>
  <c r="M31" i="5" s="1"/>
  <c r="G76" i="20"/>
  <c r="M75" i="3"/>
  <c r="N116" i="20"/>
  <c r="N174" i="20"/>
  <c r="AH37" i="18"/>
  <c r="AB201" i="3"/>
  <c r="P201" i="3"/>
  <c r="W201" i="3"/>
  <c r="G210" i="20"/>
  <c r="S210" i="20" s="1"/>
  <c r="G100" i="20"/>
  <c r="S90" i="20"/>
  <c r="I116" i="20"/>
  <c r="I174" i="20"/>
  <c r="M116" i="20"/>
  <c r="M174" i="20"/>
  <c r="AB37" i="18"/>
  <c r="AF211" i="3"/>
  <c r="AF79" i="3"/>
  <c r="AF90" i="3" s="1"/>
  <c r="AI201" i="3"/>
  <c r="AD62" i="20"/>
  <c r="AK20" i="18"/>
  <c r="AK50" i="18" s="1"/>
  <c r="T42" i="3"/>
  <c r="T179" i="3"/>
  <c r="N31" i="20" s="1"/>
  <c r="AC79" i="3"/>
  <c r="AC90" i="3" s="1"/>
  <c r="AC211" i="3"/>
  <c r="AE211" i="3"/>
  <c r="AE79" i="3"/>
  <c r="AE90" i="3" s="1"/>
  <c r="J116" i="20"/>
  <c r="J174" i="20"/>
  <c r="Q116" i="20"/>
  <c r="Q174" i="20"/>
  <c r="AG179" i="3"/>
  <c r="AA31" i="20" s="1"/>
  <c r="AG42" i="3"/>
  <c r="AB42" i="3"/>
  <c r="AB179" i="3"/>
  <c r="V31" i="20" s="1"/>
  <c r="E7" i="32"/>
  <c r="E16" i="32" s="1"/>
  <c r="I37" i="27"/>
  <c r="AG100" i="20"/>
  <c r="AH91" i="20"/>
  <c r="AH207" i="20"/>
  <c r="P336" i="20"/>
  <c r="P338" i="20" s="1"/>
  <c r="P341" i="20" s="1"/>
  <c r="P342" i="20" s="1"/>
  <c r="V99" i="3"/>
  <c r="V229" i="3" s="1"/>
  <c r="K336" i="20"/>
  <c r="K338" i="20" s="1"/>
  <c r="K341" i="20" s="1"/>
  <c r="K342" i="20" s="1"/>
  <c r="Q99" i="3"/>
  <c r="Q229" i="3" s="1"/>
  <c r="P179" i="3"/>
  <c r="J31" i="20" s="1"/>
  <c r="P42" i="3"/>
  <c r="W179" i="3"/>
  <c r="Q31" i="20" s="1"/>
  <c r="W42" i="3"/>
  <c r="U199" i="3"/>
  <c r="O49" i="20" s="1"/>
  <c r="U62" i="3"/>
  <c r="U42" i="5"/>
  <c r="U43" i="5" s="1"/>
  <c r="U48" i="5"/>
  <c r="U49" i="5" s="1"/>
  <c r="U38" i="5"/>
  <c r="U39" i="5" s="1"/>
  <c r="AD51" i="20"/>
  <c r="O336" i="20"/>
  <c r="O338" i="20" s="1"/>
  <c r="O341" i="20" s="1"/>
  <c r="O342" i="20" s="1"/>
  <c r="U99" i="3"/>
  <c r="U229" i="3" s="1"/>
  <c r="X51" i="20"/>
  <c r="I86" i="29"/>
  <c r="O40" i="3" s="1"/>
  <c r="I83" i="29"/>
  <c r="I90" i="29" s="1"/>
  <c r="L116" i="20"/>
  <c r="L174" i="20"/>
  <c r="X199" i="3"/>
  <c r="R49" i="20" s="1"/>
  <c r="X62" i="3"/>
  <c r="X48" i="5"/>
  <c r="X49" i="5" s="1"/>
  <c r="X38" i="5"/>
  <c r="X39" i="5" s="1"/>
  <c r="X42" i="5"/>
  <c r="X43" i="5" s="1"/>
  <c r="AA79" i="3"/>
  <c r="AA90" i="3" s="1"/>
  <c r="AA211" i="3"/>
  <c r="AF201" i="3"/>
  <c r="AG83" i="29"/>
  <c r="AG90" i="29" s="1"/>
  <c r="AG86" i="29"/>
  <c r="AM40" i="3" s="1"/>
  <c r="AG76" i="20"/>
  <c r="I143" i="27" s="1"/>
  <c r="AM75" i="3"/>
  <c r="AN62" i="3"/>
  <c r="AN199" i="3"/>
  <c r="AH49" i="20" s="1"/>
  <c r="AO37" i="18" s="1"/>
  <c r="AN48" i="5"/>
  <c r="AN49" i="5" s="1"/>
  <c r="AN38" i="5"/>
  <c r="AN39" i="5" s="1"/>
  <c r="AN42" i="5"/>
  <c r="AN43" i="5" s="1"/>
  <c r="AD181" i="3"/>
  <c r="Q62" i="3"/>
  <c r="Q199" i="3"/>
  <c r="K49" i="20" s="1"/>
  <c r="R37" i="18" s="1"/>
  <c r="Q38" i="5"/>
  <c r="Q39" i="5" s="1"/>
  <c r="Q48" i="5"/>
  <c r="Q49" i="5" s="1"/>
  <c r="Q42" i="5"/>
  <c r="Q43" i="5" s="1"/>
  <c r="Q75" i="3"/>
  <c r="K76" i="20"/>
  <c r="V62" i="3"/>
  <c r="V199" i="3"/>
  <c r="P49" i="20" s="1"/>
  <c r="V75" i="3"/>
  <c r="P76" i="20"/>
  <c r="AK42" i="3"/>
  <c r="AK179" i="3"/>
  <c r="AE31" i="20" s="1"/>
  <c r="AK201" i="3"/>
  <c r="AI42" i="3"/>
  <c r="AI179" i="3"/>
  <c r="AC31" i="20" s="1"/>
  <c r="AI79" i="3"/>
  <c r="AI90" i="3" s="1"/>
  <c r="AI211" i="3"/>
  <c r="L76" i="20"/>
  <c r="R75" i="3"/>
  <c r="R38" i="5"/>
  <c r="R39" i="5" s="1"/>
  <c r="R42" i="5"/>
  <c r="R43" i="5" s="1"/>
  <c r="R48" i="5"/>
  <c r="R49" i="5" s="1"/>
  <c r="R116" i="20"/>
  <c r="R174" i="20"/>
  <c r="AC201" i="3"/>
  <c r="AH79" i="3"/>
  <c r="AH90" i="3" s="1"/>
  <c r="AH211" i="3"/>
  <c r="AE201" i="3"/>
  <c r="G83" i="29"/>
  <c r="G90" i="29" s="1"/>
  <c r="G86" i="29"/>
  <c r="M40" i="3" s="1"/>
  <c r="T210" i="20"/>
  <c r="T100" i="20"/>
  <c r="AF90" i="20"/>
  <c r="AG201" i="3"/>
  <c r="AG79" i="3"/>
  <c r="AG90" i="3" s="1"/>
  <c r="AG211" i="3"/>
  <c r="AC37" i="18"/>
  <c r="W79" i="3"/>
  <c r="W90" i="3" s="1"/>
  <c r="W211" i="3"/>
  <c r="X37" i="18"/>
  <c r="S42" i="3"/>
  <c r="S179" i="3"/>
  <c r="M31" i="20" s="1"/>
  <c r="Z27" i="5"/>
  <c r="T81" i="29"/>
  <c r="T79" i="29"/>
  <c r="AF69" i="29"/>
  <c r="T82" i="29"/>
  <c r="T80" i="29"/>
  <c r="AA201" i="3"/>
  <c r="Z123" i="8" l="1"/>
  <c r="Z135" i="8" s="1"/>
  <c r="Z69" i="8" s="1"/>
  <c r="Z73" i="8" s="1"/>
  <c r="O483" i="8"/>
  <c r="O135" i="8"/>
  <c r="U51" i="20"/>
  <c r="T87" i="29"/>
  <c r="Z60" i="3" s="1"/>
  <c r="AF80" i="29"/>
  <c r="T88" i="29"/>
  <c r="AF81" i="29"/>
  <c r="T20" i="18"/>
  <c r="T50" i="18" s="1"/>
  <c r="M62" i="20"/>
  <c r="D8" i="32"/>
  <c r="D16" i="32" s="1"/>
  <c r="D20" i="32" s="1"/>
  <c r="D23" i="32" s="1"/>
  <c r="AF100" i="20"/>
  <c r="AF210" i="20"/>
  <c r="Y51" i="20"/>
  <c r="W51" i="20"/>
  <c r="X99" i="3"/>
  <c r="X229" i="3" s="1"/>
  <c r="R336" i="20"/>
  <c r="R338" i="20" s="1"/>
  <c r="R341" i="20" s="1"/>
  <c r="R342" i="20" s="1"/>
  <c r="R79" i="3"/>
  <c r="R90" i="3" s="1"/>
  <c r="R211" i="3"/>
  <c r="AC62" i="20"/>
  <c r="AJ20" i="18"/>
  <c r="AJ50" i="18" s="1"/>
  <c r="AE62" i="20"/>
  <c r="AL20" i="18"/>
  <c r="AL50" i="18" s="1"/>
  <c r="V79" i="3"/>
  <c r="V90" i="3" s="1"/>
  <c r="V211" i="3"/>
  <c r="V201" i="3"/>
  <c r="Q79" i="3"/>
  <c r="Q90" i="3" s="1"/>
  <c r="Q211" i="3"/>
  <c r="AN201" i="3"/>
  <c r="Z51" i="20"/>
  <c r="Y37" i="18"/>
  <c r="L336" i="20"/>
  <c r="L338" i="20" s="1"/>
  <c r="L341" i="20" s="1"/>
  <c r="L342" i="20" s="1"/>
  <c r="R99" i="3"/>
  <c r="R229" i="3" s="1"/>
  <c r="O179" i="3"/>
  <c r="I31" i="20" s="1"/>
  <c r="O42" i="3"/>
  <c r="U201" i="3"/>
  <c r="W181" i="3"/>
  <c r="P181" i="3"/>
  <c r="I36" i="27"/>
  <c r="AG116" i="20"/>
  <c r="AG174" i="20"/>
  <c r="AB181" i="3"/>
  <c r="AA62" i="20"/>
  <c r="AH20" i="18"/>
  <c r="AH50" i="18" s="1"/>
  <c r="W99" i="3"/>
  <c r="W229" i="3" s="1"/>
  <c r="Q336" i="20"/>
  <c r="Q338" i="20" s="1"/>
  <c r="Q341" i="20" s="1"/>
  <c r="Q342" i="20" s="1"/>
  <c r="P99" i="3"/>
  <c r="P229" i="3" s="1"/>
  <c r="J336" i="20"/>
  <c r="J338" i="20" s="1"/>
  <c r="J341" i="20" s="1"/>
  <c r="J342" i="20" s="1"/>
  <c r="T181" i="3"/>
  <c r="AC51" i="20"/>
  <c r="M336" i="20"/>
  <c r="M338" i="20" s="1"/>
  <c r="M341" i="20" s="1"/>
  <c r="M342" i="20" s="1"/>
  <c r="S99" i="3"/>
  <c r="S229" i="3" s="1"/>
  <c r="I336" i="20"/>
  <c r="I338" i="20" s="1"/>
  <c r="I341" i="20" s="1"/>
  <c r="I342" i="20" s="1"/>
  <c r="O99" i="3"/>
  <c r="O229" i="3" s="1"/>
  <c r="G116" i="20"/>
  <c r="G174" i="20"/>
  <c r="O257" i="20"/>
  <c r="N257" i="20"/>
  <c r="M79" i="3"/>
  <c r="M211" i="3"/>
  <c r="M201" i="3"/>
  <c r="AF20" i="18"/>
  <c r="AF50" i="18" s="1"/>
  <c r="Y62" i="20"/>
  <c r="AD20" i="18"/>
  <c r="AD50" i="18" s="1"/>
  <c r="W62" i="20"/>
  <c r="V179" i="3"/>
  <c r="P31" i="20" s="1"/>
  <c r="V42" i="3"/>
  <c r="Q42" i="3"/>
  <c r="Q179" i="3"/>
  <c r="K31" i="20" s="1"/>
  <c r="AN211" i="3"/>
  <c r="AN79" i="3"/>
  <c r="AN90" i="3" s="1"/>
  <c r="AN42" i="3"/>
  <c r="AN179" i="3"/>
  <c r="AH31" i="20" s="1"/>
  <c r="AG20" i="18"/>
  <c r="AG50" i="18" s="1"/>
  <c r="Z62" i="20"/>
  <c r="U62" i="20"/>
  <c r="AB20" i="18"/>
  <c r="X211" i="3"/>
  <c r="X79" i="3"/>
  <c r="X90" i="3" s="1"/>
  <c r="O211" i="3"/>
  <c r="O79" i="3"/>
  <c r="O90" i="3" s="1"/>
  <c r="M51" i="20"/>
  <c r="U211" i="3"/>
  <c r="U79" i="3"/>
  <c r="U90" i="3" s="1"/>
  <c r="AI20" i="18"/>
  <c r="AI50" i="18" s="1"/>
  <c r="AB62" i="20"/>
  <c r="T89" i="29"/>
  <c r="AF82" i="29"/>
  <c r="T83" i="29"/>
  <c r="T90" i="29" s="1"/>
  <c r="T86" i="29"/>
  <c r="Z40" i="3" s="1"/>
  <c r="AF79" i="29"/>
  <c r="Z29" i="5"/>
  <c r="Z31" i="5" s="1"/>
  <c r="AL27" i="5"/>
  <c r="AL29" i="5" s="1"/>
  <c r="AL31" i="5" s="1"/>
  <c r="S181" i="3"/>
  <c r="AA51" i="20"/>
  <c r="T116" i="20"/>
  <c r="T174" i="20"/>
  <c r="M179" i="3"/>
  <c r="G31" i="20" s="1"/>
  <c r="M42" i="3"/>
  <c r="R257" i="20"/>
  <c r="S174" i="20"/>
  <c r="AI181" i="3"/>
  <c r="AE51" i="20"/>
  <c r="AK181" i="3"/>
  <c r="W37" i="18"/>
  <c r="Q201" i="3"/>
  <c r="X33" i="20"/>
  <c r="X64" i="20" s="1"/>
  <c r="AM211" i="3"/>
  <c r="AM79" i="3"/>
  <c r="AM90" i="3" s="1"/>
  <c r="AM42" i="3"/>
  <c r="AM179" i="3"/>
  <c r="AG31" i="20" s="1"/>
  <c r="X201" i="3"/>
  <c r="L257" i="20"/>
  <c r="V37" i="18"/>
  <c r="Q62" i="20"/>
  <c r="X20" i="18"/>
  <c r="X50" i="18" s="1"/>
  <c r="J62" i="20"/>
  <c r="Q20" i="18"/>
  <c r="Q50" i="18" s="1"/>
  <c r="J37" i="27"/>
  <c r="F7" i="32"/>
  <c r="F16" i="32" s="1"/>
  <c r="AH100" i="20"/>
  <c r="AC20" i="18"/>
  <c r="V62" i="20"/>
  <c r="AG181" i="3"/>
  <c r="Q257" i="20"/>
  <c r="J257" i="20"/>
  <c r="U20" i="18"/>
  <c r="U50" i="18" s="1"/>
  <c r="N62" i="20"/>
  <c r="M257" i="20"/>
  <c r="C8" i="32"/>
  <c r="Q51" i="20"/>
  <c r="J51" i="20"/>
  <c r="V51" i="20"/>
  <c r="T99" i="3"/>
  <c r="T229" i="3" s="1"/>
  <c r="N336" i="20"/>
  <c r="N338" i="20" s="1"/>
  <c r="N341" i="20" s="1"/>
  <c r="N342" i="20" s="1"/>
  <c r="M42" i="5"/>
  <c r="M43" i="5" s="1"/>
  <c r="M48" i="5"/>
  <c r="M49" i="5" s="1"/>
  <c r="M38" i="5"/>
  <c r="M39" i="5" s="1"/>
  <c r="N37" i="18"/>
  <c r="AE181" i="3"/>
  <c r="AC181" i="3"/>
  <c r="R179" i="3"/>
  <c r="L31" i="20" s="1"/>
  <c r="R42" i="3"/>
  <c r="R201" i="3"/>
  <c r="AM201" i="3"/>
  <c r="AF181" i="3"/>
  <c r="AA181" i="3"/>
  <c r="X42" i="3"/>
  <c r="X179" i="3"/>
  <c r="R31" i="20" s="1"/>
  <c r="O201" i="3"/>
  <c r="U42" i="3"/>
  <c r="U179" i="3"/>
  <c r="O31" i="20" s="1"/>
  <c r="K257" i="20"/>
  <c r="AB51" i="20"/>
  <c r="AH181" i="3"/>
  <c r="N51" i="20"/>
  <c r="AD33" i="20"/>
  <c r="AD64" i="20" s="1"/>
  <c r="AB33" i="20" l="1"/>
  <c r="AB64" i="20" s="1"/>
  <c r="U181" i="3"/>
  <c r="I51" i="20"/>
  <c r="X181" i="3"/>
  <c r="U33" i="20"/>
  <c r="U64" i="20" s="1"/>
  <c r="R181" i="3"/>
  <c r="R51" i="20"/>
  <c r="AM181" i="3"/>
  <c r="K51" i="20"/>
  <c r="AE33" i="20"/>
  <c r="AE64" i="20" s="1"/>
  <c r="AC33" i="20"/>
  <c r="AC64" i="20" s="1"/>
  <c r="N20" i="18"/>
  <c r="N50" i="18" s="1"/>
  <c r="G62" i="20"/>
  <c r="T336" i="20"/>
  <c r="Z99" i="3"/>
  <c r="M33" i="20"/>
  <c r="M64" i="20" s="1"/>
  <c r="Z42" i="5"/>
  <c r="Z43" i="5" s="1"/>
  <c r="Z38" i="5"/>
  <c r="Z39" i="5" s="1"/>
  <c r="Z48" i="5"/>
  <c r="Z49" i="5" s="1"/>
  <c r="Z179" i="3"/>
  <c r="T31" i="20" s="1"/>
  <c r="AL40" i="3"/>
  <c r="Z42" i="3"/>
  <c r="AB50" i="18"/>
  <c r="AO20" i="18"/>
  <c r="AH62" i="20"/>
  <c r="J125" i="27" s="1"/>
  <c r="K62" i="20"/>
  <c r="R20" i="18"/>
  <c r="R50" i="18" s="1"/>
  <c r="V181" i="3"/>
  <c r="G51" i="20"/>
  <c r="M99" i="3"/>
  <c r="G336" i="20"/>
  <c r="V33" i="20"/>
  <c r="V64" i="20" s="1"/>
  <c r="AG336" i="20"/>
  <c r="AM99" i="3"/>
  <c r="AM229" i="3" s="1"/>
  <c r="I102" i="27"/>
  <c r="O181" i="3"/>
  <c r="H36" i="27"/>
  <c r="H42" i="27" s="1"/>
  <c r="AF116" i="20"/>
  <c r="H102" i="27" s="1"/>
  <c r="O575" i="8"/>
  <c r="Z575" i="8" s="1"/>
  <c r="O69" i="8"/>
  <c r="O73" i="8" s="1"/>
  <c r="H67" i="29" s="1"/>
  <c r="H69" i="29" s="1"/>
  <c r="V20" i="18"/>
  <c r="V50" i="18" s="1"/>
  <c r="O62" i="20"/>
  <c r="R62" i="20"/>
  <c r="Y20" i="18"/>
  <c r="Y50" i="18" s="1"/>
  <c r="Z33" i="20"/>
  <c r="Z64" i="20" s="1"/>
  <c r="AG51" i="20"/>
  <c r="L51" i="20"/>
  <c r="S20" i="18"/>
  <c r="S50" i="18" s="1"/>
  <c r="L62" i="20"/>
  <c r="W33" i="20"/>
  <c r="W64" i="20" s="1"/>
  <c r="Y33" i="20"/>
  <c r="Y64" i="20" s="1"/>
  <c r="AA33" i="20"/>
  <c r="AA64" i="20" s="1"/>
  <c r="AC50" i="18"/>
  <c r="J36" i="27"/>
  <c r="AH174" i="20"/>
  <c r="AH116" i="20"/>
  <c r="AG62" i="20"/>
  <c r="I125" i="27" s="1"/>
  <c r="AN20" i="18"/>
  <c r="M181" i="3"/>
  <c r="M63" i="3"/>
  <c r="M43" i="3"/>
  <c r="T257" i="20"/>
  <c r="U257" i="20"/>
  <c r="AL48" i="5"/>
  <c r="AL49" i="5" s="1"/>
  <c r="AL38" i="5"/>
  <c r="AL39" i="5" s="1"/>
  <c r="AL42" i="5"/>
  <c r="AL43" i="5" s="1"/>
  <c r="AF83" i="29"/>
  <c r="AN181" i="3"/>
  <c r="Q181" i="3"/>
  <c r="P62" i="20"/>
  <c r="W20" i="18"/>
  <c r="W50" i="18" s="1"/>
  <c r="M90" i="3"/>
  <c r="G257" i="20"/>
  <c r="N33" i="20"/>
  <c r="N64" i="20" s="1"/>
  <c r="AG257" i="20"/>
  <c r="J33" i="20"/>
  <c r="J64" i="20" s="1"/>
  <c r="Q33" i="20"/>
  <c r="Q64" i="20" s="1"/>
  <c r="O51" i="20"/>
  <c r="P20" i="18"/>
  <c r="P50" i="18" s="1"/>
  <c r="I62" i="20"/>
  <c r="AH51" i="20"/>
  <c r="P51" i="20"/>
  <c r="T76" i="20"/>
  <c r="Z75" i="3"/>
  <c r="Z199" i="3"/>
  <c r="T49" i="20" s="1"/>
  <c r="Z62" i="3"/>
  <c r="AL60" i="3"/>
  <c r="T483" i="21"/>
  <c r="O571" i="8"/>
  <c r="Z483" i="8"/>
  <c r="O576" i="8" l="1"/>
  <c r="Z576" i="8" s="1"/>
  <c r="Z571" i="8"/>
  <c r="AF49" i="20"/>
  <c r="AA37" i="18"/>
  <c r="H207" i="20"/>
  <c r="S207" i="20" s="1"/>
  <c r="H91" i="20"/>
  <c r="AE483" i="21"/>
  <c r="Z201" i="3"/>
  <c r="AL62" i="3"/>
  <c r="Z79" i="3"/>
  <c r="AL75" i="3"/>
  <c r="Z211" i="3"/>
  <c r="AF257" i="20"/>
  <c r="M202" i="3"/>
  <c r="M65" i="3"/>
  <c r="AH257" i="20"/>
  <c r="I33" i="20"/>
  <c r="I64" i="20" s="1"/>
  <c r="G338" i="20"/>
  <c r="G341" i="20" s="1"/>
  <c r="G342" i="20" s="1"/>
  <c r="P33" i="20"/>
  <c r="P64" i="20" s="1"/>
  <c r="AO50" i="18"/>
  <c r="T338" i="20"/>
  <c r="T341" i="20" s="1"/>
  <c r="T342" i="20" s="1"/>
  <c r="AF336" i="20"/>
  <c r="L33" i="20"/>
  <c r="L64" i="20" s="1"/>
  <c r="R33" i="20"/>
  <c r="R64" i="20" s="1"/>
  <c r="O33" i="20"/>
  <c r="O64" i="20" s="1"/>
  <c r="AF76" i="20"/>
  <c r="H143" i="27" s="1"/>
  <c r="K33" i="20"/>
  <c r="K64" i="20" s="1"/>
  <c r="AH33" i="20"/>
  <c r="AH64" i="20" s="1"/>
  <c r="M182" i="3"/>
  <c r="G34" i="20" s="1"/>
  <c r="M145" i="3"/>
  <c r="G33" i="20"/>
  <c r="AN50" i="18"/>
  <c r="J102" i="27"/>
  <c r="AN99" i="3"/>
  <c r="AN229" i="3" s="1"/>
  <c r="AH336" i="20"/>
  <c r="N27" i="5"/>
  <c r="H79" i="29"/>
  <c r="H81" i="29"/>
  <c r="H88" i="29" s="1"/>
  <c r="H80" i="29"/>
  <c r="H87" i="29" s="1"/>
  <c r="N60" i="3" s="1"/>
  <c r="H82" i="29"/>
  <c r="H89" i="29" s="1"/>
  <c r="I175" i="27"/>
  <c r="M229" i="3"/>
  <c r="Z181" i="3"/>
  <c r="AL42" i="3"/>
  <c r="AF31" i="20"/>
  <c r="T62" i="20"/>
  <c r="AA20" i="18"/>
  <c r="Z229" i="3"/>
  <c r="AL229" i="3" s="1"/>
  <c r="AL99" i="3"/>
  <c r="AG33" i="20"/>
  <c r="AG64" i="20" s="1"/>
  <c r="AF62" i="20" l="1"/>
  <c r="H125" i="27" s="1"/>
  <c r="AA50" i="18"/>
  <c r="T33" i="20"/>
  <c r="N199" i="3"/>
  <c r="H49" i="20" s="1"/>
  <c r="N62" i="3"/>
  <c r="Y60" i="3"/>
  <c r="H83" i="29"/>
  <c r="H90" i="29" s="1"/>
  <c r="H86" i="29"/>
  <c r="N40" i="3" s="1"/>
  <c r="J175" i="27"/>
  <c r="G64" i="20"/>
  <c r="G246" i="20"/>
  <c r="M95" i="3"/>
  <c r="M149" i="3"/>
  <c r="M89" i="3"/>
  <c r="G52" i="20"/>
  <c r="Z90" i="3"/>
  <c r="AL90" i="3" s="1"/>
  <c r="AL79" i="3"/>
  <c r="H76" i="20"/>
  <c r="S76" i="20" s="1"/>
  <c r="G143" i="27" s="1"/>
  <c r="N75" i="3"/>
  <c r="N29" i="5"/>
  <c r="N31" i="5" s="1"/>
  <c r="Y27" i="5"/>
  <c r="Y29" i="5" s="1"/>
  <c r="Y31" i="5" s="1"/>
  <c r="N23" i="18"/>
  <c r="G65" i="20"/>
  <c r="H175" i="27"/>
  <c r="H177" i="27" s="1"/>
  <c r="H180" i="27" s="1"/>
  <c r="H181" i="27" s="1"/>
  <c r="AF338" i="20"/>
  <c r="AF341" i="20" s="1"/>
  <c r="T51" i="20"/>
  <c r="AF51" i="20" s="1"/>
  <c r="S91" i="20"/>
  <c r="H100" i="20"/>
  <c r="CN2" i="26"/>
  <c r="C7" i="32" l="1"/>
  <c r="C16" i="32" s="1"/>
  <c r="C20" i="32" s="1"/>
  <c r="C23" i="32" s="1"/>
  <c r="G37" i="27"/>
  <c r="S100" i="20"/>
  <c r="H116" i="20"/>
  <c r="H174" i="20"/>
  <c r="Y38" i="5"/>
  <c r="Y39" i="5" s="1"/>
  <c r="Y42" i="5"/>
  <c r="Y43" i="5" s="1"/>
  <c r="Y48" i="5"/>
  <c r="Y49" i="5" s="1"/>
  <c r="N79" i="3"/>
  <c r="N211" i="3"/>
  <c r="Y75" i="3"/>
  <c r="G143" i="20"/>
  <c r="N142" i="3"/>
  <c r="N144" i="3"/>
  <c r="M44" i="3"/>
  <c r="N201" i="3"/>
  <c r="Y62" i="3"/>
  <c r="AF342" i="20"/>
  <c r="CM2" i="26" s="1"/>
  <c r="N48" i="5"/>
  <c r="N49" i="5" s="1"/>
  <c r="N42" i="5"/>
  <c r="N43" i="5" s="1"/>
  <c r="N38" i="5"/>
  <c r="N39" i="5" s="1"/>
  <c r="N40" i="18"/>
  <c r="N41" i="18" s="1"/>
  <c r="N42" i="18" s="1"/>
  <c r="G194" i="20" s="1"/>
  <c r="N179" i="3"/>
  <c r="H31" i="20" s="1"/>
  <c r="N42" i="3"/>
  <c r="Y40" i="3"/>
  <c r="O37" i="18"/>
  <c r="S49" i="20"/>
  <c r="T64" i="20"/>
  <c r="AF33" i="20"/>
  <c r="AF64" i="20" s="1"/>
  <c r="O20" i="18" l="1"/>
  <c r="O50" i="18" s="1"/>
  <c r="H62" i="20"/>
  <c r="S31" i="20"/>
  <c r="S62" i="20" s="1"/>
  <c r="G125" i="27" s="1"/>
  <c r="N53" i="18"/>
  <c r="N54" i="18" s="1"/>
  <c r="N55" i="18" s="1"/>
  <c r="H51" i="20"/>
  <c r="S51" i="20" s="1"/>
  <c r="G183" i="20"/>
  <c r="N99" i="3"/>
  <c r="H336" i="20"/>
  <c r="N43" i="3"/>
  <c r="N181" i="3"/>
  <c r="N63" i="3"/>
  <c r="Y42" i="3"/>
  <c r="M183" i="3"/>
  <c r="M155" i="3"/>
  <c r="M46" i="3"/>
  <c r="N90" i="3"/>
  <c r="Y90" i="3" s="1"/>
  <c r="Y79" i="3"/>
  <c r="H257" i="20"/>
  <c r="I257" i="20"/>
  <c r="S116" i="20"/>
  <c r="G102" i="27" s="1"/>
  <c r="G36" i="27"/>
  <c r="G42" i="27" s="1"/>
  <c r="S257" i="20" l="1"/>
  <c r="M88" i="3"/>
  <c r="M96" i="3"/>
  <c r="G245" i="20"/>
  <c r="M159" i="3"/>
  <c r="M226" i="3"/>
  <c r="N202" i="3"/>
  <c r="N65" i="3"/>
  <c r="N145" i="3"/>
  <c r="N182" i="3"/>
  <c r="H34" i="20" s="1"/>
  <c r="N229" i="3"/>
  <c r="Y229" i="3" s="1"/>
  <c r="Y99" i="3"/>
  <c r="G35" i="20"/>
  <c r="H33" i="20"/>
  <c r="H338" i="20"/>
  <c r="H341" i="20" s="1"/>
  <c r="H342" i="20" s="1"/>
  <c r="S336" i="20"/>
  <c r="G175" i="27" l="1"/>
  <c r="G177" i="27" s="1"/>
  <c r="G180" i="27" s="1"/>
  <c r="G181" i="27" s="1"/>
  <c r="S338" i="20"/>
  <c r="S341" i="20" s="1"/>
  <c r="H64" i="20"/>
  <c r="S33" i="20"/>
  <c r="S64" i="20" s="1"/>
  <c r="N24" i="18"/>
  <c r="N25" i="18" s="1"/>
  <c r="N26" i="18" s="1"/>
  <c r="G193" i="20" s="1"/>
  <c r="G66" i="20"/>
  <c r="O23" i="18"/>
  <c r="N89" i="3"/>
  <c r="H52" i="20"/>
  <c r="N154" i="3"/>
  <c r="G144" i="20"/>
  <c r="N152" i="3"/>
  <c r="M97" i="3"/>
  <c r="H246" i="20"/>
  <c r="N95" i="3"/>
  <c r="N149" i="3"/>
  <c r="G272" i="20"/>
  <c r="G247" i="20"/>
  <c r="G286" i="20"/>
  <c r="CL2" i="26"/>
  <c r="G287" i="20" l="1"/>
  <c r="H143" i="20"/>
  <c r="N44" i="3"/>
  <c r="O144" i="3"/>
  <c r="O142" i="3"/>
  <c r="M101" i="3"/>
  <c r="M107" i="3" s="1"/>
  <c r="M111" i="3" s="1"/>
  <c r="M113" i="3" s="1"/>
  <c r="M119" i="3" s="1"/>
  <c r="M122" i="3" s="1"/>
  <c r="G184" i="20"/>
  <c r="G145" i="20"/>
  <c r="S342" i="20"/>
  <c r="CK2" i="26" s="1"/>
  <c r="O40" i="18"/>
  <c r="O41" i="18" s="1"/>
  <c r="O42" i="18" s="1"/>
  <c r="H194" i="20" s="1"/>
  <c r="H65" i="20"/>
  <c r="O63" i="3" l="1"/>
  <c r="O43" i="3"/>
  <c r="N183" i="3"/>
  <c r="N155" i="3"/>
  <c r="N46" i="3"/>
  <c r="O53" i="18"/>
  <c r="O54" i="18" s="1"/>
  <c r="O55" i="18" s="1"/>
  <c r="H183" i="20"/>
  <c r="N88" i="3" l="1"/>
  <c r="H35" i="20"/>
  <c r="O202" i="3"/>
  <c r="O65" i="3"/>
  <c r="H245" i="20"/>
  <c r="N96" i="3"/>
  <c r="N226" i="3"/>
  <c r="N159" i="3"/>
  <c r="O145" i="3"/>
  <c r="O182" i="3"/>
  <c r="O95" i="3" l="1"/>
  <c r="I246" i="20"/>
  <c r="O149" i="3"/>
  <c r="H272" i="20"/>
  <c r="H247" i="20"/>
  <c r="H286" i="20"/>
  <c r="O89" i="3"/>
  <c r="I34" i="20"/>
  <c r="O154" i="3"/>
  <c r="O152" i="3"/>
  <c r="H144" i="20"/>
  <c r="I52" i="20"/>
  <c r="O24" i="18"/>
  <c r="O25" i="18" s="1"/>
  <c r="O26" i="18" s="1"/>
  <c r="H193" i="20" s="1"/>
  <c r="H66" i="20"/>
  <c r="N97" i="3"/>
  <c r="N101" i="3" l="1"/>
  <c r="N107" i="3" s="1"/>
  <c r="N111" i="3" s="1"/>
  <c r="N113" i="3" s="1"/>
  <c r="N119" i="3" s="1"/>
  <c r="N122" i="3" s="1"/>
  <c r="H184" i="20"/>
  <c r="H145" i="20"/>
  <c r="I65" i="20"/>
  <c r="P23" i="18"/>
  <c r="P40" i="18"/>
  <c r="P41" i="18" s="1"/>
  <c r="P42" i="18" s="1"/>
  <c r="I194" i="20" s="1"/>
  <c r="H287" i="20"/>
  <c r="O44" i="3"/>
  <c r="P142" i="3"/>
  <c r="P144" i="3"/>
  <c r="I143" i="20"/>
  <c r="O155" i="3" l="1"/>
  <c r="O183" i="3"/>
  <c r="O46" i="3"/>
  <c r="P53" i="18"/>
  <c r="P54" i="18" s="1"/>
  <c r="P55" i="18" s="1"/>
  <c r="I183" i="20"/>
  <c r="P63" i="3"/>
  <c r="P43" i="3"/>
  <c r="P145" i="3" l="1"/>
  <c r="P182" i="3"/>
  <c r="O88" i="3"/>
  <c r="I35" i="20"/>
  <c r="P202" i="3"/>
  <c r="P65" i="3"/>
  <c r="I245" i="20"/>
  <c r="O96" i="3"/>
  <c r="O226" i="3"/>
  <c r="O159" i="3"/>
  <c r="I272" i="20" l="1"/>
  <c r="I247" i="20"/>
  <c r="I286" i="20"/>
  <c r="P89" i="3"/>
  <c r="J34" i="20"/>
  <c r="P152" i="3"/>
  <c r="I144" i="20"/>
  <c r="P154" i="3"/>
  <c r="J52" i="20"/>
  <c r="I66" i="20"/>
  <c r="P24" i="18"/>
  <c r="P25" i="18" s="1"/>
  <c r="P26" i="18" s="1"/>
  <c r="I193" i="20" s="1"/>
  <c r="O97" i="3"/>
  <c r="J246" i="20"/>
  <c r="P95" i="3"/>
  <c r="P149" i="3"/>
  <c r="Q40" i="18" l="1"/>
  <c r="Q41" i="18" s="1"/>
  <c r="Q42" i="18" s="1"/>
  <c r="J194" i="20" s="1"/>
  <c r="I184" i="20"/>
  <c r="I145" i="20"/>
  <c r="I287" i="20"/>
  <c r="P44" i="3"/>
  <c r="J143" i="20"/>
  <c r="Q144" i="3"/>
  <c r="Q142" i="3"/>
  <c r="O101" i="3"/>
  <c r="O107" i="3" s="1"/>
  <c r="O111" i="3" s="1"/>
  <c r="O113" i="3" s="1"/>
  <c r="O119" i="3" s="1"/>
  <c r="O122" i="3" s="1"/>
  <c r="Q23" i="18"/>
  <c r="Q53" i="18" s="1"/>
  <c r="Q54" i="18" s="1"/>
  <c r="Q55" i="18" s="1"/>
  <c r="J65" i="20"/>
  <c r="Q63" i="3" l="1"/>
  <c r="Q43" i="3"/>
  <c r="J183" i="20"/>
  <c r="P183" i="3"/>
  <c r="P155" i="3"/>
  <c r="P46" i="3"/>
  <c r="J35" i="20" l="1"/>
  <c r="Q202" i="3"/>
  <c r="Q65" i="3"/>
  <c r="P88" i="3"/>
  <c r="P96" i="3"/>
  <c r="J245" i="20"/>
  <c r="P226" i="3"/>
  <c r="P159" i="3"/>
  <c r="Q182" i="3"/>
  <c r="Q145" i="3"/>
  <c r="K34" i="20" l="1"/>
  <c r="P97" i="3"/>
  <c r="Q89" i="3"/>
  <c r="K246" i="20"/>
  <c r="Q95" i="3"/>
  <c r="Q149" i="3"/>
  <c r="Q152" i="3"/>
  <c r="J144" i="20"/>
  <c r="Q154" i="3"/>
  <c r="J272" i="20"/>
  <c r="J247" i="20"/>
  <c r="J286" i="20"/>
  <c r="K52" i="20"/>
  <c r="J66" i="20"/>
  <c r="Q24" i="18"/>
  <c r="Q25" i="18" s="1"/>
  <c r="Q26" i="18" s="1"/>
  <c r="J193" i="20" s="1"/>
  <c r="J287" i="20" l="1"/>
  <c r="R40" i="18"/>
  <c r="R41" i="18" s="1"/>
  <c r="R42" i="18" s="1"/>
  <c r="K194" i="20" s="1"/>
  <c r="J184" i="20"/>
  <c r="J145" i="20"/>
  <c r="R144" i="3"/>
  <c r="R142" i="3"/>
  <c r="Q44" i="3"/>
  <c r="K143" i="20"/>
  <c r="P101" i="3"/>
  <c r="P107" i="3" s="1"/>
  <c r="P111" i="3" s="1"/>
  <c r="P113" i="3" s="1"/>
  <c r="P119" i="3" s="1"/>
  <c r="P122" i="3" s="1"/>
  <c r="K65" i="20"/>
  <c r="R23" i="18"/>
  <c r="R53" i="18" l="1"/>
  <c r="R54" i="18" s="1"/>
  <c r="R55" i="18" s="1"/>
  <c r="Q183" i="3"/>
  <c r="Q155" i="3"/>
  <c r="Q46" i="3"/>
  <c r="K183" i="20"/>
  <c r="R43" i="3"/>
  <c r="R63" i="3"/>
  <c r="R182" i="3" l="1"/>
  <c r="R145" i="3"/>
  <c r="Q88" i="3"/>
  <c r="K245" i="20"/>
  <c r="Q96" i="3"/>
  <c r="Q226" i="3"/>
  <c r="Q159" i="3"/>
  <c r="R202" i="3"/>
  <c r="R65" i="3"/>
  <c r="R89" i="3" s="1"/>
  <c r="K35" i="20"/>
  <c r="R24" i="18" l="1"/>
  <c r="R25" i="18" s="1"/>
  <c r="R26" i="18" s="1"/>
  <c r="K193" i="20" s="1"/>
  <c r="K66" i="20"/>
  <c r="L52" i="20"/>
  <c r="S40" i="18" s="1"/>
  <c r="S41" i="18" s="1"/>
  <c r="S42" i="18" s="1"/>
  <c r="L194" i="20" s="1"/>
  <c r="K272" i="20"/>
  <c r="K247" i="20"/>
  <c r="K286" i="20"/>
  <c r="Q97" i="3"/>
  <c r="L246" i="20"/>
  <c r="R95" i="3"/>
  <c r="R149" i="3"/>
  <c r="R154" i="3"/>
  <c r="K144" i="20"/>
  <c r="R152" i="3"/>
  <c r="L34" i="20"/>
  <c r="Q101" i="3" l="1"/>
  <c r="Q107" i="3" s="1"/>
  <c r="Q111" i="3" s="1"/>
  <c r="Q113" i="3" s="1"/>
  <c r="Q119" i="3" s="1"/>
  <c r="Q122" i="3" s="1"/>
  <c r="S23" i="18"/>
  <c r="S53" i="18" s="1"/>
  <c r="S54" i="18" s="1"/>
  <c r="S55" i="18" s="1"/>
  <c r="L65" i="20"/>
  <c r="K184" i="20"/>
  <c r="K145" i="20"/>
  <c r="S142" i="3"/>
  <c r="L143" i="20"/>
  <c r="R44" i="3"/>
  <c r="S144" i="3"/>
  <c r="K287" i="20"/>
  <c r="L183" i="20" l="1"/>
  <c r="R155" i="3"/>
  <c r="R183" i="3"/>
  <c r="R46" i="3"/>
  <c r="R88" i="3" s="1"/>
  <c r="S63" i="3"/>
  <c r="S43" i="3"/>
  <c r="S182" i="3" l="1"/>
  <c r="S145" i="3"/>
  <c r="L35" i="20"/>
  <c r="S202" i="3"/>
  <c r="S65" i="3"/>
  <c r="S89" i="3" s="1"/>
  <c r="L245" i="20"/>
  <c r="R96" i="3"/>
  <c r="R97" i="3" s="1"/>
  <c r="R101" i="3" s="1"/>
  <c r="R107" i="3" s="1"/>
  <c r="R111" i="3" s="1"/>
  <c r="R113" i="3" s="1"/>
  <c r="R119" i="3" s="1"/>
  <c r="R122" i="3" s="1"/>
  <c r="R226" i="3"/>
  <c r="R159" i="3"/>
  <c r="L272" i="20" l="1"/>
  <c r="L247" i="20"/>
  <c r="L286" i="20"/>
  <c r="L287" i="20" s="1"/>
  <c r="M52" i="20"/>
  <c r="T40" i="18" s="1"/>
  <c r="T41" i="18" s="1"/>
  <c r="T42" i="18" s="1"/>
  <c r="M194" i="20" s="1"/>
  <c r="L66" i="20"/>
  <c r="S24" i="18"/>
  <c r="S25" i="18" s="1"/>
  <c r="S26" i="18" s="1"/>
  <c r="L193" i="20" s="1"/>
  <c r="M246" i="20"/>
  <c r="S95" i="3"/>
  <c r="S149" i="3"/>
  <c r="S152" i="3"/>
  <c r="S154" i="3"/>
  <c r="L144" i="20"/>
  <c r="M34" i="20"/>
  <c r="L184" i="20" l="1"/>
  <c r="L145" i="20"/>
  <c r="T23" i="18"/>
  <c r="T53" i="18" s="1"/>
  <c r="T54" i="18" s="1"/>
  <c r="T55" i="18" s="1"/>
  <c r="M65" i="20"/>
  <c r="S44" i="3"/>
  <c r="M143" i="20"/>
  <c r="T142" i="3"/>
  <c r="T144" i="3"/>
  <c r="M183" i="20" l="1"/>
  <c r="T43" i="3"/>
  <c r="T63" i="3"/>
  <c r="S183" i="3"/>
  <c r="S155" i="3"/>
  <c r="S46" i="3"/>
  <c r="S88" i="3" s="1"/>
  <c r="M35" i="20" l="1"/>
  <c r="T182" i="3"/>
  <c r="T145" i="3"/>
  <c r="S96" i="3"/>
  <c r="S97" i="3" s="1"/>
  <c r="S101" i="3" s="1"/>
  <c r="S107" i="3" s="1"/>
  <c r="S111" i="3" s="1"/>
  <c r="S113" i="3" s="1"/>
  <c r="S119" i="3" s="1"/>
  <c r="S122" i="3" s="1"/>
  <c r="M245" i="20"/>
  <c r="S226" i="3"/>
  <c r="S159" i="3"/>
  <c r="T202" i="3"/>
  <c r="T65" i="3"/>
  <c r="T89" i="3" s="1"/>
  <c r="N52" i="20" l="1"/>
  <c r="U40" i="18" s="1"/>
  <c r="U41" i="18" s="1"/>
  <c r="U42" i="18" s="1"/>
  <c r="N194" i="20" s="1"/>
  <c r="T95" i="3"/>
  <c r="N246" i="20"/>
  <c r="T149" i="3"/>
  <c r="T152" i="3"/>
  <c r="T154" i="3"/>
  <c r="M144" i="20"/>
  <c r="M272" i="20"/>
  <c r="M247" i="20"/>
  <c r="M286" i="20"/>
  <c r="M287" i="20" s="1"/>
  <c r="N34" i="20"/>
  <c r="T24" i="18"/>
  <c r="T25" i="18" s="1"/>
  <c r="T26" i="18" s="1"/>
  <c r="M193" i="20" s="1"/>
  <c r="M66" i="20"/>
  <c r="U142" i="3" l="1"/>
  <c r="T44" i="3"/>
  <c r="U144" i="3"/>
  <c r="N143" i="20"/>
  <c r="N65" i="20"/>
  <c r="U23" i="18"/>
  <c r="U53" i="18" s="1"/>
  <c r="U54" i="18" s="1"/>
  <c r="U55" i="18" s="1"/>
  <c r="M184" i="20"/>
  <c r="M145" i="20"/>
  <c r="N183" i="20" l="1"/>
  <c r="T155" i="3"/>
  <c r="T183" i="3"/>
  <c r="T46" i="3"/>
  <c r="T88" i="3" s="1"/>
  <c r="U43" i="3"/>
  <c r="U63" i="3"/>
  <c r="U202" i="3" l="1"/>
  <c r="U65" i="3"/>
  <c r="U89" i="3" s="1"/>
  <c r="N35" i="20"/>
  <c r="U182" i="3"/>
  <c r="U145" i="3"/>
  <c r="N245" i="20"/>
  <c r="T96" i="3"/>
  <c r="T97" i="3" s="1"/>
  <c r="T101" i="3" s="1"/>
  <c r="T107" i="3" s="1"/>
  <c r="T111" i="3" s="1"/>
  <c r="T113" i="3" s="1"/>
  <c r="T119" i="3" s="1"/>
  <c r="T122" i="3" s="1"/>
  <c r="T226" i="3"/>
  <c r="T159" i="3"/>
  <c r="N272" i="20" l="1"/>
  <c r="N247" i="20"/>
  <c r="N286" i="20"/>
  <c r="N287" i="20" s="1"/>
  <c r="O246" i="20"/>
  <c r="U95" i="3"/>
  <c r="U149" i="3"/>
  <c r="U152" i="3"/>
  <c r="U154" i="3"/>
  <c r="N144" i="20"/>
  <c r="O34" i="20"/>
  <c r="N66" i="20"/>
  <c r="U24" i="18"/>
  <c r="U25" i="18" s="1"/>
  <c r="U26" i="18" s="1"/>
  <c r="N193" i="20" s="1"/>
  <c r="O52" i="20"/>
  <c r="V40" i="18" s="1"/>
  <c r="V41" i="18" s="1"/>
  <c r="V42" i="18" s="1"/>
  <c r="O194" i="20" s="1"/>
  <c r="N184" i="20" l="1"/>
  <c r="N145" i="20"/>
  <c r="O65" i="20"/>
  <c r="V23" i="18"/>
  <c r="V53" i="18" s="1"/>
  <c r="V54" i="18" s="1"/>
  <c r="V55" i="18" s="1"/>
  <c r="V144" i="3"/>
  <c r="U44" i="3"/>
  <c r="V142" i="3"/>
  <c r="O143" i="20"/>
  <c r="V63" i="3" l="1"/>
  <c r="V43" i="3"/>
  <c r="O183" i="20"/>
  <c r="U183" i="3"/>
  <c r="U155" i="3"/>
  <c r="U46" i="3"/>
  <c r="U88" i="3" s="1"/>
  <c r="O35" i="20" l="1"/>
  <c r="V202" i="3"/>
  <c r="V65" i="3"/>
  <c r="V89" i="3" s="1"/>
  <c r="O245" i="20"/>
  <c r="U96" i="3"/>
  <c r="U97" i="3" s="1"/>
  <c r="U101" i="3" s="1"/>
  <c r="U107" i="3" s="1"/>
  <c r="U111" i="3" s="1"/>
  <c r="U113" i="3" s="1"/>
  <c r="U119" i="3" s="1"/>
  <c r="U122" i="3" s="1"/>
  <c r="U226" i="3"/>
  <c r="U159" i="3"/>
  <c r="V182" i="3"/>
  <c r="V145" i="3"/>
  <c r="P246" i="20" l="1"/>
  <c r="V95" i="3"/>
  <c r="V149" i="3"/>
  <c r="V154" i="3"/>
  <c r="V152" i="3"/>
  <c r="O144" i="20"/>
  <c r="P34" i="20"/>
  <c r="O272" i="20"/>
  <c r="O247" i="20"/>
  <c r="O286" i="20"/>
  <c r="O287" i="20" s="1"/>
  <c r="P52" i="20"/>
  <c r="W40" i="18" s="1"/>
  <c r="W41" i="18" s="1"/>
  <c r="W42" i="18" s="1"/>
  <c r="P194" i="20" s="1"/>
  <c r="V24" i="18"/>
  <c r="V25" i="18" s="1"/>
  <c r="V26" i="18" s="1"/>
  <c r="O193" i="20" s="1"/>
  <c r="O66" i="20"/>
  <c r="P65" i="20" l="1"/>
  <c r="W23" i="18"/>
  <c r="W53" i="18" s="1"/>
  <c r="W54" i="18" s="1"/>
  <c r="W55" i="18" s="1"/>
  <c r="W144" i="3"/>
  <c r="P143" i="20"/>
  <c r="V44" i="3"/>
  <c r="W142" i="3"/>
  <c r="O184" i="20"/>
  <c r="O145" i="20"/>
  <c r="V155" i="3" l="1"/>
  <c r="V183" i="3"/>
  <c r="V46" i="3"/>
  <c r="V88" i="3" s="1"/>
  <c r="W43" i="3"/>
  <c r="W63" i="3"/>
  <c r="P183" i="20"/>
  <c r="W202" i="3" l="1"/>
  <c r="W65" i="3"/>
  <c r="W89" i="3" s="1"/>
  <c r="P35" i="20"/>
  <c r="W145" i="3"/>
  <c r="W182" i="3"/>
  <c r="V96" i="3"/>
  <c r="V97" i="3" s="1"/>
  <c r="V101" i="3" s="1"/>
  <c r="V107" i="3" s="1"/>
  <c r="V111" i="3" s="1"/>
  <c r="V113" i="3" s="1"/>
  <c r="V119" i="3" s="1"/>
  <c r="V122" i="3" s="1"/>
  <c r="P245" i="20"/>
  <c r="V226" i="3"/>
  <c r="V159" i="3"/>
  <c r="Q34" i="20" l="1"/>
  <c r="P144" i="20"/>
  <c r="W152" i="3"/>
  <c r="W154" i="3"/>
  <c r="P272" i="20"/>
  <c r="P247" i="20"/>
  <c r="P286" i="20"/>
  <c r="P287" i="20" s="1"/>
  <c r="W95" i="3"/>
  <c r="Q246" i="20"/>
  <c r="W149" i="3"/>
  <c r="P66" i="20"/>
  <c r="W24" i="18"/>
  <c r="W25" i="18" s="1"/>
  <c r="W26" i="18" s="1"/>
  <c r="P193" i="20" s="1"/>
  <c r="Q52" i="20"/>
  <c r="X40" i="18" s="1"/>
  <c r="X41" i="18" s="1"/>
  <c r="X42" i="18" s="1"/>
  <c r="Q194" i="20" s="1"/>
  <c r="Q143" i="20" l="1"/>
  <c r="X144" i="3"/>
  <c r="Y144" i="3" s="1"/>
  <c r="W44" i="3"/>
  <c r="X142" i="3"/>
  <c r="P184" i="20"/>
  <c r="P145" i="20"/>
  <c r="X23" i="18"/>
  <c r="X53" i="18" s="1"/>
  <c r="X54" i="18" s="1"/>
  <c r="X55" i="18" s="1"/>
  <c r="Q65" i="20"/>
  <c r="W155" i="3" l="1"/>
  <c r="W183" i="3"/>
  <c r="W46" i="3"/>
  <c r="W88" i="3" s="1"/>
  <c r="Q183" i="20"/>
  <c r="X63" i="3"/>
  <c r="X43" i="3"/>
  <c r="X182" i="3" l="1"/>
  <c r="X145" i="3"/>
  <c r="Y43" i="3"/>
  <c r="Q35" i="20"/>
  <c r="X202" i="3"/>
  <c r="X65" i="3"/>
  <c r="Y63" i="3"/>
  <c r="Q245" i="20"/>
  <c r="W96" i="3"/>
  <c r="W97" i="3" s="1"/>
  <c r="W101" i="3" s="1"/>
  <c r="W107" i="3" s="1"/>
  <c r="W111" i="3" s="1"/>
  <c r="W113" i="3" s="1"/>
  <c r="W119" i="3" s="1"/>
  <c r="W122" i="3" s="1"/>
  <c r="W226" i="3"/>
  <c r="W159" i="3"/>
  <c r="Q272" i="20" l="1"/>
  <c r="Q247" i="20"/>
  <c r="Q286" i="20"/>
  <c r="Q287" i="20" s="1"/>
  <c r="X89" i="3"/>
  <c r="Y89" i="3" s="1"/>
  <c r="Y65" i="3"/>
  <c r="R246" i="20"/>
  <c r="X95" i="3"/>
  <c r="Y95" i="3" s="1"/>
  <c r="Y145" i="3"/>
  <c r="X149" i="3"/>
  <c r="X152" i="3"/>
  <c r="X154" i="3"/>
  <c r="Q144" i="20"/>
  <c r="R52" i="20"/>
  <c r="X24" i="18"/>
  <c r="X25" i="18" s="1"/>
  <c r="X26" i="18" s="1"/>
  <c r="Q193" i="20" s="1"/>
  <c r="Q66" i="20"/>
  <c r="R34" i="20"/>
  <c r="Y23" i="18" l="1"/>
  <c r="R65" i="20"/>
  <c r="S34" i="20"/>
  <c r="Y40" i="18"/>
  <c r="Y41" i="18" s="1"/>
  <c r="Y42" i="18" s="1"/>
  <c r="R194" i="20" s="1"/>
  <c r="S194" i="20" s="1"/>
  <c r="S52" i="20"/>
  <c r="Z144" i="3"/>
  <c r="X44" i="3"/>
  <c r="Z142" i="3"/>
  <c r="R143" i="20"/>
  <c r="S246" i="20"/>
  <c r="Q184" i="20"/>
  <c r="Q145" i="20"/>
  <c r="S65" i="20" l="1"/>
  <c r="G129" i="27" s="1"/>
  <c r="R183" i="20"/>
  <c r="S143" i="20"/>
  <c r="G10" i="27"/>
  <c r="X183" i="3"/>
  <c r="X155" i="3"/>
  <c r="Y44" i="3"/>
  <c r="X46" i="3"/>
  <c r="Z43" i="3"/>
  <c r="Z63" i="3"/>
  <c r="Y53" i="18"/>
  <c r="Y54" i="18" s="1"/>
  <c r="Y55" i="18" s="1"/>
  <c r="Z182" i="3" l="1"/>
  <c r="Z145" i="3"/>
  <c r="X88" i="3"/>
  <c r="Y46" i="3"/>
  <c r="X96" i="3"/>
  <c r="Y96" i="3" s="1"/>
  <c r="R245" i="20"/>
  <c r="X226" i="3"/>
  <c r="Y226" i="3" s="1"/>
  <c r="X159" i="3"/>
  <c r="Z202" i="3"/>
  <c r="Z65" i="3"/>
  <c r="R35" i="20"/>
  <c r="S183" i="20"/>
  <c r="R66" i="20" l="1"/>
  <c r="Y24" i="18"/>
  <c r="Y25" i="18" s="1"/>
  <c r="Y26" i="18" s="1"/>
  <c r="R193" i="20" s="1"/>
  <c r="S35" i="20"/>
  <c r="S66" i="20" s="1"/>
  <c r="G130" i="27" s="1"/>
  <c r="Z152" i="3"/>
  <c r="Z154" i="3"/>
  <c r="R144" i="20"/>
  <c r="R272" i="20"/>
  <c r="S272" i="20" s="1"/>
  <c r="R247" i="20"/>
  <c r="S247" i="20" s="1"/>
  <c r="G169" i="27" s="1"/>
  <c r="S245" i="20"/>
  <c r="R286" i="20"/>
  <c r="T246" i="20"/>
  <c r="Z95" i="3"/>
  <c r="Z149" i="3"/>
  <c r="Z89" i="3"/>
  <c r="T52" i="20"/>
  <c r="X97" i="3"/>
  <c r="Y88" i="3"/>
  <c r="T34" i="20"/>
  <c r="AA23" i="18" l="1"/>
  <c r="T65" i="20"/>
  <c r="X101" i="3"/>
  <c r="X107" i="3" s="1"/>
  <c r="X111" i="3" s="1"/>
  <c r="X113" i="3" s="1"/>
  <c r="X119" i="3" s="1"/>
  <c r="X122" i="3" s="1"/>
  <c r="Y97" i="3"/>
  <c r="Y101" i="3" s="1"/>
  <c r="Y107" i="3" s="1"/>
  <c r="Y111" i="3" s="1"/>
  <c r="Y113" i="3" s="1"/>
  <c r="Y119" i="3" s="1"/>
  <c r="Y122" i="3" s="1"/>
  <c r="Y125" i="3" s="1"/>
  <c r="AA40" i="18"/>
  <c r="R287" i="20"/>
  <c r="S286" i="20"/>
  <c r="S287" i="20" s="1"/>
  <c r="R184" i="20"/>
  <c r="S144" i="20"/>
  <c r="G111" i="27" s="1"/>
  <c r="G11" i="27"/>
  <c r="R145" i="20"/>
  <c r="S193" i="20"/>
  <c r="AA144" i="3"/>
  <c r="Z44" i="3"/>
  <c r="T143" i="20"/>
  <c r="AA142" i="3"/>
  <c r="AA63" i="3" l="1"/>
  <c r="AA43" i="3"/>
  <c r="Z183" i="3"/>
  <c r="Z155" i="3"/>
  <c r="Z46" i="3"/>
  <c r="S184" i="20"/>
  <c r="G18" i="27"/>
  <c r="T183" i="20"/>
  <c r="S145" i="20"/>
  <c r="Y134" i="3"/>
  <c r="Y136" i="3" s="1"/>
  <c r="AA53" i="18"/>
  <c r="Y138" i="3" l="1"/>
  <c r="Y140" i="3"/>
  <c r="T35" i="20"/>
  <c r="AA202" i="3"/>
  <c r="AA65" i="3"/>
  <c r="K307" i="20"/>
  <c r="T240" i="3"/>
  <c r="M307" i="20"/>
  <c r="I307" i="20"/>
  <c r="N307" i="20"/>
  <c r="J307" i="20"/>
  <c r="R307" i="20"/>
  <c r="X240" i="3"/>
  <c r="P307" i="20"/>
  <c r="Q307" i="20"/>
  <c r="Y130" i="3"/>
  <c r="Q240" i="3"/>
  <c r="S240" i="3"/>
  <c r="L307" i="20"/>
  <c r="N240" i="3"/>
  <c r="Y131" i="3"/>
  <c r="P240" i="3"/>
  <c r="W240" i="3"/>
  <c r="H307" i="20"/>
  <c r="U240" i="3"/>
  <c r="Y127" i="3"/>
  <c r="X127" i="3" s="1"/>
  <c r="M240" i="3"/>
  <c r="V240" i="3"/>
  <c r="O240" i="3"/>
  <c r="O307" i="20"/>
  <c r="G307" i="20"/>
  <c r="R240" i="3"/>
  <c r="Z88" i="3"/>
  <c r="Z96" i="3"/>
  <c r="T245" i="20"/>
  <c r="Z226" i="3"/>
  <c r="Z159" i="3"/>
  <c r="AA145" i="3"/>
  <c r="AA182" i="3"/>
  <c r="S307" i="20" l="1"/>
  <c r="U34" i="20"/>
  <c r="AA152" i="3"/>
  <c r="AA154" i="3"/>
  <c r="T144" i="20"/>
  <c r="T272" i="20"/>
  <c r="T247" i="20"/>
  <c r="T286" i="20"/>
  <c r="W127" i="3"/>
  <c r="X214" i="3"/>
  <c r="R78" i="20" s="1"/>
  <c r="AL146" i="3"/>
  <c r="X130" i="3"/>
  <c r="AA89" i="3"/>
  <c r="AA95" i="3"/>
  <c r="U246" i="20"/>
  <c r="AA149" i="3"/>
  <c r="Z97" i="3"/>
  <c r="Y240" i="3"/>
  <c r="X131" i="3"/>
  <c r="AL147" i="3"/>
  <c r="U52" i="20"/>
  <c r="T66" i="20"/>
  <c r="AA24" i="18"/>
  <c r="V138" i="3"/>
  <c r="V209" i="3" s="1"/>
  <c r="S138" i="3"/>
  <c r="S209" i="3" s="1"/>
  <c r="P138" i="3"/>
  <c r="P209" i="3" s="1"/>
  <c r="M138" i="3"/>
  <c r="M209" i="3" s="1"/>
  <c r="X138" i="3"/>
  <c r="X209" i="3" s="1"/>
  <c r="T138" i="3"/>
  <c r="T209" i="3" s="1"/>
  <c r="R138" i="3"/>
  <c r="R209" i="3" s="1"/>
  <c r="N138" i="3"/>
  <c r="N209" i="3" s="1"/>
  <c r="W138" i="3"/>
  <c r="W209" i="3" s="1"/>
  <c r="U138" i="3"/>
  <c r="U209" i="3" s="1"/>
  <c r="Q138" i="3"/>
  <c r="Q209" i="3" s="1"/>
  <c r="O138" i="3"/>
  <c r="O209" i="3" s="1"/>
  <c r="I72" i="20" l="1"/>
  <c r="O210" i="3"/>
  <c r="O72" i="20"/>
  <c r="U210" i="3"/>
  <c r="N210" i="3"/>
  <c r="H72" i="20"/>
  <c r="T210" i="3"/>
  <c r="N72" i="20"/>
  <c r="M210" i="3"/>
  <c r="G72" i="20"/>
  <c r="M72" i="20"/>
  <c r="S210" i="3"/>
  <c r="AB40" i="18"/>
  <c r="W131" i="3"/>
  <c r="X203" i="3"/>
  <c r="AB144" i="3"/>
  <c r="AA44" i="3"/>
  <c r="U143" i="20"/>
  <c r="AB142" i="3"/>
  <c r="AA146" i="3"/>
  <c r="AI146" i="3"/>
  <c r="AG146" i="3"/>
  <c r="AD146" i="3"/>
  <c r="AF146" i="3"/>
  <c r="Z146" i="3"/>
  <c r="AK146" i="3"/>
  <c r="AJ146" i="3"/>
  <c r="AE146" i="3"/>
  <c r="AB146" i="3"/>
  <c r="AH146" i="3"/>
  <c r="AC146" i="3"/>
  <c r="V127" i="3"/>
  <c r="W214" i="3"/>
  <c r="Q78" i="20" s="1"/>
  <c r="K72" i="20"/>
  <c r="Q210" i="3"/>
  <c r="W210" i="3"/>
  <c r="Q72" i="20"/>
  <c r="R210" i="3"/>
  <c r="L72" i="20"/>
  <c r="X210" i="3"/>
  <c r="R72" i="20"/>
  <c r="J72" i="20"/>
  <c r="P210" i="3"/>
  <c r="P72" i="20"/>
  <c r="V210" i="3"/>
  <c r="AG147" i="3"/>
  <c r="AB147" i="3"/>
  <c r="Z147" i="3"/>
  <c r="AD147" i="3"/>
  <c r="AA147" i="3"/>
  <c r="AE147" i="3"/>
  <c r="AC147" i="3"/>
  <c r="AK147" i="3"/>
  <c r="AF147" i="3"/>
  <c r="AH147" i="3"/>
  <c r="AI147" i="3"/>
  <c r="AJ147" i="3"/>
  <c r="Z101" i="3"/>
  <c r="Z107" i="3" s="1"/>
  <c r="Z111" i="3" s="1"/>
  <c r="Z113" i="3" s="1"/>
  <c r="Z119" i="3" s="1"/>
  <c r="Z122" i="3" s="1"/>
  <c r="X184" i="3"/>
  <c r="W130" i="3"/>
  <c r="T287" i="20"/>
  <c r="T184" i="20"/>
  <c r="T145" i="20"/>
  <c r="AB23" i="18"/>
  <c r="U65" i="20"/>
  <c r="AB53" i="18" l="1"/>
  <c r="R36" i="20"/>
  <c r="X185" i="3"/>
  <c r="R73" i="20"/>
  <c r="X215" i="3"/>
  <c r="L73" i="20"/>
  <c r="W215" i="3"/>
  <c r="Q73" i="20"/>
  <c r="AB43" i="3"/>
  <c r="AB63" i="3"/>
  <c r="AA155" i="3"/>
  <c r="AA183" i="3"/>
  <c r="AA46" i="3"/>
  <c r="R53" i="20"/>
  <c r="AM39" i="18" s="1"/>
  <c r="AL39" i="18" s="1"/>
  <c r="AK39" i="18" s="1"/>
  <c r="AJ39" i="18" s="1"/>
  <c r="AI39" i="18" s="1"/>
  <c r="AH39" i="18" s="1"/>
  <c r="AG39" i="18" s="1"/>
  <c r="AF39" i="18" s="1"/>
  <c r="AE39" i="18" s="1"/>
  <c r="AD39" i="18" s="1"/>
  <c r="AC39" i="18" s="1"/>
  <c r="AB39" i="18" s="1"/>
  <c r="X204" i="3"/>
  <c r="M73" i="20"/>
  <c r="S72" i="20"/>
  <c r="G140" i="27" s="1"/>
  <c r="O73" i="20"/>
  <c r="I73" i="20"/>
  <c r="V130" i="3"/>
  <c r="W184" i="3"/>
  <c r="P73" i="20"/>
  <c r="J73" i="20"/>
  <c r="K73" i="20"/>
  <c r="U127" i="3"/>
  <c r="V214" i="3"/>
  <c r="P78" i="20" s="1"/>
  <c r="U183" i="20"/>
  <c r="W203" i="3"/>
  <c r="V131" i="3"/>
  <c r="G73" i="20"/>
  <c r="N73" i="20"/>
  <c r="H73" i="20"/>
  <c r="V203" i="3" l="1"/>
  <c r="U131" i="3"/>
  <c r="V215" i="3"/>
  <c r="Q36" i="20"/>
  <c r="W185" i="3"/>
  <c r="AA39" i="18"/>
  <c r="AA41" i="18" s="1"/>
  <c r="AA42" i="18" s="1"/>
  <c r="T194" i="20" s="1"/>
  <c r="AB41" i="18"/>
  <c r="AB42" i="18" s="1"/>
  <c r="U194" i="20" s="1"/>
  <c r="AA96" i="3"/>
  <c r="U245" i="20"/>
  <c r="AA226" i="3"/>
  <c r="AA159" i="3"/>
  <c r="AB145" i="3"/>
  <c r="AB182" i="3"/>
  <c r="X266" i="3"/>
  <c r="X466" i="3" s="1"/>
  <c r="AD466" i="21" s="1"/>
  <c r="X221" i="3"/>
  <c r="R79" i="20"/>
  <c r="R195" i="20" s="1"/>
  <c r="R202" i="20" s="1"/>
  <c r="X264" i="3"/>
  <c r="X464" i="3" s="1"/>
  <c r="X219" i="3"/>
  <c r="R37" i="20"/>
  <c r="S73" i="20"/>
  <c r="Q53" i="20"/>
  <c r="W204" i="3"/>
  <c r="U214" i="3"/>
  <c r="T127" i="3"/>
  <c r="V184" i="3"/>
  <c r="U130" i="3"/>
  <c r="X265" i="3"/>
  <c r="X465" i="3" s="1"/>
  <c r="AD465" i="21" s="1"/>
  <c r="R54" i="20"/>
  <c r="Y59" i="18" s="1"/>
  <c r="X220" i="3"/>
  <c r="AA88" i="3"/>
  <c r="U35" i="20"/>
  <c r="AB202" i="3"/>
  <c r="AB65" i="3"/>
  <c r="W266" i="3"/>
  <c r="W466" i="3" s="1"/>
  <c r="AC466" i="21" s="1"/>
  <c r="W221" i="3"/>
  <c r="Q79" i="20"/>
  <c r="Q195" i="20" s="1"/>
  <c r="Q202" i="20" s="1"/>
  <c r="AM22" i="18"/>
  <c r="AL22" i="18" s="1"/>
  <c r="R67" i="20"/>
  <c r="AK22" i="18" l="1"/>
  <c r="AL52" i="18"/>
  <c r="V52" i="20"/>
  <c r="AB24" i="18"/>
  <c r="U66" i="20"/>
  <c r="AA97" i="3"/>
  <c r="T130" i="3"/>
  <c r="U184" i="3"/>
  <c r="S127" i="3"/>
  <c r="T214" i="3"/>
  <c r="W265" i="3"/>
  <c r="W465" i="3" s="1"/>
  <c r="AC465" i="21" s="1"/>
  <c r="Q54" i="20"/>
  <c r="X59" i="18" s="1"/>
  <c r="W220" i="3"/>
  <c r="X227" i="3"/>
  <c r="X231" i="3" s="1"/>
  <c r="X237" i="3" s="1"/>
  <c r="X242" i="3" s="1"/>
  <c r="X244" i="3" s="1"/>
  <c r="X250" i="3" s="1"/>
  <c r="V246" i="20"/>
  <c r="AB95" i="3"/>
  <c r="AB149" i="3"/>
  <c r="Q67" i="20"/>
  <c r="U203" i="3"/>
  <c r="T131" i="3"/>
  <c r="AB89" i="3"/>
  <c r="P36" i="20"/>
  <c r="V185" i="3"/>
  <c r="O78" i="20"/>
  <c r="U215" i="3"/>
  <c r="R68" i="20"/>
  <c r="R85" i="20"/>
  <c r="Y58" i="18"/>
  <c r="Y60" i="18" s="1"/>
  <c r="X572" i="3"/>
  <c r="AD464" i="21"/>
  <c r="AD572" i="21" s="1"/>
  <c r="V34" i="20"/>
  <c r="AB154" i="3"/>
  <c r="AB152" i="3"/>
  <c r="U144" i="20"/>
  <c r="U272" i="20"/>
  <c r="U247" i="20"/>
  <c r="U286" i="20"/>
  <c r="W219" i="3"/>
  <c r="W264" i="3"/>
  <c r="W464" i="3" s="1"/>
  <c r="Q37" i="20"/>
  <c r="V266" i="3"/>
  <c r="V466" i="3" s="1"/>
  <c r="AB466" i="21" s="1"/>
  <c r="V221" i="3"/>
  <c r="P79" i="20"/>
  <c r="P195" i="20" s="1"/>
  <c r="P202" i="20" s="1"/>
  <c r="P53" i="20"/>
  <c r="V204" i="3"/>
  <c r="W227" i="3" l="1"/>
  <c r="W231" i="3" s="1"/>
  <c r="W237" i="3" s="1"/>
  <c r="W242" i="3" s="1"/>
  <c r="W244" i="3" s="1"/>
  <c r="W250" i="3" s="1"/>
  <c r="Q85" i="20"/>
  <c r="Q68" i="20"/>
  <c r="X58" i="18"/>
  <c r="X60" i="18" s="1"/>
  <c r="V265" i="3"/>
  <c r="V465" i="3" s="1"/>
  <c r="AB465" i="21" s="1"/>
  <c r="P54" i="20"/>
  <c r="W59" i="18" s="1"/>
  <c r="V220" i="3"/>
  <c r="W572" i="3"/>
  <c r="AC464" i="21"/>
  <c r="AC572" i="21" s="1"/>
  <c r="U287" i="20"/>
  <c r="U184" i="20"/>
  <c r="U145" i="20"/>
  <c r="V65" i="20"/>
  <c r="AC23" i="18"/>
  <c r="R88" i="20"/>
  <c r="R118" i="20" s="1"/>
  <c r="R127" i="20" s="1"/>
  <c r="AD574" i="21" s="1"/>
  <c r="R151" i="20"/>
  <c r="U221" i="3"/>
  <c r="U266" i="3"/>
  <c r="U466" i="3" s="1"/>
  <c r="AA466" i="21" s="1"/>
  <c r="O79" i="20"/>
  <c r="O195" i="20" s="1"/>
  <c r="O202" i="20" s="1"/>
  <c r="V219" i="3"/>
  <c r="V264" i="3"/>
  <c r="V464" i="3" s="1"/>
  <c r="P37" i="20"/>
  <c r="S131" i="3"/>
  <c r="T203" i="3"/>
  <c r="AB44" i="3"/>
  <c r="AC142" i="3"/>
  <c r="AC144" i="3"/>
  <c r="V143" i="20"/>
  <c r="R127" i="3"/>
  <c r="S214" i="3"/>
  <c r="S130" i="3"/>
  <c r="T184" i="3"/>
  <c r="AA101" i="3"/>
  <c r="AA107" i="3" s="1"/>
  <c r="AA111" i="3" s="1"/>
  <c r="AA113" i="3" s="1"/>
  <c r="AA119" i="3" s="1"/>
  <c r="AA122" i="3" s="1"/>
  <c r="P67" i="20"/>
  <c r="O53" i="20"/>
  <c r="U204" i="3"/>
  <c r="N78" i="20"/>
  <c r="T215" i="3"/>
  <c r="O36" i="20"/>
  <c r="O67" i="20" s="1"/>
  <c r="U185" i="3"/>
  <c r="AC40" i="18"/>
  <c r="AC41" i="18" s="1"/>
  <c r="AC42" i="18" s="1"/>
  <c r="V194" i="20" s="1"/>
  <c r="AK52" i="18"/>
  <c r="AJ22" i="18"/>
  <c r="V227" i="3" l="1"/>
  <c r="V231" i="3" s="1"/>
  <c r="V237" i="3" s="1"/>
  <c r="V242" i="3" s="1"/>
  <c r="V244" i="3" s="1"/>
  <c r="V250" i="3" s="1"/>
  <c r="S184" i="3"/>
  <c r="R130" i="3"/>
  <c r="Q127" i="3"/>
  <c r="R214" i="3"/>
  <c r="AB183" i="3"/>
  <c r="AB155" i="3"/>
  <c r="AB46" i="3"/>
  <c r="R131" i="3"/>
  <c r="S203" i="3"/>
  <c r="AB464" i="21"/>
  <c r="AB572" i="21" s="1"/>
  <c r="V572" i="3"/>
  <c r="R304" i="20"/>
  <c r="R309" i="20" s="1"/>
  <c r="R311" i="20" s="1"/>
  <c r="R317" i="20" s="1"/>
  <c r="R320" i="20"/>
  <c r="R323" i="20" s="1"/>
  <c r="R325" i="20" s="1"/>
  <c r="R331" i="20" s="1"/>
  <c r="R266" i="20"/>
  <c r="AC53" i="18"/>
  <c r="AI22" i="18"/>
  <c r="AJ52" i="18"/>
  <c r="O37" i="20"/>
  <c r="U264" i="3"/>
  <c r="U464" i="3" s="1"/>
  <c r="U219" i="3"/>
  <c r="T266" i="3"/>
  <c r="T466" i="3" s="1"/>
  <c r="Z466" i="21" s="1"/>
  <c r="T221" i="3"/>
  <c r="N79" i="20"/>
  <c r="N195" i="20" s="1"/>
  <c r="N202" i="20" s="1"/>
  <c r="O54" i="20"/>
  <c r="V59" i="18" s="1"/>
  <c r="U265" i="3"/>
  <c r="U465" i="3" s="1"/>
  <c r="AA465" i="21" s="1"/>
  <c r="U220" i="3"/>
  <c r="N36" i="20"/>
  <c r="T185" i="3"/>
  <c r="M78" i="20"/>
  <c r="S215" i="3"/>
  <c r="V183" i="20"/>
  <c r="AC63" i="3"/>
  <c r="AC43" i="3"/>
  <c r="N53" i="20"/>
  <c r="T204" i="3"/>
  <c r="P68" i="20"/>
  <c r="P85" i="20"/>
  <c r="W58" i="18"/>
  <c r="W60" i="18" s="1"/>
  <c r="S151" i="20"/>
  <c r="G12" i="27"/>
  <c r="Q151" i="20"/>
  <c r="Q88" i="20"/>
  <c r="Q118" i="20" s="1"/>
  <c r="Q127" i="20" s="1"/>
  <c r="N67" i="20" l="1"/>
  <c r="Q320" i="20"/>
  <c r="Q323" i="20" s="1"/>
  <c r="Q325" i="20" s="1"/>
  <c r="Q331" i="20" s="1"/>
  <c r="Q304" i="20"/>
  <c r="Q309" i="20" s="1"/>
  <c r="Q311" i="20" s="1"/>
  <c r="Q317" i="20" s="1"/>
  <c r="Q266" i="20"/>
  <c r="AC202" i="3"/>
  <c r="AC65" i="3"/>
  <c r="S266" i="3"/>
  <c r="S466" i="3" s="1"/>
  <c r="Y466" i="21" s="1"/>
  <c r="M79" i="20"/>
  <c r="M195" i="20" s="1"/>
  <c r="M202" i="20" s="1"/>
  <c r="S221" i="3"/>
  <c r="T264" i="3"/>
  <c r="T464" i="3" s="1"/>
  <c r="T219" i="3"/>
  <c r="N37" i="20"/>
  <c r="U227" i="3"/>
  <c r="U231" i="3" s="1"/>
  <c r="U237" i="3" s="1"/>
  <c r="U242" i="3" s="1"/>
  <c r="U244" i="3" s="1"/>
  <c r="U250" i="3" s="1"/>
  <c r="O68" i="20"/>
  <c r="O85" i="20"/>
  <c r="V58" i="18"/>
  <c r="V60" i="18" s="1"/>
  <c r="AI52" i="18"/>
  <c r="AH22" i="18"/>
  <c r="M53" i="20"/>
  <c r="S204" i="3"/>
  <c r="AB88" i="3"/>
  <c r="V245" i="20"/>
  <c r="AB96" i="3"/>
  <c r="AB226" i="3"/>
  <c r="AB159" i="3"/>
  <c r="L78" i="20"/>
  <c r="R215" i="3"/>
  <c r="Q130" i="3"/>
  <c r="R184" i="3"/>
  <c r="R253" i="20"/>
  <c r="P88" i="20"/>
  <c r="P118" i="20" s="1"/>
  <c r="P127" i="20" s="1"/>
  <c r="P151" i="20"/>
  <c r="T220" i="3"/>
  <c r="T265" i="3"/>
  <c r="T465" i="3" s="1"/>
  <c r="Z465" i="21" s="1"/>
  <c r="N54" i="20"/>
  <c r="U59" i="18" s="1"/>
  <c r="AC145" i="3"/>
  <c r="AC182" i="3"/>
  <c r="U572" i="3"/>
  <c r="AA464" i="21"/>
  <c r="AA572" i="21" s="1"/>
  <c r="AC574" i="21"/>
  <c r="AB574" i="21"/>
  <c r="Q131" i="3"/>
  <c r="R203" i="3"/>
  <c r="V35" i="20"/>
  <c r="P127" i="3"/>
  <c r="Q214" i="3"/>
  <c r="M36" i="20"/>
  <c r="M67" i="20" s="1"/>
  <c r="S185" i="3"/>
  <c r="M37" i="20" l="1"/>
  <c r="S264" i="3"/>
  <c r="S464" i="3" s="1"/>
  <c r="S219" i="3"/>
  <c r="K78" i="20"/>
  <c r="Q215" i="3"/>
  <c r="L53" i="20"/>
  <c r="R204" i="3"/>
  <c r="W246" i="20"/>
  <c r="AC95" i="3"/>
  <c r="AC149" i="3"/>
  <c r="Q253" i="20"/>
  <c r="L36" i="20"/>
  <c r="L67" i="20" s="1"/>
  <c r="R185" i="3"/>
  <c r="R266" i="3"/>
  <c r="R466" i="3" s="1"/>
  <c r="X466" i="21" s="1"/>
  <c r="L79" i="20"/>
  <c r="L195" i="20" s="1"/>
  <c r="L202" i="20" s="1"/>
  <c r="R221" i="3"/>
  <c r="V144" i="20"/>
  <c r="AC152" i="3"/>
  <c r="AC154" i="3"/>
  <c r="S265" i="3"/>
  <c r="S465" i="3" s="1"/>
  <c r="Y465" i="21" s="1"/>
  <c r="S220" i="3"/>
  <c r="M54" i="20"/>
  <c r="T59" i="18" s="1"/>
  <c r="AG22" i="18"/>
  <c r="AH52" i="18"/>
  <c r="N68" i="20"/>
  <c r="N85" i="20"/>
  <c r="U58" i="18"/>
  <c r="U60" i="18" s="1"/>
  <c r="Z464" i="21"/>
  <c r="Z572" i="21" s="1"/>
  <c r="T572" i="3"/>
  <c r="W52" i="20"/>
  <c r="P214" i="3"/>
  <c r="O127" i="3"/>
  <c r="AC24" i="18"/>
  <c r="V66" i="20"/>
  <c r="P131" i="3"/>
  <c r="Q203" i="3"/>
  <c r="W34" i="20"/>
  <c r="P304" i="20"/>
  <c r="P309" i="20" s="1"/>
  <c r="P311" i="20" s="1"/>
  <c r="P317" i="20" s="1"/>
  <c r="P266" i="20"/>
  <c r="P320" i="20"/>
  <c r="P323" i="20" s="1"/>
  <c r="P325" i="20" s="1"/>
  <c r="P331" i="20" s="1"/>
  <c r="R275" i="20"/>
  <c r="R260" i="20"/>
  <c r="R213" i="20" s="1"/>
  <c r="R215" i="20" s="1"/>
  <c r="R217" i="20" s="1"/>
  <c r="R228" i="20" s="1"/>
  <c r="R237" i="20" s="1"/>
  <c r="P130" i="3"/>
  <c r="Q184" i="3"/>
  <c r="V272" i="20"/>
  <c r="V247" i="20"/>
  <c r="V286" i="20"/>
  <c r="AB97" i="3"/>
  <c r="O151" i="20"/>
  <c r="P253" i="20" s="1"/>
  <c r="O88" i="20"/>
  <c r="O118" i="20" s="1"/>
  <c r="O127" i="20" s="1"/>
  <c r="AA574" i="21" s="1"/>
  <c r="T227" i="3"/>
  <c r="T231" i="3" s="1"/>
  <c r="T237" i="3" s="1"/>
  <c r="T242" i="3" s="1"/>
  <c r="T244" i="3" s="1"/>
  <c r="T250" i="3" s="1"/>
  <c r="AC89" i="3"/>
  <c r="P260" i="20" l="1"/>
  <c r="P213" i="20" s="1"/>
  <c r="P215" i="20" s="1"/>
  <c r="P217" i="20" s="1"/>
  <c r="P228" i="20" s="1"/>
  <c r="P237" i="20" s="1"/>
  <c r="P275" i="20"/>
  <c r="AB101" i="3"/>
  <c r="AB107" i="3" s="1"/>
  <c r="AB111" i="3" s="1"/>
  <c r="AB113" i="3" s="1"/>
  <c r="AB119" i="3" s="1"/>
  <c r="AB122" i="3" s="1"/>
  <c r="O130" i="3"/>
  <c r="P184" i="3"/>
  <c r="P203" i="3"/>
  <c r="O131" i="3"/>
  <c r="O214" i="3"/>
  <c r="N127" i="3"/>
  <c r="AF22" i="18"/>
  <c r="AG52" i="18"/>
  <c r="V184" i="20"/>
  <c r="V145" i="20"/>
  <c r="R219" i="3"/>
  <c r="R264" i="3"/>
  <c r="R464" i="3" s="1"/>
  <c r="L37" i="20"/>
  <c r="Q275" i="20"/>
  <c r="Q260" i="20"/>
  <c r="Q213" i="20" s="1"/>
  <c r="Q215" i="20" s="1"/>
  <c r="Q217" i="20" s="1"/>
  <c r="Q228" i="20" s="1"/>
  <c r="Q237" i="20" s="1"/>
  <c r="AD142" i="3"/>
  <c r="AC44" i="3"/>
  <c r="W143" i="20"/>
  <c r="AD144" i="3"/>
  <c r="Y464" i="21"/>
  <c r="Y572" i="21" s="1"/>
  <c r="S572" i="3"/>
  <c r="O320" i="20"/>
  <c r="O323" i="20" s="1"/>
  <c r="O325" i="20" s="1"/>
  <c r="O331" i="20" s="1"/>
  <c r="O266" i="20"/>
  <c r="O304" i="20"/>
  <c r="O309" i="20" s="1"/>
  <c r="O311" i="20" s="1"/>
  <c r="O317" i="20" s="1"/>
  <c r="V287" i="20"/>
  <c r="K36" i="20"/>
  <c r="Q185" i="3"/>
  <c r="W65" i="20"/>
  <c r="AD23" i="18"/>
  <c r="K53" i="20"/>
  <c r="Q204" i="3"/>
  <c r="J78" i="20"/>
  <c r="P215" i="3"/>
  <c r="AD40" i="18"/>
  <c r="AD41" i="18" s="1"/>
  <c r="AD42" i="18" s="1"/>
  <c r="W194" i="20" s="1"/>
  <c r="N88" i="20"/>
  <c r="N118" i="20" s="1"/>
  <c r="N127" i="20" s="1"/>
  <c r="Z574" i="21" s="1"/>
  <c r="N151" i="20"/>
  <c r="O253" i="20" s="1"/>
  <c r="R220" i="3"/>
  <c r="R265" i="3"/>
  <c r="R465" i="3" s="1"/>
  <c r="X465" i="21" s="1"/>
  <c r="L54" i="20"/>
  <c r="S59" i="18" s="1"/>
  <c r="Q221" i="3"/>
  <c r="K79" i="20"/>
  <c r="K195" i="20" s="1"/>
  <c r="K202" i="20" s="1"/>
  <c r="Q266" i="3"/>
  <c r="Q466" i="3" s="1"/>
  <c r="W466" i="21" s="1"/>
  <c r="S227" i="3"/>
  <c r="S231" i="3" s="1"/>
  <c r="S237" i="3" s="1"/>
  <c r="S242" i="3" s="1"/>
  <c r="S244" i="3" s="1"/>
  <c r="S250" i="3" s="1"/>
  <c r="M85" i="20"/>
  <c r="M68" i="20"/>
  <c r="T58" i="18"/>
  <c r="T60" i="18" s="1"/>
  <c r="K67" i="20" l="1"/>
  <c r="O275" i="20"/>
  <c r="O260" i="20"/>
  <c r="O213" i="20" s="1"/>
  <c r="O215" i="20" s="1"/>
  <c r="O217" i="20" s="1"/>
  <c r="O228" i="20" s="1"/>
  <c r="O237" i="20" s="1"/>
  <c r="AD53" i="18"/>
  <c r="K37" i="20"/>
  <c r="Q264" i="3"/>
  <c r="Q464" i="3" s="1"/>
  <c r="Q219" i="3"/>
  <c r="W183" i="20"/>
  <c r="AD43" i="3"/>
  <c r="AD63" i="3"/>
  <c r="R572" i="3"/>
  <c r="X464" i="21"/>
  <c r="X572" i="21" s="1"/>
  <c r="M127" i="3"/>
  <c r="M214" i="3" s="1"/>
  <c r="N214" i="3"/>
  <c r="N131" i="3"/>
  <c r="O203" i="3"/>
  <c r="N130" i="3"/>
  <c r="O184" i="3"/>
  <c r="M151" i="20"/>
  <c r="M88" i="20"/>
  <c r="M118" i="20" s="1"/>
  <c r="M127" i="20" s="1"/>
  <c r="N266" i="20"/>
  <c r="N304" i="20"/>
  <c r="N309" i="20" s="1"/>
  <c r="N311" i="20" s="1"/>
  <c r="N317" i="20" s="1"/>
  <c r="N320" i="20"/>
  <c r="N323" i="20" s="1"/>
  <c r="N325" i="20" s="1"/>
  <c r="N331" i="20" s="1"/>
  <c r="P266" i="3"/>
  <c r="P466" i="3" s="1"/>
  <c r="V466" i="21" s="1"/>
  <c r="J79" i="20"/>
  <c r="J195" i="20" s="1"/>
  <c r="J202" i="20" s="1"/>
  <c r="P221" i="3"/>
  <c r="Q220" i="3"/>
  <c r="Q265" i="3"/>
  <c r="Q465" i="3" s="1"/>
  <c r="W465" i="21" s="1"/>
  <c r="K54" i="20"/>
  <c r="R59" i="18" s="1"/>
  <c r="AC155" i="3"/>
  <c r="AC183" i="3"/>
  <c r="AC46" i="3"/>
  <c r="L85" i="20"/>
  <c r="L68" i="20"/>
  <c r="S58" i="18"/>
  <c r="S60" i="18" s="1"/>
  <c r="R227" i="3"/>
  <c r="R231" i="3" s="1"/>
  <c r="R237" i="3" s="1"/>
  <c r="R242" i="3" s="1"/>
  <c r="R244" i="3" s="1"/>
  <c r="R250" i="3" s="1"/>
  <c r="AF52" i="18"/>
  <c r="AE22" i="18"/>
  <c r="I78" i="20"/>
  <c r="O215" i="3"/>
  <c r="J53" i="20"/>
  <c r="P204" i="3"/>
  <c r="J36" i="20"/>
  <c r="J67" i="20" s="1"/>
  <c r="P185" i="3"/>
  <c r="L151" i="20" l="1"/>
  <c r="L88" i="20"/>
  <c r="L118" i="20" s="1"/>
  <c r="L127" i="20" s="1"/>
  <c r="AC96" i="3"/>
  <c r="W245" i="20"/>
  <c r="AC226" i="3"/>
  <c r="AC159" i="3"/>
  <c r="M304" i="20"/>
  <c r="M309" i="20" s="1"/>
  <c r="M311" i="20" s="1"/>
  <c r="M317" i="20" s="1"/>
  <c r="M266" i="20"/>
  <c r="M320" i="20"/>
  <c r="M323" i="20" s="1"/>
  <c r="M325" i="20" s="1"/>
  <c r="M331" i="20" s="1"/>
  <c r="I36" i="20"/>
  <c r="O185" i="3"/>
  <c r="I53" i="20"/>
  <c r="O204" i="3"/>
  <c r="H78" i="20"/>
  <c r="N215" i="3"/>
  <c r="X574" i="21"/>
  <c r="AD202" i="3"/>
  <c r="AD65" i="3"/>
  <c r="Q227" i="3"/>
  <c r="Q231" i="3" s="1"/>
  <c r="Q237" i="3" s="1"/>
  <c r="Q242" i="3" s="1"/>
  <c r="Q244" i="3" s="1"/>
  <c r="Q250" i="3" s="1"/>
  <c r="K85" i="20"/>
  <c r="K68" i="20"/>
  <c r="R58" i="18"/>
  <c r="R60" i="18" s="1"/>
  <c r="P264" i="3"/>
  <c r="P464" i="3" s="1"/>
  <c r="P219" i="3"/>
  <c r="J37" i="20"/>
  <c r="P220" i="3"/>
  <c r="P265" i="3"/>
  <c r="P465" i="3" s="1"/>
  <c r="V465" i="21" s="1"/>
  <c r="J54" i="20"/>
  <c r="Q59" i="18" s="1"/>
  <c r="O221" i="3"/>
  <c r="O266" i="3"/>
  <c r="O466" i="3" s="1"/>
  <c r="U466" i="21" s="1"/>
  <c r="I79" i="20"/>
  <c r="I195" i="20" s="1"/>
  <c r="I202" i="20" s="1"/>
  <c r="AD22" i="18"/>
  <c r="AE52" i="18"/>
  <c r="AC88" i="3"/>
  <c r="W35" i="20"/>
  <c r="N253" i="20"/>
  <c r="M253" i="20"/>
  <c r="M130" i="3"/>
  <c r="M184" i="3" s="1"/>
  <c r="N184" i="3"/>
  <c r="N203" i="3"/>
  <c r="M131" i="3"/>
  <c r="M203" i="3" s="1"/>
  <c r="G78" i="20"/>
  <c r="S78" i="20" s="1"/>
  <c r="G145" i="27" s="1"/>
  <c r="G146" i="27" s="1"/>
  <c r="M215" i="3"/>
  <c r="AD182" i="3"/>
  <c r="AD145" i="3"/>
  <c r="Y574" i="21"/>
  <c r="Q572" i="3"/>
  <c r="W464" i="21"/>
  <c r="W572" i="21" s="1"/>
  <c r="AD95" i="3" l="1"/>
  <c r="X246" i="20"/>
  <c r="AD149" i="3"/>
  <c r="M221" i="3"/>
  <c r="M266" i="3"/>
  <c r="G79" i="20"/>
  <c r="G53" i="20"/>
  <c r="M204" i="3"/>
  <c r="H36" i="20"/>
  <c r="N185" i="3"/>
  <c r="M260" i="20"/>
  <c r="M213" i="20" s="1"/>
  <c r="M215" i="20" s="1"/>
  <c r="M217" i="20" s="1"/>
  <c r="M228" i="20" s="1"/>
  <c r="M237" i="20" s="1"/>
  <c r="M275" i="20"/>
  <c r="J85" i="20"/>
  <c r="J68" i="20"/>
  <c r="Q58" i="18"/>
  <c r="Q60" i="18" s="1"/>
  <c r="V464" i="21"/>
  <c r="V572" i="21" s="1"/>
  <c r="P572" i="3"/>
  <c r="AD89" i="3"/>
  <c r="I67" i="20"/>
  <c r="W144" i="20"/>
  <c r="AD154" i="3"/>
  <c r="AD152" i="3"/>
  <c r="W272" i="20"/>
  <c r="W247" i="20"/>
  <c r="W286" i="20"/>
  <c r="L320" i="20"/>
  <c r="L323" i="20" s="1"/>
  <c r="L325" i="20" s="1"/>
  <c r="L331" i="20" s="1"/>
  <c r="L266" i="20"/>
  <c r="L304" i="20"/>
  <c r="L309" i="20" s="1"/>
  <c r="L311" i="20" s="1"/>
  <c r="L317" i="20" s="1"/>
  <c r="X34" i="20"/>
  <c r="H53" i="20"/>
  <c r="N204" i="3"/>
  <c r="G36" i="20"/>
  <c r="M185" i="3"/>
  <c r="N275" i="20"/>
  <c r="N260" i="20"/>
  <c r="N213" i="20" s="1"/>
  <c r="N215" i="20" s="1"/>
  <c r="N217" i="20" s="1"/>
  <c r="N228" i="20" s="1"/>
  <c r="N237" i="20" s="1"/>
  <c r="W66" i="20"/>
  <c r="AD24" i="18"/>
  <c r="AD25" i="18" s="1"/>
  <c r="AD26" i="18" s="1"/>
  <c r="W193" i="20" s="1"/>
  <c r="AC97" i="3"/>
  <c r="AD52" i="18"/>
  <c r="AD54" i="18" s="1"/>
  <c r="AD55" i="18" s="1"/>
  <c r="AC22" i="18"/>
  <c r="P227" i="3"/>
  <c r="P231" i="3" s="1"/>
  <c r="P237" i="3" s="1"/>
  <c r="P242" i="3" s="1"/>
  <c r="P244" i="3" s="1"/>
  <c r="P250" i="3" s="1"/>
  <c r="K88" i="20"/>
  <c r="K118" i="20" s="1"/>
  <c r="K127" i="20" s="1"/>
  <c r="K151" i="20"/>
  <c r="L253" i="20" s="1"/>
  <c r="X52" i="20"/>
  <c r="N221" i="3"/>
  <c r="N266" i="3"/>
  <c r="N466" i="3" s="1"/>
  <c r="T466" i="21" s="1"/>
  <c r="H79" i="20"/>
  <c r="H195" i="20" s="1"/>
  <c r="H202" i="20" s="1"/>
  <c r="O265" i="3"/>
  <c r="O465" i="3" s="1"/>
  <c r="U465" i="21" s="1"/>
  <c r="I54" i="20"/>
  <c r="P59" i="18" s="1"/>
  <c r="O220" i="3"/>
  <c r="O219" i="3"/>
  <c r="O264" i="3"/>
  <c r="O464" i="3" s="1"/>
  <c r="I37" i="20"/>
  <c r="I85" i="20" l="1"/>
  <c r="I68" i="20"/>
  <c r="P58" i="18"/>
  <c r="P60" i="18" s="1"/>
  <c r="O227" i="3"/>
  <c r="O231" i="3" s="1"/>
  <c r="O237" i="3" s="1"/>
  <c r="O242" i="3" s="1"/>
  <c r="O244" i="3" s="1"/>
  <c r="O250" i="3" s="1"/>
  <c r="AE40" i="18"/>
  <c r="AE41" i="18" s="1"/>
  <c r="AE42" i="18" s="1"/>
  <c r="X194" i="20" s="1"/>
  <c r="K266" i="20"/>
  <c r="K304" i="20"/>
  <c r="K309" i="20" s="1"/>
  <c r="K311" i="20" s="1"/>
  <c r="K317" i="20" s="1"/>
  <c r="K320" i="20"/>
  <c r="K323" i="20" s="1"/>
  <c r="K325" i="20" s="1"/>
  <c r="K331" i="20" s="1"/>
  <c r="AB22" i="18"/>
  <c r="AC52" i="18"/>
  <c r="AC54" i="18" s="1"/>
  <c r="AC55" i="18" s="1"/>
  <c r="AC25" i="18"/>
  <c r="AC26" i="18" s="1"/>
  <c r="V193" i="20" s="1"/>
  <c r="G67" i="20"/>
  <c r="S36" i="20"/>
  <c r="AE23" i="18"/>
  <c r="X65" i="20"/>
  <c r="N264" i="3"/>
  <c r="N464" i="3" s="1"/>
  <c r="H37" i="20"/>
  <c r="N219" i="3"/>
  <c r="M265" i="3"/>
  <c r="M220" i="3"/>
  <c r="G54" i="20"/>
  <c r="G195" i="20"/>
  <c r="S79" i="20"/>
  <c r="G161" i="27" s="1"/>
  <c r="G167" i="27" s="1"/>
  <c r="Y221" i="3"/>
  <c r="L260" i="20"/>
  <c r="L213" i="20" s="1"/>
  <c r="L215" i="20" s="1"/>
  <c r="L217" i="20" s="1"/>
  <c r="L228" i="20" s="1"/>
  <c r="L237" i="20" s="1"/>
  <c r="L275" i="20"/>
  <c r="U464" i="21"/>
  <c r="U572" i="21" s="1"/>
  <c r="O572" i="3"/>
  <c r="K253" i="20"/>
  <c r="AC101" i="3"/>
  <c r="AC107" i="3" s="1"/>
  <c r="AC111" i="3" s="1"/>
  <c r="AC113" i="3" s="1"/>
  <c r="AC119" i="3" s="1"/>
  <c r="AC122" i="3" s="1"/>
  <c r="G37" i="20"/>
  <c r="M219" i="3"/>
  <c r="M264" i="3"/>
  <c r="N220" i="3"/>
  <c r="N265" i="3"/>
  <c r="N465" i="3" s="1"/>
  <c r="T465" i="21" s="1"/>
  <c r="H54" i="20"/>
  <c r="O59" i="18" s="1"/>
  <c r="W574" i="21"/>
  <c r="W287" i="20"/>
  <c r="W184" i="20"/>
  <c r="W145" i="20"/>
  <c r="J88" i="20"/>
  <c r="J118" i="20" s="1"/>
  <c r="J127" i="20" s="1"/>
  <c r="J151" i="20"/>
  <c r="H67" i="20"/>
  <c r="S53" i="20"/>
  <c r="Y266" i="3"/>
  <c r="M466" i="3"/>
  <c r="AD44" i="3"/>
  <c r="AE144" i="3"/>
  <c r="AE142" i="3"/>
  <c r="X143" i="20"/>
  <c r="AE53" i="18" l="1"/>
  <c r="AE54" i="18" s="1"/>
  <c r="AE55" i="18" s="1"/>
  <c r="AE43" i="3"/>
  <c r="AE63" i="3"/>
  <c r="AD155" i="3"/>
  <c r="AD183" i="3"/>
  <c r="AD46" i="3"/>
  <c r="J320" i="20"/>
  <c r="J323" i="20" s="1"/>
  <c r="J325" i="20" s="1"/>
  <c r="J331" i="20" s="1"/>
  <c r="J304" i="20"/>
  <c r="J309" i="20" s="1"/>
  <c r="J311" i="20" s="1"/>
  <c r="J317" i="20" s="1"/>
  <c r="J266" i="20"/>
  <c r="Y264" i="3"/>
  <c r="M464" i="3"/>
  <c r="G68" i="20"/>
  <c r="G85" i="20"/>
  <c r="S37" i="20"/>
  <c r="N58" i="18"/>
  <c r="K275" i="20"/>
  <c r="K260" i="20"/>
  <c r="K213" i="20" s="1"/>
  <c r="K215" i="20" s="1"/>
  <c r="K217" i="20" s="1"/>
  <c r="K228" i="20" s="1"/>
  <c r="K237" i="20" s="1"/>
  <c r="S54" i="20"/>
  <c r="G160" i="27" s="1"/>
  <c r="G166" i="27" s="1"/>
  <c r="N59" i="18"/>
  <c r="Z59" i="18" s="1"/>
  <c r="Y265" i="3"/>
  <c r="M465" i="3"/>
  <c r="H85" i="20"/>
  <c r="H68" i="20"/>
  <c r="O58" i="18"/>
  <c r="O60" i="18" s="1"/>
  <c r="V574" i="21"/>
  <c r="S67" i="20"/>
  <c r="G127" i="27" s="1"/>
  <c r="G131" i="27" s="1"/>
  <c r="AA22" i="18"/>
  <c r="AB52" i="18"/>
  <c r="AB54" i="18" s="1"/>
  <c r="AB55" i="18" s="1"/>
  <c r="AB25" i="18"/>
  <c r="AB26" i="18" s="1"/>
  <c r="U193" i="20" s="1"/>
  <c r="X183" i="20"/>
  <c r="S466" i="21"/>
  <c r="AE466" i="21" s="1"/>
  <c r="Y466" i="3"/>
  <c r="M227" i="3"/>
  <c r="Y219" i="3"/>
  <c r="S195" i="20"/>
  <c r="S202" i="20" s="1"/>
  <c r="G202" i="20"/>
  <c r="Y220" i="3"/>
  <c r="N227" i="3"/>
  <c r="N231" i="3" s="1"/>
  <c r="N237" i="3" s="1"/>
  <c r="N242" i="3" s="1"/>
  <c r="N244" i="3" s="1"/>
  <c r="N250" i="3" s="1"/>
  <c r="T464" i="21"/>
  <c r="T572" i="21" s="1"/>
  <c r="N572" i="3"/>
  <c r="I88" i="20"/>
  <c r="I118" i="20" s="1"/>
  <c r="I127" i="20" s="1"/>
  <c r="I151" i="20"/>
  <c r="J253" i="20" l="1"/>
  <c r="AA52" i="18"/>
  <c r="AA54" i="18" s="1"/>
  <c r="AA55" i="18" s="1"/>
  <c r="AA25" i="18"/>
  <c r="AA26" i="18" s="1"/>
  <c r="T193" i="20" s="1"/>
  <c r="H88" i="20"/>
  <c r="H118" i="20" s="1"/>
  <c r="H127" i="20" s="1"/>
  <c r="H151" i="20"/>
  <c r="Z58" i="18"/>
  <c r="N60" i="18"/>
  <c r="S85" i="20"/>
  <c r="G151" i="20"/>
  <c r="G253" i="20" s="1"/>
  <c r="G88" i="20"/>
  <c r="G118" i="20" s="1"/>
  <c r="G127" i="20" s="1"/>
  <c r="M572" i="3"/>
  <c r="S464" i="21"/>
  <c r="Y464" i="3"/>
  <c r="X245" i="20"/>
  <c r="AD96" i="3"/>
  <c r="AD226" i="3"/>
  <c r="AD159" i="3"/>
  <c r="AE145" i="3"/>
  <c r="AE182" i="3"/>
  <c r="I266" i="20"/>
  <c r="I304" i="20"/>
  <c r="I309" i="20" s="1"/>
  <c r="I311" i="20" s="1"/>
  <c r="I317" i="20" s="1"/>
  <c r="I320" i="20"/>
  <c r="I323" i="20" s="1"/>
  <c r="I325" i="20" s="1"/>
  <c r="I331" i="20" s="1"/>
  <c r="T574" i="21"/>
  <c r="G49" i="27"/>
  <c r="Y227" i="3"/>
  <c r="Y231" i="3" s="1"/>
  <c r="Y237" i="3" s="1"/>
  <c r="Y242" i="3" s="1"/>
  <c r="Y244" i="3" s="1"/>
  <c r="Y250" i="3" s="1"/>
  <c r="M231" i="3"/>
  <c r="M237" i="3" s="1"/>
  <c r="M242" i="3" s="1"/>
  <c r="M244" i="3" s="1"/>
  <c r="M250" i="3" s="1"/>
  <c r="Y465" i="3"/>
  <c r="S465" i="21"/>
  <c r="AE465" i="21" s="1"/>
  <c r="U574" i="21"/>
  <c r="G159" i="27"/>
  <c r="G165" i="27" s="1"/>
  <c r="G170" i="27" s="1"/>
  <c r="S68" i="20"/>
  <c r="AD88" i="3"/>
  <c r="X35" i="20"/>
  <c r="AE202" i="3"/>
  <c r="AE65" i="3"/>
  <c r="AE89" i="3" s="1"/>
  <c r="Y34" i="20" l="1"/>
  <c r="AE154" i="3"/>
  <c r="X144" i="20"/>
  <c r="AE152" i="3"/>
  <c r="AD97" i="3"/>
  <c r="Y572" i="3"/>
  <c r="G275" i="20"/>
  <c r="G260" i="20"/>
  <c r="G175" i="20"/>
  <c r="Z60" i="18"/>
  <c r="H253" i="20"/>
  <c r="I253" i="20"/>
  <c r="Y52" i="20"/>
  <c r="AF40" i="18" s="1"/>
  <c r="AF41" i="18" s="1"/>
  <c r="AF42" i="18" s="1"/>
  <c r="Y194" i="20" s="1"/>
  <c r="X66" i="20"/>
  <c r="AE24" i="18"/>
  <c r="AE25" i="18" s="1"/>
  <c r="AE26" i="18" s="1"/>
  <c r="X193" i="20" s="1"/>
  <c r="AE95" i="3"/>
  <c r="Y246" i="20"/>
  <c r="AE149" i="3"/>
  <c r="X272" i="20"/>
  <c r="X247" i="20"/>
  <c r="X286" i="20"/>
  <c r="AE464" i="21"/>
  <c r="S572" i="21"/>
  <c r="G304" i="20"/>
  <c r="G309" i="20" s="1"/>
  <c r="G311" i="20" s="1"/>
  <c r="G317" i="20" s="1"/>
  <c r="G266" i="20"/>
  <c r="G167" i="20"/>
  <c r="G320" i="20"/>
  <c r="G323" i="20" s="1"/>
  <c r="G325" i="20" s="1"/>
  <c r="G331" i="20" s="1"/>
  <c r="S88" i="20"/>
  <c r="S118" i="20" s="1"/>
  <c r="G32" i="27"/>
  <c r="G34" i="27" s="1"/>
  <c r="G44" i="27" s="1"/>
  <c r="H304" i="20"/>
  <c r="H309" i="20" s="1"/>
  <c r="H311" i="20" s="1"/>
  <c r="H317" i="20" s="1"/>
  <c r="H266" i="20"/>
  <c r="H320" i="20"/>
  <c r="H323" i="20" s="1"/>
  <c r="H325" i="20" s="1"/>
  <c r="H331" i="20" s="1"/>
  <c r="J260" i="20"/>
  <c r="J213" i="20" s="1"/>
  <c r="J215" i="20" s="1"/>
  <c r="J217" i="20" s="1"/>
  <c r="J228" i="20" s="1"/>
  <c r="J237" i="20" s="1"/>
  <c r="J275" i="20"/>
  <c r="CD2" i="26"/>
  <c r="S266" i="20" l="1"/>
  <c r="AE572" i="21"/>
  <c r="S574" i="21"/>
  <c r="X287" i="20"/>
  <c r="Y143" i="20"/>
  <c r="AE44" i="3"/>
  <c r="AF144" i="3"/>
  <c r="AF142" i="3"/>
  <c r="I260" i="20"/>
  <c r="I213" i="20" s="1"/>
  <c r="I215" i="20" s="1"/>
  <c r="I217" i="20" s="1"/>
  <c r="I228" i="20" s="1"/>
  <c r="I237" i="20" s="1"/>
  <c r="I275" i="20"/>
  <c r="H275" i="20"/>
  <c r="S275" i="20" s="1"/>
  <c r="H260" i="20"/>
  <c r="H213" i="20" s="1"/>
  <c r="H215" i="20" s="1"/>
  <c r="H217" i="20" s="1"/>
  <c r="H228" i="20" s="1"/>
  <c r="H237" i="20" s="1"/>
  <c r="S253" i="20"/>
  <c r="AD101" i="3"/>
  <c r="AD107" i="3" s="1"/>
  <c r="AD111" i="3" s="1"/>
  <c r="AD113" i="3" s="1"/>
  <c r="AD119" i="3" s="1"/>
  <c r="AD122" i="3" s="1"/>
  <c r="X184" i="20"/>
  <c r="X145" i="20"/>
  <c r="S127" i="20"/>
  <c r="H167" i="20"/>
  <c r="I167" i="20" s="1"/>
  <c r="J167" i="20" s="1"/>
  <c r="K167" i="20" s="1"/>
  <c r="L167" i="20" s="1"/>
  <c r="M167" i="20" s="1"/>
  <c r="N167" i="20" s="1"/>
  <c r="O167" i="20" s="1"/>
  <c r="P167" i="20" s="1"/>
  <c r="Q167" i="20" s="1"/>
  <c r="R167" i="20" s="1"/>
  <c r="H175" i="20"/>
  <c r="G180" i="20"/>
  <c r="G188" i="20" s="1"/>
  <c r="G279" i="20"/>
  <c r="G282" i="20" s="1"/>
  <c r="G295" i="20" s="1"/>
  <c r="G213" i="20"/>
  <c r="S260" i="20"/>
  <c r="Y65" i="20"/>
  <c r="AF23" i="18"/>
  <c r="AF53" i="18" s="1"/>
  <c r="AF54" i="18" s="1"/>
  <c r="AF55" i="18" s="1"/>
  <c r="AF43" i="3" l="1"/>
  <c r="AF63" i="3"/>
  <c r="AE155" i="3"/>
  <c r="AE183" i="3"/>
  <c r="AE46" i="3"/>
  <c r="AE88" i="3" s="1"/>
  <c r="I175" i="20"/>
  <c r="H180" i="20"/>
  <c r="H188" i="20" s="1"/>
  <c r="H279" i="20"/>
  <c r="H282" i="20" s="1"/>
  <c r="H295" i="20" s="1"/>
  <c r="S213" i="20"/>
  <c r="G215" i="20"/>
  <c r="S167" i="20"/>
  <c r="G16" i="27"/>
  <c r="S304" i="20"/>
  <c r="S320" i="20"/>
  <c r="S323" i="20" s="1"/>
  <c r="S325" i="20" s="1"/>
  <c r="G77" i="27"/>
  <c r="G79" i="27" s="1"/>
  <c r="G81" i="27" s="1"/>
  <c r="G86" i="27"/>
  <c r="G89" i="27" s="1"/>
  <c r="G93" i="27" s="1"/>
  <c r="CC2" i="26"/>
  <c r="Y183" i="20"/>
  <c r="AE574" i="21"/>
  <c r="CH2" i="26"/>
  <c r="S331" i="20" l="1"/>
  <c r="CG2" i="26" s="1"/>
  <c r="G23" i="27"/>
  <c r="S215" i="20"/>
  <c r="G217" i="20"/>
  <c r="G228" i="20" s="1"/>
  <c r="G237" i="20" s="1"/>
  <c r="G249" i="20" s="1"/>
  <c r="J175" i="20"/>
  <c r="I180" i="20"/>
  <c r="I188" i="20" s="1"/>
  <c r="I279" i="20"/>
  <c r="AE96" i="3"/>
  <c r="AE97" i="3" s="1"/>
  <c r="AE101" i="3" s="1"/>
  <c r="AE107" i="3" s="1"/>
  <c r="AE111" i="3" s="1"/>
  <c r="AE113" i="3" s="1"/>
  <c r="AE119" i="3" s="1"/>
  <c r="AE122" i="3" s="1"/>
  <c r="Y245" i="20"/>
  <c r="AE226" i="3"/>
  <c r="AE159" i="3"/>
  <c r="AF145" i="3"/>
  <c r="AF182" i="3"/>
  <c r="G69" i="27"/>
  <c r="G72" i="27" s="1"/>
  <c r="G74" i="27" s="1"/>
  <c r="S309" i="20"/>
  <c r="S311" i="20" s="1"/>
  <c r="S317" i="20" s="1"/>
  <c r="Y35" i="20"/>
  <c r="AF202" i="3"/>
  <c r="AF65" i="3"/>
  <c r="AF89" i="3" s="1"/>
  <c r="Z52" i="20" l="1"/>
  <c r="AG40" i="18" s="1"/>
  <c r="AG41" i="18" s="1"/>
  <c r="AG42" i="18" s="1"/>
  <c r="Z194" i="20" s="1"/>
  <c r="AF24" i="18"/>
  <c r="AF25" i="18" s="1"/>
  <c r="AF26" i="18" s="1"/>
  <c r="Y193" i="20" s="1"/>
  <c r="Y66" i="20"/>
  <c r="Z34" i="20"/>
  <c r="AF152" i="3"/>
  <c r="Y144" i="20"/>
  <c r="AF154" i="3"/>
  <c r="Y272" i="20"/>
  <c r="Y247" i="20"/>
  <c r="Y286" i="20"/>
  <c r="Y287" i="20" s="1"/>
  <c r="I282" i="20"/>
  <c r="I295" i="20" s="1"/>
  <c r="K175" i="20"/>
  <c r="J180" i="20"/>
  <c r="J188" i="20" s="1"/>
  <c r="J279" i="20"/>
  <c r="J282" i="20" s="1"/>
  <c r="J295" i="20" s="1"/>
  <c r="G50" i="27"/>
  <c r="G51" i="27" s="1"/>
  <c r="G61" i="27" s="1"/>
  <c r="G63" i="27" s="1"/>
  <c r="H62" i="27" s="1"/>
  <c r="S217" i="20"/>
  <c r="S228" i="20" s="1"/>
  <c r="S237" i="20" s="1"/>
  <c r="AF95" i="3"/>
  <c r="Z246" i="20"/>
  <c r="AF149" i="3"/>
  <c r="G250" i="20"/>
  <c r="G300" i="20" s="1"/>
  <c r="G150" i="20"/>
  <c r="G157" i="20" s="1"/>
  <c r="G164" i="20" s="1"/>
  <c r="G190" i="20" s="1"/>
  <c r="H249" i="20"/>
  <c r="I249" i="20" l="1"/>
  <c r="H250" i="20"/>
  <c r="H300" i="20" s="1"/>
  <c r="H150" i="20"/>
  <c r="H157" i="20" s="1"/>
  <c r="H164" i="20" s="1"/>
  <c r="H190" i="20" s="1"/>
  <c r="Y184" i="20"/>
  <c r="Y145" i="20"/>
  <c r="AG142" i="3"/>
  <c r="AF44" i="3"/>
  <c r="Z143" i="20"/>
  <c r="AG144" i="3"/>
  <c r="L175" i="20"/>
  <c r="K180" i="20"/>
  <c r="K188" i="20" s="1"/>
  <c r="K279" i="20"/>
  <c r="K282" i="20" s="1"/>
  <c r="K295" i="20" s="1"/>
  <c r="Z65" i="20"/>
  <c r="AG23" i="18"/>
  <c r="AG53" i="18" s="1"/>
  <c r="AG54" i="18" s="1"/>
  <c r="AG55" i="18" s="1"/>
  <c r="M175" i="20" l="1"/>
  <c r="L180" i="20"/>
  <c r="L188" i="20" s="1"/>
  <c r="L279" i="20"/>
  <c r="L282" i="20" s="1"/>
  <c r="L295" i="20" s="1"/>
  <c r="AF155" i="3"/>
  <c r="AF183" i="3"/>
  <c r="AF46" i="3"/>
  <c r="AF88" i="3" s="1"/>
  <c r="Z183" i="20"/>
  <c r="AG43" i="3"/>
  <c r="AG63" i="3"/>
  <c r="I250" i="20"/>
  <c r="I300" i="20" s="1"/>
  <c r="J249" i="20"/>
  <c r="I150" i="20"/>
  <c r="I157" i="20" s="1"/>
  <c r="I164" i="20" s="1"/>
  <c r="I190" i="20" s="1"/>
  <c r="K249" i="20" l="1"/>
  <c r="J150" i="20"/>
  <c r="J157" i="20" s="1"/>
  <c r="J164" i="20" s="1"/>
  <c r="J190" i="20" s="1"/>
  <c r="J250" i="20"/>
  <c r="J300" i="20" s="1"/>
  <c r="AG202" i="3"/>
  <c r="AG65" i="3"/>
  <c r="AG89" i="3" s="1"/>
  <c r="AF96" i="3"/>
  <c r="AF97" i="3" s="1"/>
  <c r="AF101" i="3" s="1"/>
  <c r="AF107" i="3" s="1"/>
  <c r="AF111" i="3" s="1"/>
  <c r="AF113" i="3" s="1"/>
  <c r="AF119" i="3" s="1"/>
  <c r="AF122" i="3" s="1"/>
  <c r="Z245" i="20"/>
  <c r="AF226" i="3"/>
  <c r="AF159" i="3"/>
  <c r="AG145" i="3"/>
  <c r="AG182" i="3"/>
  <c r="Z35" i="20"/>
  <c r="N175" i="20"/>
  <c r="M180" i="20"/>
  <c r="M188" i="20" s="1"/>
  <c r="M279" i="20"/>
  <c r="M282" i="20" s="1"/>
  <c r="M295" i="20" s="1"/>
  <c r="AA246" i="20" l="1"/>
  <c r="AG95" i="3"/>
  <c r="AG149" i="3"/>
  <c r="AA52" i="20"/>
  <c r="AH40" i="18" s="1"/>
  <c r="AH41" i="18" s="1"/>
  <c r="AH42" i="18" s="1"/>
  <c r="AA194" i="20" s="1"/>
  <c r="O175" i="20"/>
  <c r="N180" i="20"/>
  <c r="N188" i="20" s="1"/>
  <c r="N279" i="20"/>
  <c r="N282" i="20" s="1"/>
  <c r="N295" i="20" s="1"/>
  <c r="Z66" i="20"/>
  <c r="AG24" i="18"/>
  <c r="AG25" i="18" s="1"/>
  <c r="AG26" i="18" s="1"/>
  <c r="Z193" i="20" s="1"/>
  <c r="AA34" i="20"/>
  <c r="Z144" i="20"/>
  <c r="AG154" i="3"/>
  <c r="AG152" i="3"/>
  <c r="Z272" i="20"/>
  <c r="Z247" i="20"/>
  <c r="Z286" i="20"/>
  <c r="Z287" i="20" s="1"/>
  <c r="L249" i="20"/>
  <c r="K150" i="20"/>
  <c r="K157" i="20" s="1"/>
  <c r="K164" i="20" s="1"/>
  <c r="K190" i="20" s="1"/>
  <c r="K250" i="20"/>
  <c r="K300" i="20" s="1"/>
  <c r="L250" i="20" l="1"/>
  <c r="L300" i="20" s="1"/>
  <c r="L150" i="20"/>
  <c r="L157" i="20" s="1"/>
  <c r="L164" i="20" s="1"/>
  <c r="L190" i="20" s="1"/>
  <c r="M249" i="20"/>
  <c r="Z184" i="20"/>
  <c r="Z145" i="20"/>
  <c r="AA65" i="20"/>
  <c r="AH23" i="18"/>
  <c r="AH53" i="18" s="1"/>
  <c r="AH54" i="18" s="1"/>
  <c r="AH55" i="18" s="1"/>
  <c r="AG44" i="3"/>
  <c r="AH144" i="3"/>
  <c r="AH142" i="3"/>
  <c r="AA143" i="20"/>
  <c r="P175" i="20"/>
  <c r="O180" i="20"/>
  <c r="O188" i="20" s="1"/>
  <c r="O279" i="20"/>
  <c r="O282" i="20" s="1"/>
  <c r="O295" i="20" s="1"/>
  <c r="AA183" i="20" l="1"/>
  <c r="Q175" i="20"/>
  <c r="P180" i="20"/>
  <c r="P188" i="20" s="1"/>
  <c r="P279" i="20"/>
  <c r="P282" i="20" s="1"/>
  <c r="P295" i="20" s="1"/>
  <c r="AH43" i="3"/>
  <c r="AH63" i="3"/>
  <c r="AG155" i="3"/>
  <c r="AG183" i="3"/>
  <c r="AG46" i="3"/>
  <c r="AG88" i="3" s="1"/>
  <c r="M250" i="20"/>
  <c r="M300" i="20" s="1"/>
  <c r="N249" i="20"/>
  <c r="M150" i="20"/>
  <c r="M157" i="20" s="1"/>
  <c r="M164" i="20" s="1"/>
  <c r="M190" i="20" s="1"/>
  <c r="AA35" i="20" l="1"/>
  <c r="AH202" i="3"/>
  <c r="AH65" i="3"/>
  <c r="AH89" i="3" s="1"/>
  <c r="N250" i="20"/>
  <c r="N300" i="20" s="1"/>
  <c r="N150" i="20"/>
  <c r="N157" i="20" s="1"/>
  <c r="N164" i="20" s="1"/>
  <c r="N190" i="20" s="1"/>
  <c r="O249" i="20"/>
  <c r="AG96" i="3"/>
  <c r="AG97" i="3" s="1"/>
  <c r="AG101" i="3" s="1"/>
  <c r="AG107" i="3" s="1"/>
  <c r="AG111" i="3" s="1"/>
  <c r="AG113" i="3" s="1"/>
  <c r="AG119" i="3" s="1"/>
  <c r="AG122" i="3" s="1"/>
  <c r="AA245" i="20"/>
  <c r="AG226" i="3"/>
  <c r="AG159" i="3"/>
  <c r="AH145" i="3"/>
  <c r="AH182" i="3"/>
  <c r="R175" i="20"/>
  <c r="Q180" i="20"/>
  <c r="Q188" i="20" s="1"/>
  <c r="Q279" i="20"/>
  <c r="Q282" i="20" s="1"/>
  <c r="Q295" i="20" s="1"/>
  <c r="AB246" i="20" l="1"/>
  <c r="AH95" i="3"/>
  <c r="AH149" i="3"/>
  <c r="S175" i="20"/>
  <c r="R180" i="20"/>
  <c r="R279" i="20"/>
  <c r="AB34" i="20"/>
  <c r="AA144" i="20"/>
  <c r="AH152" i="3"/>
  <c r="AH154" i="3"/>
  <c r="AA272" i="20"/>
  <c r="AA247" i="20"/>
  <c r="AA286" i="20"/>
  <c r="AA287" i="20" s="1"/>
  <c r="O150" i="20"/>
  <c r="O157" i="20" s="1"/>
  <c r="O164" i="20" s="1"/>
  <c r="O190" i="20" s="1"/>
  <c r="O250" i="20"/>
  <c r="O300" i="20" s="1"/>
  <c r="P249" i="20"/>
  <c r="AB52" i="20"/>
  <c r="AI40" i="18" s="1"/>
  <c r="AI41" i="18" s="1"/>
  <c r="AI42" i="18" s="1"/>
  <c r="AB194" i="20" s="1"/>
  <c r="AH24" i="18"/>
  <c r="AH25" i="18" s="1"/>
  <c r="AH26" i="18" s="1"/>
  <c r="AA193" i="20" s="1"/>
  <c r="AA66" i="20"/>
  <c r="R282" i="20" l="1"/>
  <c r="R295" i="20" s="1"/>
  <c r="S279" i="20"/>
  <c r="S282" i="20" s="1"/>
  <c r="S295" i="20" s="1"/>
  <c r="S298" i="20" s="1"/>
  <c r="AB143" i="20"/>
  <c r="AH44" i="3"/>
  <c r="AI144" i="3"/>
  <c r="AI142" i="3"/>
  <c r="P150" i="20"/>
  <c r="P157" i="20" s="1"/>
  <c r="P164" i="20" s="1"/>
  <c r="P190" i="20" s="1"/>
  <c r="P250" i="20"/>
  <c r="P300" i="20" s="1"/>
  <c r="Q249" i="20"/>
  <c r="AA184" i="20"/>
  <c r="AA145" i="20"/>
  <c r="AB65" i="20"/>
  <c r="AI23" i="18"/>
  <c r="AI53" i="18" s="1"/>
  <c r="AI54" i="18" s="1"/>
  <c r="AI55" i="18" s="1"/>
  <c r="S180" i="20"/>
  <c r="G21" i="27"/>
  <c r="R188" i="20"/>
  <c r="Q150" i="20" l="1"/>
  <c r="Q157" i="20" s="1"/>
  <c r="Q164" i="20" s="1"/>
  <c r="Q190" i="20" s="1"/>
  <c r="Q250" i="20"/>
  <c r="Q300" i="20" s="1"/>
  <c r="R249" i="20"/>
  <c r="AB183" i="20"/>
  <c r="S188" i="20"/>
  <c r="AI43" i="3"/>
  <c r="AI63" i="3"/>
  <c r="AH183" i="3"/>
  <c r="AH155" i="3"/>
  <c r="AH46" i="3"/>
  <c r="AH88" i="3" s="1"/>
  <c r="AB245" i="20" l="1"/>
  <c r="AH96" i="3"/>
  <c r="AH97" i="3" s="1"/>
  <c r="AH101" i="3" s="1"/>
  <c r="AH107" i="3" s="1"/>
  <c r="AH111" i="3" s="1"/>
  <c r="AH113" i="3" s="1"/>
  <c r="AH119" i="3" s="1"/>
  <c r="AH122" i="3" s="1"/>
  <c r="AH226" i="3"/>
  <c r="AH159" i="3"/>
  <c r="AB35" i="20"/>
  <c r="AI145" i="3"/>
  <c r="AI182" i="3"/>
  <c r="AI202" i="3"/>
  <c r="AI65" i="3"/>
  <c r="AI89" i="3" s="1"/>
  <c r="R150" i="20"/>
  <c r="R250" i="20"/>
  <c r="S249" i="20"/>
  <c r="G98" i="27"/>
  <c r="R157" i="20" l="1"/>
  <c r="G8" i="27"/>
  <c r="G13" i="27" s="1"/>
  <c r="S150" i="20"/>
  <c r="G113" i="27" s="1"/>
  <c r="G114" i="27" s="1"/>
  <c r="G116" i="27" s="1"/>
  <c r="AC52" i="20"/>
  <c r="AJ40" i="18" s="1"/>
  <c r="AJ41" i="18" s="1"/>
  <c r="AJ42" i="18" s="1"/>
  <c r="AC194" i="20" s="1"/>
  <c r="AC34" i="20"/>
  <c r="AB144" i="20"/>
  <c r="AI152" i="3"/>
  <c r="AI154" i="3"/>
  <c r="G101" i="27"/>
  <c r="G103" i="27" s="1"/>
  <c r="G104" i="27"/>
  <c r="S250" i="20"/>
  <c r="R300" i="20"/>
  <c r="AC246" i="20"/>
  <c r="AI95" i="3"/>
  <c r="AI149" i="3"/>
  <c r="AB66" i="20"/>
  <c r="AI24" i="18"/>
  <c r="AI25" i="18" s="1"/>
  <c r="AI26" i="18" s="1"/>
  <c r="AB193" i="20" s="1"/>
  <c r="AB272" i="20"/>
  <c r="AB247" i="20"/>
  <c r="AB286" i="20"/>
  <c r="AB287" i="20" s="1"/>
  <c r="AJ144" i="3" l="1"/>
  <c r="AC143" i="20"/>
  <c r="AJ142" i="3"/>
  <c r="AI44" i="3"/>
  <c r="AB184" i="20"/>
  <c r="AB145" i="20"/>
  <c r="AC65" i="20"/>
  <c r="AJ23" i="18"/>
  <c r="AJ53" i="18" s="1"/>
  <c r="AJ54" i="18" s="1"/>
  <c r="AJ55" i="18" s="1"/>
  <c r="G27" i="27"/>
  <c r="G25" i="27"/>
  <c r="S300" i="20"/>
  <c r="AF297" i="20"/>
  <c r="S157" i="20"/>
  <c r="R164" i="20"/>
  <c r="S164" i="20" l="1"/>
  <c r="S190" i="20" s="1"/>
  <c r="R190" i="20"/>
  <c r="AI155" i="3"/>
  <c r="AI183" i="3"/>
  <c r="AI46" i="3"/>
  <c r="AI88" i="3" s="1"/>
  <c r="AC183" i="20"/>
  <c r="AJ43" i="3"/>
  <c r="AJ63" i="3"/>
  <c r="AJ202" i="3" l="1"/>
  <c r="AJ65" i="3"/>
  <c r="AJ89" i="3" s="1"/>
  <c r="AC35" i="20"/>
  <c r="AJ182" i="3"/>
  <c r="AJ145" i="3"/>
  <c r="AI96" i="3"/>
  <c r="AI97" i="3" s="1"/>
  <c r="AI101" i="3" s="1"/>
  <c r="AI107" i="3" s="1"/>
  <c r="AI111" i="3" s="1"/>
  <c r="AI113" i="3" s="1"/>
  <c r="AI119" i="3" s="1"/>
  <c r="AI122" i="3" s="1"/>
  <c r="AC245" i="20"/>
  <c r="AI226" i="3"/>
  <c r="AI159" i="3"/>
  <c r="AD246" i="20" l="1"/>
  <c r="AJ95" i="3"/>
  <c r="AJ149" i="3"/>
  <c r="AJ152" i="3"/>
  <c r="AJ154" i="3"/>
  <c r="AC144" i="20"/>
  <c r="AC272" i="20"/>
  <c r="AC247" i="20"/>
  <c r="AC286" i="20"/>
  <c r="AC287" i="20" s="1"/>
  <c r="AD34" i="20"/>
  <c r="AC66" i="20"/>
  <c r="AJ24" i="18"/>
  <c r="AJ25" i="18" s="1"/>
  <c r="AJ26" i="18" s="1"/>
  <c r="AC193" i="20" s="1"/>
  <c r="AD52" i="20"/>
  <c r="AK40" i="18" s="1"/>
  <c r="AK41" i="18" s="1"/>
  <c r="AK42" i="18" s="1"/>
  <c r="AD194" i="20" s="1"/>
  <c r="AK144" i="3" l="1"/>
  <c r="AL144" i="3" s="1"/>
  <c r="AD143" i="20"/>
  <c r="AK142" i="3"/>
  <c r="AJ44" i="3"/>
  <c r="AD65" i="20"/>
  <c r="AK23" i="18"/>
  <c r="AK53" i="18" s="1"/>
  <c r="AK54" i="18" s="1"/>
  <c r="AK55" i="18" s="1"/>
  <c r="AC184" i="20"/>
  <c r="AC145" i="20"/>
  <c r="AK43" i="3" l="1"/>
  <c r="AK63" i="3"/>
  <c r="AJ183" i="3"/>
  <c r="AJ155" i="3"/>
  <c r="AJ46" i="3"/>
  <c r="AJ88" i="3" s="1"/>
  <c r="AD183" i="20"/>
  <c r="AD35" i="20" l="1"/>
  <c r="AK145" i="3"/>
  <c r="AK182" i="3"/>
  <c r="AL43" i="3"/>
  <c r="AD245" i="20"/>
  <c r="AJ96" i="3"/>
  <c r="AJ97" i="3" s="1"/>
  <c r="AJ101" i="3" s="1"/>
  <c r="AJ107" i="3" s="1"/>
  <c r="AJ111" i="3" s="1"/>
  <c r="AJ113" i="3" s="1"/>
  <c r="AJ119" i="3" s="1"/>
  <c r="AJ122" i="3" s="1"/>
  <c r="AJ226" i="3"/>
  <c r="AJ159" i="3"/>
  <c r="AK202" i="3"/>
  <c r="AK65" i="3"/>
  <c r="AL63" i="3"/>
  <c r="AE34" i="20" l="1"/>
  <c r="AK89" i="3"/>
  <c r="AL89" i="3" s="1"/>
  <c r="AL65" i="3"/>
  <c r="AD144" i="20"/>
  <c r="AK154" i="3"/>
  <c r="AK152" i="3"/>
  <c r="AE52" i="20"/>
  <c r="AD272" i="20"/>
  <c r="AD247" i="20"/>
  <c r="AD286" i="20"/>
  <c r="AD287" i="20" s="1"/>
  <c r="AK95" i="3"/>
  <c r="AL95" i="3" s="1"/>
  <c r="AE246" i="20"/>
  <c r="AL145" i="3"/>
  <c r="AK149" i="3"/>
  <c r="AD66" i="20"/>
  <c r="AK24" i="18"/>
  <c r="AK25" i="18" s="1"/>
  <c r="AK26" i="18" s="1"/>
  <c r="AD193" i="20" s="1"/>
  <c r="AF246" i="20" l="1"/>
  <c r="AL40" i="18"/>
  <c r="AL41" i="18" s="1"/>
  <c r="AL42" i="18" s="1"/>
  <c r="AE194" i="20" s="1"/>
  <c r="AF194" i="20" s="1"/>
  <c r="AF52" i="20"/>
  <c r="AM144" i="3"/>
  <c r="AM142" i="3"/>
  <c r="AK44" i="3"/>
  <c r="AE143" i="20"/>
  <c r="AD184" i="20"/>
  <c r="AD145" i="20"/>
  <c r="AE65" i="20"/>
  <c r="AL23" i="18"/>
  <c r="AL53" i="18" s="1"/>
  <c r="AL54" i="18" s="1"/>
  <c r="AL55" i="18" s="1"/>
  <c r="AF34" i="20"/>
  <c r="AF65" i="20" l="1"/>
  <c r="H129" i="27" s="1"/>
  <c r="AK183" i="3"/>
  <c r="AK155" i="3"/>
  <c r="AL44" i="3"/>
  <c r="AK46" i="3"/>
  <c r="H10" i="27"/>
  <c r="AE183" i="20"/>
  <c r="AF143" i="20"/>
  <c r="AM63" i="3"/>
  <c r="AM43" i="3"/>
  <c r="AM202" i="3" l="1"/>
  <c r="AM65" i="3"/>
  <c r="AM89" i="3" s="1"/>
  <c r="AF183" i="20"/>
  <c r="AK88" i="3"/>
  <c r="AL46" i="3"/>
  <c r="AE245" i="20"/>
  <c r="AK96" i="3"/>
  <c r="AL96" i="3" s="1"/>
  <c r="AK226" i="3"/>
  <c r="AL226" i="3" s="1"/>
  <c r="AK159" i="3"/>
  <c r="AM182" i="3"/>
  <c r="AM145" i="3"/>
  <c r="AE35" i="20"/>
  <c r="AL24" i="18" l="1"/>
  <c r="AL25" i="18" s="1"/>
  <c r="AL26" i="18" s="1"/>
  <c r="AE193" i="20" s="1"/>
  <c r="AE66" i="20"/>
  <c r="AF35" i="20"/>
  <c r="AF66" i="20" s="1"/>
  <c r="H130" i="27" s="1"/>
  <c r="AM95" i="3"/>
  <c r="AG246" i="20"/>
  <c r="AM149" i="3"/>
  <c r="AM152" i="3"/>
  <c r="AM154" i="3"/>
  <c r="AE144" i="20"/>
  <c r="AG34" i="20"/>
  <c r="AE272" i="20"/>
  <c r="AF272" i="20" s="1"/>
  <c r="AE247" i="20"/>
  <c r="AF247" i="20" s="1"/>
  <c r="H169" i="27" s="1"/>
  <c r="AF245" i="20"/>
  <c r="AE286" i="20"/>
  <c r="AK97" i="3"/>
  <c r="AL88" i="3"/>
  <c r="AG52" i="20"/>
  <c r="AN40" i="18" s="1"/>
  <c r="AE287" i="20" l="1"/>
  <c r="AF286" i="20"/>
  <c r="AF287" i="20" s="1"/>
  <c r="H11" i="27"/>
  <c r="AF144" i="20"/>
  <c r="H111" i="27" s="1"/>
  <c r="AE184" i="20"/>
  <c r="AE145" i="20"/>
  <c r="AK101" i="3"/>
  <c r="AK107" i="3" s="1"/>
  <c r="AK111" i="3" s="1"/>
  <c r="AK113" i="3" s="1"/>
  <c r="AK119" i="3" s="1"/>
  <c r="AK122" i="3" s="1"/>
  <c r="AL97" i="3"/>
  <c r="AL101" i="3" s="1"/>
  <c r="AL107" i="3" s="1"/>
  <c r="AL111" i="3" s="1"/>
  <c r="AL113" i="3" s="1"/>
  <c r="AL119" i="3" s="1"/>
  <c r="AL122" i="3" s="1"/>
  <c r="AL125" i="3" s="1"/>
  <c r="AN23" i="18"/>
  <c r="AN53" i="18" s="1"/>
  <c r="AG65" i="20"/>
  <c r="I129" i="27" s="1"/>
  <c r="AN142" i="3"/>
  <c r="AN144" i="3"/>
  <c r="AM44" i="3"/>
  <c r="AG143" i="20"/>
  <c r="AF193" i="20"/>
  <c r="AM183" i="3" l="1"/>
  <c r="AM155" i="3"/>
  <c r="AM46" i="3"/>
  <c r="AM88" i="3" s="1"/>
  <c r="AN43" i="3"/>
  <c r="AN63" i="3"/>
  <c r="AF145" i="20"/>
  <c r="I10" i="27"/>
  <c r="AG183" i="20"/>
  <c r="AL134" i="3"/>
  <c r="AL136" i="3" s="1"/>
  <c r="AF184" i="20"/>
  <c r="H18" i="27"/>
  <c r="AL138" i="3" l="1"/>
  <c r="AL140" i="3"/>
  <c r="AN202" i="3"/>
  <c r="AN65" i="3"/>
  <c r="AN89" i="3" s="1"/>
  <c r="AM96" i="3"/>
  <c r="AG245" i="20"/>
  <c r="AM226" i="3"/>
  <c r="AM159" i="3"/>
  <c r="AJ240" i="3"/>
  <c r="AB307" i="20"/>
  <c r="W307" i="20"/>
  <c r="AD307" i="20"/>
  <c r="AE240" i="3"/>
  <c r="AL130" i="3"/>
  <c r="AL131" i="3"/>
  <c r="AF240" i="3"/>
  <c r="AH240" i="3"/>
  <c r="AA307" i="20"/>
  <c r="AL127" i="3"/>
  <c r="AK127" i="3" s="1"/>
  <c r="Z240" i="3"/>
  <c r="AE307" i="20"/>
  <c r="U307" i="20"/>
  <c r="AK240" i="3"/>
  <c r="T307" i="20"/>
  <c r="Z307" i="20"/>
  <c r="V307" i="20"/>
  <c r="X307" i="20"/>
  <c r="AG240" i="3"/>
  <c r="Y307" i="20"/>
  <c r="AD240" i="3"/>
  <c r="AC240" i="3"/>
  <c r="AA240" i="3"/>
  <c r="AC307" i="20"/>
  <c r="AB240" i="3"/>
  <c r="AI240" i="3"/>
  <c r="AN182" i="3"/>
  <c r="AN145" i="3"/>
  <c r="AG35" i="20"/>
  <c r="AG66" i="20" l="1"/>
  <c r="I130" i="27" s="1"/>
  <c r="AN24" i="18"/>
  <c r="AH34" i="20"/>
  <c r="AF307" i="20"/>
  <c r="AL240" i="3"/>
  <c r="AK130" i="3"/>
  <c r="AM146" i="3"/>
  <c r="AN154" i="3"/>
  <c r="AN152" i="3"/>
  <c r="AG144" i="20"/>
  <c r="AG272" i="20"/>
  <c r="AG247" i="20"/>
  <c r="I169" i="27" s="1"/>
  <c r="AG286" i="20"/>
  <c r="AG287" i="20" s="1"/>
  <c r="AN95" i="3"/>
  <c r="AH246" i="20"/>
  <c r="AN149" i="3"/>
  <c r="AK214" i="3"/>
  <c r="AE78" i="20" s="1"/>
  <c r="AJ127" i="3"/>
  <c r="AK131" i="3"/>
  <c r="AM147" i="3"/>
  <c r="AH52" i="20"/>
  <c r="AO40" i="18" s="1"/>
  <c r="AD138" i="3"/>
  <c r="AD209" i="3" s="1"/>
  <c r="AC138" i="3"/>
  <c r="AC209" i="3" s="1"/>
  <c r="AE138" i="3"/>
  <c r="AE209" i="3" s="1"/>
  <c r="AI138" i="3"/>
  <c r="AI209" i="3" s="1"/>
  <c r="AG138" i="3"/>
  <c r="AG209" i="3" s="1"/>
  <c r="AH138" i="3"/>
  <c r="AH209" i="3" s="1"/>
  <c r="AA138" i="3"/>
  <c r="AA209" i="3" s="1"/>
  <c r="Z138" i="3"/>
  <c r="Z209" i="3" s="1"/>
  <c r="AF138" i="3"/>
  <c r="AF209" i="3" s="1"/>
  <c r="AJ138" i="3"/>
  <c r="AJ209" i="3" s="1"/>
  <c r="AK138" i="3"/>
  <c r="AK209" i="3" s="1"/>
  <c r="AB138" i="3"/>
  <c r="AB209" i="3" s="1"/>
  <c r="V72" i="20" l="1"/>
  <c r="AB210" i="3"/>
  <c r="AD72" i="20"/>
  <c r="AJ210" i="3"/>
  <c r="T72" i="20"/>
  <c r="Z210" i="3"/>
  <c r="AB72" i="20"/>
  <c r="AH210" i="3"/>
  <c r="AC72" i="20"/>
  <c r="AI210" i="3"/>
  <c r="W72" i="20"/>
  <c r="AC210" i="3"/>
  <c r="AJ214" i="3"/>
  <c r="AD78" i="20" s="1"/>
  <c r="AI127" i="3"/>
  <c r="AN44" i="3"/>
  <c r="AO142" i="3"/>
  <c r="AO144" i="3"/>
  <c r="AH143" i="20"/>
  <c r="AE72" i="20"/>
  <c r="AK210" i="3"/>
  <c r="Z72" i="20"/>
  <c r="AF210" i="3"/>
  <c r="U72" i="20"/>
  <c r="AA210" i="3"/>
  <c r="AA72" i="20"/>
  <c r="AG210" i="3"/>
  <c r="Y72" i="20"/>
  <c r="AE210" i="3"/>
  <c r="X72" i="20"/>
  <c r="AD210" i="3"/>
  <c r="AK203" i="3"/>
  <c r="AJ131" i="3"/>
  <c r="I11" i="27"/>
  <c r="AG184" i="20"/>
  <c r="I18" i="27" s="1"/>
  <c r="AG145" i="20"/>
  <c r="I111" i="27"/>
  <c r="AK184" i="3"/>
  <c r="AJ130" i="3"/>
  <c r="AH65" i="20"/>
  <c r="J129" i="27" s="1"/>
  <c r="AO23" i="18"/>
  <c r="AO53" i="18" s="1"/>
  <c r="AJ184" i="3" l="1"/>
  <c r="AI130" i="3"/>
  <c r="AJ203" i="3"/>
  <c r="AI131" i="3"/>
  <c r="X73" i="20"/>
  <c r="Y73" i="20"/>
  <c r="AA73" i="20"/>
  <c r="U73" i="20"/>
  <c r="Z73" i="20"/>
  <c r="AK215" i="3"/>
  <c r="AE73" i="20"/>
  <c r="J10" i="27"/>
  <c r="AH183" i="20"/>
  <c r="AO147" i="3"/>
  <c r="AO146" i="3"/>
  <c r="AH127" i="3"/>
  <c r="AI214" i="3"/>
  <c r="AC78" i="20" s="1"/>
  <c r="W73" i="20"/>
  <c r="AC73" i="20"/>
  <c r="AB73" i="20"/>
  <c r="T73" i="20"/>
  <c r="AJ215" i="3"/>
  <c r="AD73" i="20"/>
  <c r="V73" i="20"/>
  <c r="AE36" i="20"/>
  <c r="AK185" i="3"/>
  <c r="AE53" i="20"/>
  <c r="AN39" i="18" s="1"/>
  <c r="AN41" i="18" s="1"/>
  <c r="AN42" i="18" s="1"/>
  <c r="AG194" i="20" s="1"/>
  <c r="AK204" i="3"/>
  <c r="AN155" i="3"/>
  <c r="AN183" i="3"/>
  <c r="AN46" i="3"/>
  <c r="AN88" i="3" s="1"/>
  <c r="AF72" i="20"/>
  <c r="H140" i="27" s="1"/>
  <c r="AI215" i="3" l="1"/>
  <c r="AI221" i="3" s="1"/>
  <c r="AH245" i="20"/>
  <c r="AN96" i="3"/>
  <c r="AN226" i="3"/>
  <c r="AN159" i="3"/>
  <c r="AN22" i="18"/>
  <c r="AE67" i="20"/>
  <c r="AD79" i="20"/>
  <c r="AD195" i="20" s="1"/>
  <c r="AD202" i="20" s="1"/>
  <c r="AJ266" i="3"/>
  <c r="AJ466" i="3" s="1"/>
  <c r="AP466" i="21" s="1"/>
  <c r="AJ221" i="3"/>
  <c r="AF73" i="20"/>
  <c r="AH214" i="3"/>
  <c r="AG127" i="3"/>
  <c r="AH131" i="3"/>
  <c r="AI203" i="3"/>
  <c r="AH130" i="3"/>
  <c r="AI184" i="3"/>
  <c r="AH35" i="20"/>
  <c r="AK265" i="3"/>
  <c r="AK465" i="3" s="1"/>
  <c r="AQ465" i="21" s="1"/>
  <c r="AE54" i="20"/>
  <c r="AL59" i="18" s="1"/>
  <c r="AK220" i="3"/>
  <c r="AK219" i="3"/>
  <c r="AK264" i="3"/>
  <c r="AK464" i="3" s="1"/>
  <c r="AE37" i="20"/>
  <c r="AI266" i="3"/>
  <c r="AI466" i="3" s="1"/>
  <c r="AO466" i="21" s="1"/>
  <c r="AK266" i="3"/>
  <c r="AK466" i="3" s="1"/>
  <c r="AQ466" i="21" s="1"/>
  <c r="AK221" i="3"/>
  <c r="AE79" i="20"/>
  <c r="AE195" i="20" s="1"/>
  <c r="AE202" i="20" s="1"/>
  <c r="AD53" i="20"/>
  <c r="AJ204" i="3"/>
  <c r="AD36" i="20"/>
  <c r="AD67" i="20" s="1"/>
  <c r="AJ185" i="3"/>
  <c r="AC79" i="20" l="1"/>
  <c r="AC195" i="20" s="1"/>
  <c r="AC202" i="20" s="1"/>
  <c r="AE85" i="20"/>
  <c r="AE68" i="20"/>
  <c r="AL58" i="18"/>
  <c r="AL60" i="18" s="1"/>
  <c r="AK227" i="3"/>
  <c r="AK231" i="3" s="1"/>
  <c r="AK237" i="3" s="1"/>
  <c r="AK242" i="3" s="1"/>
  <c r="AK244" i="3" s="1"/>
  <c r="AK250" i="3" s="1"/>
  <c r="AC36" i="20"/>
  <c r="AI185" i="3"/>
  <c r="AC53" i="20"/>
  <c r="AI204" i="3"/>
  <c r="AF127" i="3"/>
  <c r="AG214" i="3"/>
  <c r="AH272" i="20"/>
  <c r="AH247" i="20"/>
  <c r="J169" i="27" s="1"/>
  <c r="AH286" i="20"/>
  <c r="AH287" i="20" s="1"/>
  <c r="AJ264" i="3"/>
  <c r="AJ464" i="3" s="1"/>
  <c r="AJ219" i="3"/>
  <c r="AD37" i="20"/>
  <c r="AJ220" i="3"/>
  <c r="AJ265" i="3"/>
  <c r="AJ465" i="3" s="1"/>
  <c r="AP465" i="21" s="1"/>
  <c r="AD54" i="20"/>
  <c r="AK59" i="18" s="1"/>
  <c r="AK572" i="3"/>
  <c r="AQ464" i="21"/>
  <c r="AQ572" i="21" s="1"/>
  <c r="AH66" i="20"/>
  <c r="J130" i="27" s="1"/>
  <c r="AO24" i="18"/>
  <c r="AH184" i="3"/>
  <c r="AG130" i="3"/>
  <c r="AH203" i="3"/>
  <c r="AG131" i="3"/>
  <c r="AB78" i="20"/>
  <c r="AH215" i="3"/>
  <c r="AN52" i="18"/>
  <c r="AN54" i="18" s="1"/>
  <c r="AN55" i="18" s="1"/>
  <c r="AN25" i="18"/>
  <c r="AN26" i="18" s="1"/>
  <c r="AG193" i="20" s="1"/>
  <c r="AH144" i="20"/>
  <c r="AO154" i="3"/>
  <c r="AO152" i="3"/>
  <c r="AH184" i="20" l="1"/>
  <c r="J18" i="27" s="1"/>
  <c r="J11" i="27"/>
  <c r="J111" i="27"/>
  <c r="AH145" i="20"/>
  <c r="AB53" i="20"/>
  <c r="AH204" i="3"/>
  <c r="AB36" i="20"/>
  <c r="AB67" i="20" s="1"/>
  <c r="AH185" i="3"/>
  <c r="AD68" i="20"/>
  <c r="AD85" i="20"/>
  <c r="AK58" i="18"/>
  <c r="AK60" i="18" s="1"/>
  <c r="AJ572" i="3"/>
  <c r="AP464" i="21"/>
  <c r="AP572" i="21" s="1"/>
  <c r="AA78" i="20"/>
  <c r="AG215" i="3"/>
  <c r="AI265" i="3"/>
  <c r="AI465" i="3" s="1"/>
  <c r="AO465" i="21" s="1"/>
  <c r="AC54" i="20"/>
  <c r="AJ59" i="18" s="1"/>
  <c r="AI220" i="3"/>
  <c r="AC37" i="20"/>
  <c r="AI264" i="3"/>
  <c r="AI464" i="3" s="1"/>
  <c r="AI219" i="3"/>
  <c r="AI227" i="3" s="1"/>
  <c r="AI231" i="3" s="1"/>
  <c r="AI237" i="3" s="1"/>
  <c r="AI242" i="3" s="1"/>
  <c r="AI244" i="3" s="1"/>
  <c r="AI250" i="3" s="1"/>
  <c r="AH266" i="3"/>
  <c r="AH466" i="3" s="1"/>
  <c r="AN466" i="21" s="1"/>
  <c r="AB79" i="20"/>
  <c r="AB195" i="20" s="1"/>
  <c r="AB202" i="20" s="1"/>
  <c r="AH221" i="3"/>
  <c r="AG203" i="3"/>
  <c r="AF131" i="3"/>
  <c r="AF130" i="3"/>
  <c r="AG184" i="3"/>
  <c r="AJ227" i="3"/>
  <c r="AJ231" i="3" s="1"/>
  <c r="AJ237" i="3" s="1"/>
  <c r="AJ242" i="3" s="1"/>
  <c r="AJ244" i="3" s="1"/>
  <c r="AJ250" i="3" s="1"/>
  <c r="AE127" i="3"/>
  <c r="AF214" i="3"/>
  <c r="AC67" i="20"/>
  <c r="AE88" i="20"/>
  <c r="AE118" i="20" s="1"/>
  <c r="AE127" i="20" s="1"/>
  <c r="AQ574" i="21" s="1"/>
  <c r="AE151" i="20"/>
  <c r="AF151" i="20" l="1"/>
  <c r="H12" i="27"/>
  <c r="AE214" i="3"/>
  <c r="AD127" i="3"/>
  <c r="AF184" i="3"/>
  <c r="AE130" i="3"/>
  <c r="AA53" i="20"/>
  <c r="AG204" i="3"/>
  <c r="AC85" i="20"/>
  <c r="AC68" i="20"/>
  <c r="AJ58" i="18"/>
  <c r="AJ60" i="18" s="1"/>
  <c r="AA79" i="20"/>
  <c r="AA195" i="20" s="1"/>
  <c r="AA202" i="20" s="1"/>
  <c r="AG266" i="3"/>
  <c r="AG466" i="3" s="1"/>
  <c r="AM466" i="21" s="1"/>
  <c r="AG221" i="3"/>
  <c r="AE320" i="20"/>
  <c r="AE323" i="20" s="1"/>
  <c r="AE325" i="20" s="1"/>
  <c r="AE331" i="20" s="1"/>
  <c r="AE266" i="20"/>
  <c r="AE304" i="20"/>
  <c r="AE309" i="20" s="1"/>
  <c r="AE311" i="20" s="1"/>
  <c r="AE317" i="20" s="1"/>
  <c r="Z78" i="20"/>
  <c r="AF215" i="3"/>
  <c r="AA36" i="20"/>
  <c r="AG185" i="3"/>
  <c r="AF203" i="3"/>
  <c r="AE131" i="3"/>
  <c r="AI572" i="3"/>
  <c r="AO464" i="21"/>
  <c r="AO572" i="21" s="1"/>
  <c r="AD151" i="20"/>
  <c r="AD88" i="20"/>
  <c r="AD118" i="20" s="1"/>
  <c r="AD127" i="20" s="1"/>
  <c r="AH219" i="3"/>
  <c r="AH264" i="3"/>
  <c r="AH464" i="3" s="1"/>
  <c r="AB37" i="20"/>
  <c r="AH265" i="3"/>
  <c r="AH465" i="3" s="1"/>
  <c r="AN465" i="21" s="1"/>
  <c r="AB54" i="20"/>
  <c r="AI59" i="18" s="1"/>
  <c r="AH220" i="3"/>
  <c r="AA67" i="20" l="1"/>
  <c r="AB68" i="20"/>
  <c r="AB85" i="20"/>
  <c r="AI58" i="18"/>
  <c r="AI60" i="18" s="1"/>
  <c r="AH227" i="3"/>
  <c r="AH231" i="3" s="1"/>
  <c r="AH237" i="3" s="1"/>
  <c r="AH242" i="3" s="1"/>
  <c r="AH244" i="3" s="1"/>
  <c r="AH250" i="3" s="1"/>
  <c r="AD131" i="3"/>
  <c r="AE203" i="3"/>
  <c r="AA37" i="20"/>
  <c r="AG264" i="3"/>
  <c r="AG464" i="3" s="1"/>
  <c r="AG219" i="3"/>
  <c r="Z79" i="20"/>
  <c r="Z195" i="20" s="1"/>
  <c r="Z202" i="20" s="1"/>
  <c r="AF266" i="3"/>
  <c r="AF466" i="3" s="1"/>
  <c r="AL466" i="21" s="1"/>
  <c r="AF221" i="3"/>
  <c r="Z36" i="20"/>
  <c r="AF185" i="3"/>
  <c r="Y78" i="20"/>
  <c r="AE215" i="3"/>
  <c r="AE253" i="20"/>
  <c r="AN464" i="21"/>
  <c r="AN572" i="21" s="1"/>
  <c r="AH572" i="3"/>
  <c r="AD320" i="20"/>
  <c r="AD323" i="20" s="1"/>
  <c r="AD325" i="20" s="1"/>
  <c r="AD331" i="20" s="1"/>
  <c r="AD304" i="20"/>
  <c r="AD309" i="20" s="1"/>
  <c r="AD311" i="20" s="1"/>
  <c r="AD317" i="20" s="1"/>
  <c r="AD266" i="20"/>
  <c r="Z53" i="20"/>
  <c r="AF204" i="3"/>
  <c r="AP574" i="21"/>
  <c r="AC88" i="20"/>
  <c r="AC118" i="20" s="1"/>
  <c r="AC127" i="20" s="1"/>
  <c r="AC151" i="20"/>
  <c r="AG265" i="3"/>
  <c r="AG465" i="3" s="1"/>
  <c r="AM465" i="21" s="1"/>
  <c r="AG220" i="3"/>
  <c r="AA54" i="20"/>
  <c r="AH59" i="18" s="1"/>
  <c r="AD130" i="3"/>
  <c r="AE184" i="3"/>
  <c r="AC127" i="3"/>
  <c r="AD214" i="3"/>
  <c r="AC214" i="3" l="1"/>
  <c r="AB127" i="3"/>
  <c r="AC130" i="3"/>
  <c r="AD184" i="3"/>
  <c r="Z54" i="20"/>
  <c r="AG59" i="18" s="1"/>
  <c r="AF265" i="3"/>
  <c r="AF465" i="3" s="1"/>
  <c r="AL465" i="21" s="1"/>
  <c r="AF220" i="3"/>
  <c r="AE266" i="3"/>
  <c r="AE466" i="3" s="1"/>
  <c r="AK466" i="21" s="1"/>
  <c r="Y79" i="20"/>
  <c r="Y195" i="20" s="1"/>
  <c r="Y202" i="20" s="1"/>
  <c r="AE221" i="3"/>
  <c r="AF264" i="3"/>
  <c r="AF464" i="3" s="1"/>
  <c r="Z37" i="20"/>
  <c r="AF219" i="3"/>
  <c r="AF227" i="3" s="1"/>
  <c r="AF231" i="3" s="1"/>
  <c r="AF237" i="3" s="1"/>
  <c r="AF242" i="3" s="1"/>
  <c r="AF244" i="3" s="1"/>
  <c r="AF250" i="3" s="1"/>
  <c r="AG227" i="3"/>
  <c r="AG231" i="3" s="1"/>
  <c r="AG237" i="3" s="1"/>
  <c r="AG242" i="3" s="1"/>
  <c r="AG244" i="3" s="1"/>
  <c r="AG250" i="3" s="1"/>
  <c r="AA85" i="20"/>
  <c r="AA68" i="20"/>
  <c r="AH58" i="18"/>
  <c r="AH60" i="18" s="1"/>
  <c r="AC131" i="3"/>
  <c r="AD203" i="3"/>
  <c r="AB151" i="20"/>
  <c r="AB88" i="20"/>
  <c r="AB118" i="20" s="1"/>
  <c r="AB127" i="20" s="1"/>
  <c r="X78" i="20"/>
  <c r="AD215" i="3"/>
  <c r="Y36" i="20"/>
  <c r="AE185" i="3"/>
  <c r="AC320" i="20"/>
  <c r="AC323" i="20" s="1"/>
  <c r="AC325" i="20" s="1"/>
  <c r="AC331" i="20" s="1"/>
  <c r="AC304" i="20"/>
  <c r="AC309" i="20" s="1"/>
  <c r="AC311" i="20" s="1"/>
  <c r="AC317" i="20" s="1"/>
  <c r="AC266" i="20"/>
  <c r="AO574" i="21"/>
  <c r="AE275" i="20"/>
  <c r="AE260" i="20"/>
  <c r="AE213" i="20" s="1"/>
  <c r="AE215" i="20" s="1"/>
  <c r="AE217" i="20" s="1"/>
  <c r="AE228" i="20" s="1"/>
  <c r="AE237" i="20" s="1"/>
  <c r="Z67" i="20"/>
  <c r="AG572" i="3"/>
  <c r="AM464" i="21"/>
  <c r="AM572" i="21" s="1"/>
  <c r="Y53" i="20"/>
  <c r="AE204" i="3"/>
  <c r="AD253" i="20"/>
  <c r="AE219" i="3" l="1"/>
  <c r="AE264" i="3"/>
  <c r="AE464" i="3" s="1"/>
  <c r="Y37" i="20"/>
  <c r="AD266" i="3"/>
  <c r="AD466" i="3" s="1"/>
  <c r="AJ466" i="21" s="1"/>
  <c r="X79" i="20"/>
  <c r="X195" i="20" s="1"/>
  <c r="X202" i="20" s="1"/>
  <c r="AD221" i="3"/>
  <c r="AB320" i="20"/>
  <c r="AB323" i="20" s="1"/>
  <c r="AB325" i="20" s="1"/>
  <c r="AB331" i="20" s="1"/>
  <c r="AB266" i="20"/>
  <c r="AB304" i="20"/>
  <c r="AB309" i="20" s="1"/>
  <c r="AB311" i="20" s="1"/>
  <c r="AB317" i="20" s="1"/>
  <c r="AB131" i="3"/>
  <c r="AC203" i="3"/>
  <c r="Z68" i="20"/>
  <c r="Z85" i="20"/>
  <c r="AG58" i="18"/>
  <c r="AG60" i="18" s="1"/>
  <c r="X36" i="20"/>
  <c r="AD185" i="3"/>
  <c r="AB214" i="3"/>
  <c r="AA127" i="3"/>
  <c r="AD275" i="20"/>
  <c r="AD260" i="20"/>
  <c r="AD213" i="20" s="1"/>
  <c r="AD215" i="20" s="1"/>
  <c r="AD217" i="20" s="1"/>
  <c r="AD228" i="20" s="1"/>
  <c r="AD237" i="20" s="1"/>
  <c r="AE265" i="3"/>
  <c r="AE465" i="3" s="1"/>
  <c r="AK465" i="21" s="1"/>
  <c r="AE220" i="3"/>
  <c r="Y54" i="20"/>
  <c r="AF59" i="18" s="1"/>
  <c r="Y67" i="20"/>
  <c r="X53" i="20"/>
  <c r="AD204" i="3"/>
  <c r="AA151" i="20"/>
  <c r="AA88" i="20"/>
  <c r="AA118" i="20" s="1"/>
  <c r="AA127" i="20" s="1"/>
  <c r="AL464" i="21"/>
  <c r="AL572" i="21" s="1"/>
  <c r="AF572" i="3"/>
  <c r="AN574" i="21"/>
  <c r="AC253" i="20"/>
  <c r="AB130" i="3"/>
  <c r="AC184" i="3"/>
  <c r="W78" i="20"/>
  <c r="AC215" i="3"/>
  <c r="AB184" i="3" l="1"/>
  <c r="AA130" i="3"/>
  <c r="V78" i="20"/>
  <c r="AB215" i="3"/>
  <c r="X67" i="20"/>
  <c r="Z151" i="20"/>
  <c r="AA253" i="20" s="1"/>
  <c r="Z88" i="20"/>
  <c r="Z118" i="20" s="1"/>
  <c r="Z127" i="20" s="1"/>
  <c r="W53" i="20"/>
  <c r="AC204" i="3"/>
  <c r="Y85" i="20"/>
  <c r="Y68" i="20"/>
  <c r="AF58" i="18"/>
  <c r="AF60" i="18" s="1"/>
  <c r="AE227" i="3"/>
  <c r="AE231" i="3" s="1"/>
  <c r="AE237" i="3" s="1"/>
  <c r="AE242" i="3" s="1"/>
  <c r="AE244" i="3" s="1"/>
  <c r="AE250" i="3" s="1"/>
  <c r="AC221" i="3"/>
  <c r="AC266" i="3"/>
  <c r="AC466" i="3" s="1"/>
  <c r="AI466" i="21" s="1"/>
  <c r="W79" i="20"/>
  <c r="W195" i="20" s="1"/>
  <c r="W202" i="20" s="1"/>
  <c r="W36" i="20"/>
  <c r="AC185" i="3"/>
  <c r="AC260" i="20"/>
  <c r="AC213" i="20" s="1"/>
  <c r="AC215" i="20" s="1"/>
  <c r="AC217" i="20" s="1"/>
  <c r="AC228" i="20" s="1"/>
  <c r="AC237" i="20" s="1"/>
  <c r="AC275" i="20"/>
  <c r="AA320" i="20"/>
  <c r="AA323" i="20" s="1"/>
  <c r="AA325" i="20" s="1"/>
  <c r="AA331" i="20" s="1"/>
  <c r="AA304" i="20"/>
  <c r="AA309" i="20" s="1"/>
  <c r="AA311" i="20" s="1"/>
  <c r="AA317" i="20" s="1"/>
  <c r="AA266" i="20"/>
  <c r="AD265" i="3"/>
  <c r="AD465" i="3" s="1"/>
  <c r="AJ465" i="21" s="1"/>
  <c r="X54" i="20"/>
  <c r="AE59" i="18" s="1"/>
  <c r="AD220" i="3"/>
  <c r="AB253" i="20"/>
  <c r="AM574" i="21"/>
  <c r="Z127" i="3"/>
  <c r="Z214" i="3" s="1"/>
  <c r="AA214" i="3"/>
  <c r="AD219" i="3"/>
  <c r="AD264" i="3"/>
  <c r="AD464" i="3" s="1"/>
  <c r="X37" i="20"/>
  <c r="AB203" i="3"/>
  <c r="AA131" i="3"/>
  <c r="AE572" i="3"/>
  <c r="AK464" i="21"/>
  <c r="AK572" i="21" s="1"/>
  <c r="AD227" i="3" l="1"/>
  <c r="AD231" i="3" s="1"/>
  <c r="AD237" i="3" s="1"/>
  <c r="AD242" i="3" s="1"/>
  <c r="AD244" i="3" s="1"/>
  <c r="AD250" i="3" s="1"/>
  <c r="W67" i="20"/>
  <c r="AA275" i="20"/>
  <c r="AA260" i="20"/>
  <c r="AA213" i="20" s="1"/>
  <c r="AA215" i="20" s="1"/>
  <c r="AA217" i="20" s="1"/>
  <c r="AA228" i="20" s="1"/>
  <c r="AA237" i="20" s="1"/>
  <c r="V53" i="20"/>
  <c r="AB204" i="3"/>
  <c r="AJ464" i="21"/>
  <c r="AJ572" i="21" s="1"/>
  <c r="AD572" i="3"/>
  <c r="U78" i="20"/>
  <c r="AA215" i="3"/>
  <c r="AB275" i="20"/>
  <c r="AB260" i="20"/>
  <c r="AB213" i="20" s="1"/>
  <c r="AB215" i="20" s="1"/>
  <c r="AB217" i="20" s="1"/>
  <c r="AB228" i="20" s="1"/>
  <c r="AB237" i="20" s="1"/>
  <c r="AC265" i="3"/>
  <c r="AC465" i="3" s="1"/>
  <c r="AI465" i="21" s="1"/>
  <c r="W54" i="20"/>
  <c r="AD59" i="18" s="1"/>
  <c r="AC220" i="3"/>
  <c r="Z266" i="20"/>
  <c r="Z320" i="20"/>
  <c r="Z323" i="20" s="1"/>
  <c r="Z325" i="20" s="1"/>
  <c r="Z331" i="20" s="1"/>
  <c r="Z304" i="20"/>
  <c r="Z309" i="20" s="1"/>
  <c r="Z311" i="20" s="1"/>
  <c r="Z317" i="20" s="1"/>
  <c r="Z130" i="3"/>
  <c r="Z184" i="3" s="1"/>
  <c r="AA184" i="3"/>
  <c r="Z131" i="3"/>
  <c r="Z203" i="3" s="1"/>
  <c r="AA203" i="3"/>
  <c r="X85" i="20"/>
  <c r="X68" i="20"/>
  <c r="AE58" i="18"/>
  <c r="AE60" i="18" s="1"/>
  <c r="T78" i="20"/>
  <c r="AF78" i="20" s="1"/>
  <c r="H145" i="27" s="1"/>
  <c r="H146" i="27" s="1"/>
  <c r="Z215" i="3"/>
  <c r="AC264" i="3"/>
  <c r="AC464" i="3" s="1"/>
  <c r="W37" i="20"/>
  <c r="AC219" i="3"/>
  <c r="AC227" i="3" s="1"/>
  <c r="AC231" i="3" s="1"/>
  <c r="AC237" i="3" s="1"/>
  <c r="AC242" i="3" s="1"/>
  <c r="AC244" i="3" s="1"/>
  <c r="AC250" i="3" s="1"/>
  <c r="Y151" i="20"/>
  <c r="Y88" i="20"/>
  <c r="Y118" i="20" s="1"/>
  <c r="Y127" i="20" s="1"/>
  <c r="Z253" i="20"/>
  <c r="AB221" i="3"/>
  <c r="AB266" i="3"/>
  <c r="AB466" i="3" s="1"/>
  <c r="AH466" i="21" s="1"/>
  <c r="V79" i="20"/>
  <c r="V195" i="20" s="1"/>
  <c r="V202" i="20" s="1"/>
  <c r="AL574" i="21"/>
  <c r="V36" i="20"/>
  <c r="V67" i="20" s="1"/>
  <c r="AB185" i="3"/>
  <c r="AB219" i="3" l="1"/>
  <c r="AB264" i="3"/>
  <c r="AB464" i="3" s="1"/>
  <c r="V37" i="20"/>
  <c r="Y320" i="20"/>
  <c r="Y323" i="20" s="1"/>
  <c r="Y325" i="20" s="1"/>
  <c r="Y331" i="20" s="1"/>
  <c r="Y304" i="20"/>
  <c r="Y309" i="20" s="1"/>
  <c r="Y311" i="20" s="1"/>
  <c r="Y317" i="20" s="1"/>
  <c r="Y266" i="20"/>
  <c r="AI464" i="21"/>
  <c r="AI572" i="21" s="1"/>
  <c r="AC572" i="3"/>
  <c r="U53" i="20"/>
  <c r="AA204" i="3"/>
  <c r="AK574" i="21"/>
  <c r="T36" i="20"/>
  <c r="Z185" i="3"/>
  <c r="AA266" i="3"/>
  <c r="AA466" i="3" s="1"/>
  <c r="AG466" i="21" s="1"/>
  <c r="U79" i="20"/>
  <c r="U195" i="20" s="1"/>
  <c r="U202" i="20" s="1"/>
  <c r="AA221" i="3"/>
  <c r="V54" i="20"/>
  <c r="AC59" i="18" s="1"/>
  <c r="AB265" i="3"/>
  <c r="AB465" i="3" s="1"/>
  <c r="AH465" i="21" s="1"/>
  <c r="AB220" i="3"/>
  <c r="Z275" i="20"/>
  <c r="Z260" i="20"/>
  <c r="Z213" i="20" s="1"/>
  <c r="Z215" i="20" s="1"/>
  <c r="Z217" i="20" s="1"/>
  <c r="Z228" i="20" s="1"/>
  <c r="Z237" i="20" s="1"/>
  <c r="W68" i="20"/>
  <c r="W85" i="20"/>
  <c r="AD58" i="18"/>
  <c r="AD60" i="18" s="1"/>
  <c r="T79" i="20"/>
  <c r="Z266" i="3"/>
  <c r="Z221" i="3"/>
  <c r="AL221" i="3" s="1"/>
  <c r="X88" i="20"/>
  <c r="X118" i="20" s="1"/>
  <c r="X127" i="20" s="1"/>
  <c r="AJ574" i="21" s="1"/>
  <c r="X151" i="20"/>
  <c r="Y253" i="20" s="1"/>
  <c r="T53" i="20"/>
  <c r="Z204" i="3"/>
  <c r="U36" i="20"/>
  <c r="AA185" i="3"/>
  <c r="U67" i="20" l="1"/>
  <c r="AF53" i="20"/>
  <c r="Y275" i="20"/>
  <c r="Y260" i="20"/>
  <c r="Y213" i="20" s="1"/>
  <c r="Y215" i="20" s="1"/>
  <c r="Y217" i="20" s="1"/>
  <c r="Y228" i="20" s="1"/>
  <c r="Y237" i="20" s="1"/>
  <c r="AA219" i="3"/>
  <c r="U37" i="20"/>
  <c r="AA264" i="3"/>
  <c r="AA464" i="3" s="1"/>
  <c r="Z265" i="3"/>
  <c r="Z220" i="3"/>
  <c r="T54" i="20"/>
  <c r="T195" i="20"/>
  <c r="AF79" i="20"/>
  <c r="H161" i="27" s="1"/>
  <c r="H167" i="27" s="1"/>
  <c r="W88" i="20"/>
  <c r="W118" i="20" s="1"/>
  <c r="W127" i="20" s="1"/>
  <c r="AI574" i="21" s="1"/>
  <c r="W151" i="20"/>
  <c r="X253" i="20" s="1"/>
  <c r="AF36" i="20"/>
  <c r="T67" i="20"/>
  <c r="U54" i="20"/>
  <c r="AB59" i="18" s="1"/>
  <c r="AA265" i="3"/>
  <c r="AA465" i="3" s="1"/>
  <c r="AG465" i="21" s="1"/>
  <c r="AA220" i="3"/>
  <c r="AB572" i="3"/>
  <c r="AH464" i="21"/>
  <c r="AH572" i="21" s="1"/>
  <c r="X266" i="20"/>
  <c r="X304" i="20"/>
  <c r="X309" i="20" s="1"/>
  <c r="X311" i="20" s="1"/>
  <c r="X317" i="20" s="1"/>
  <c r="X320" i="20"/>
  <c r="X323" i="20" s="1"/>
  <c r="X325" i="20" s="1"/>
  <c r="X331" i="20" s="1"/>
  <c r="Z466" i="3"/>
  <c r="AL266" i="3"/>
  <c r="T37" i="20"/>
  <c r="Z264" i="3"/>
  <c r="Z219" i="3"/>
  <c r="V85" i="20"/>
  <c r="V68" i="20"/>
  <c r="AC58" i="18"/>
  <c r="AC60" i="18" s="1"/>
  <c r="AB227" i="3"/>
  <c r="AB231" i="3" s="1"/>
  <c r="AB237" i="3" s="1"/>
  <c r="AB242" i="3" s="1"/>
  <c r="AB244" i="3" s="1"/>
  <c r="AB250" i="3" s="1"/>
  <c r="AF67" i="20" l="1"/>
  <c r="H127" i="27" s="1"/>
  <c r="H131" i="27" s="1"/>
  <c r="AL264" i="3"/>
  <c r="Z464" i="3"/>
  <c r="X275" i="20"/>
  <c r="X260" i="20"/>
  <c r="X213" i="20" s="1"/>
  <c r="X215" i="20" s="1"/>
  <c r="X217" i="20" s="1"/>
  <c r="X228" i="20" s="1"/>
  <c r="X237" i="20" s="1"/>
  <c r="AF54" i="20"/>
  <c r="H160" i="27" s="1"/>
  <c r="H166" i="27" s="1"/>
  <c r="AA59" i="18"/>
  <c r="AM59" i="18" s="1"/>
  <c r="Z465" i="3"/>
  <c r="AL265" i="3"/>
  <c r="U85" i="20"/>
  <c r="U68" i="20"/>
  <c r="AB58" i="18"/>
  <c r="AB60" i="18" s="1"/>
  <c r="V88" i="20"/>
  <c r="V118" i="20" s="1"/>
  <c r="V127" i="20" s="1"/>
  <c r="V151" i="20"/>
  <c r="AL219" i="3"/>
  <c r="Z227" i="3"/>
  <c r="T68" i="20"/>
  <c r="AF37" i="20"/>
  <c r="T85" i="20"/>
  <c r="AA58" i="18"/>
  <c r="AL466" i="3"/>
  <c r="AF466" i="21"/>
  <c r="AR466" i="21" s="1"/>
  <c r="AH574" i="21"/>
  <c r="W304" i="20"/>
  <c r="W309" i="20" s="1"/>
  <c r="W311" i="20" s="1"/>
  <c r="W317" i="20" s="1"/>
  <c r="W266" i="20"/>
  <c r="W320" i="20"/>
  <c r="W323" i="20" s="1"/>
  <c r="W325" i="20" s="1"/>
  <c r="W331" i="20" s="1"/>
  <c r="AF195" i="20"/>
  <c r="AF202" i="20" s="1"/>
  <c r="T202" i="20"/>
  <c r="AL220" i="3"/>
  <c r="AA572" i="3"/>
  <c r="AG464" i="21"/>
  <c r="AG572" i="21" s="1"/>
  <c r="AA227" i="3"/>
  <c r="AA231" i="3" s="1"/>
  <c r="AA237" i="3" s="1"/>
  <c r="AA242" i="3" s="1"/>
  <c r="AA244" i="3" s="1"/>
  <c r="AA250" i="3" s="1"/>
  <c r="H49" i="27" l="1"/>
  <c r="AM58" i="18"/>
  <c r="AA60" i="18"/>
  <c r="AF68" i="20"/>
  <c r="H159" i="27"/>
  <c r="H165" i="27" s="1"/>
  <c r="H170" i="27" s="1"/>
  <c r="AL227" i="3"/>
  <c r="AL231" i="3" s="1"/>
  <c r="AL237" i="3" s="1"/>
  <c r="AL242" i="3" s="1"/>
  <c r="AL244" i="3" s="1"/>
  <c r="AL250" i="3" s="1"/>
  <c r="Z231" i="3"/>
  <c r="Z237" i="3" s="1"/>
  <c r="Z242" i="3" s="1"/>
  <c r="Z244" i="3" s="1"/>
  <c r="Z250" i="3" s="1"/>
  <c r="W253" i="20"/>
  <c r="U88" i="20"/>
  <c r="U118" i="20" s="1"/>
  <c r="U127" i="20" s="1"/>
  <c r="U151" i="20"/>
  <c r="AF465" i="21"/>
  <c r="AR465" i="21" s="1"/>
  <c r="AL465" i="3"/>
  <c r="Z572" i="3"/>
  <c r="AL464" i="3"/>
  <c r="AF464" i="21"/>
  <c r="AF85" i="20"/>
  <c r="T88" i="20"/>
  <c r="T118" i="20" s="1"/>
  <c r="T127" i="20" s="1"/>
  <c r="T151" i="20"/>
  <c r="T253" i="20" s="1"/>
  <c r="V320" i="20"/>
  <c r="V323" i="20" s="1"/>
  <c r="V325" i="20" s="1"/>
  <c r="V331" i="20" s="1"/>
  <c r="V304" i="20"/>
  <c r="V309" i="20" s="1"/>
  <c r="V311" i="20" s="1"/>
  <c r="V317" i="20" s="1"/>
  <c r="V266" i="20"/>
  <c r="AL572" i="3" l="1"/>
  <c r="T275" i="20"/>
  <c r="T260" i="20"/>
  <c r="AF88" i="20"/>
  <c r="AF118" i="20" s="1"/>
  <c r="H32" i="27"/>
  <c r="H34" i="27" s="1"/>
  <c r="H44" i="27" s="1"/>
  <c r="AR464" i="21"/>
  <c r="AF572" i="21"/>
  <c r="U304" i="20"/>
  <c r="U309" i="20" s="1"/>
  <c r="U311" i="20" s="1"/>
  <c r="U317" i="20" s="1"/>
  <c r="U320" i="20"/>
  <c r="U323" i="20" s="1"/>
  <c r="U325" i="20" s="1"/>
  <c r="U331" i="20" s="1"/>
  <c r="U266" i="20"/>
  <c r="W275" i="20"/>
  <c r="W260" i="20"/>
  <c r="W213" i="20" s="1"/>
  <c r="W215" i="20" s="1"/>
  <c r="W217" i="20" s="1"/>
  <c r="W228" i="20" s="1"/>
  <c r="W237" i="20" s="1"/>
  <c r="T304" i="20"/>
  <c r="T309" i="20" s="1"/>
  <c r="T311" i="20" s="1"/>
  <c r="T317" i="20" s="1"/>
  <c r="T266" i="20"/>
  <c r="T320" i="20"/>
  <c r="T323" i="20" s="1"/>
  <c r="T325" i="20" s="1"/>
  <c r="T331" i="20" s="1"/>
  <c r="T167" i="20"/>
  <c r="U167" i="20" s="1"/>
  <c r="V167" i="20" s="1"/>
  <c r="W167" i="20" s="1"/>
  <c r="X167" i="20" s="1"/>
  <c r="Y167" i="20" s="1"/>
  <c r="Z167" i="20" s="1"/>
  <c r="AA167" i="20" s="1"/>
  <c r="AB167" i="20" s="1"/>
  <c r="AC167" i="20" s="1"/>
  <c r="AD167" i="20" s="1"/>
  <c r="AE167" i="20" s="1"/>
  <c r="U253" i="20"/>
  <c r="V253" i="20"/>
  <c r="AM60" i="18"/>
  <c r="T175" i="20"/>
  <c r="AG574" i="21"/>
  <c r="CF2" i="26"/>
  <c r="AF253" i="20" l="1"/>
  <c r="V275" i="20"/>
  <c r="V260" i="20"/>
  <c r="V213" i="20" s="1"/>
  <c r="V215" i="20" s="1"/>
  <c r="V217" i="20" s="1"/>
  <c r="V228" i="20" s="1"/>
  <c r="V237" i="20" s="1"/>
  <c r="H16" i="27"/>
  <c r="AF167" i="20"/>
  <c r="AF266" i="20"/>
  <c r="AR572" i="21"/>
  <c r="AF574" i="21"/>
  <c r="U175" i="20"/>
  <c r="T180" i="20"/>
  <c r="T188" i="20" s="1"/>
  <c r="T279" i="20"/>
  <c r="T282" i="20" s="1"/>
  <c r="T295" i="20" s="1"/>
  <c r="U260" i="20"/>
  <c r="U213" i="20" s="1"/>
  <c r="U215" i="20" s="1"/>
  <c r="U217" i="20" s="1"/>
  <c r="U228" i="20" s="1"/>
  <c r="U237" i="20" s="1"/>
  <c r="U275" i="20"/>
  <c r="AF127" i="20"/>
  <c r="T213" i="20"/>
  <c r="AF260" i="20" l="1"/>
  <c r="CE2" i="26"/>
  <c r="AF304" i="20"/>
  <c r="H86" i="27"/>
  <c r="H89" i="27" s="1"/>
  <c r="H93" i="27" s="1"/>
  <c r="H77" i="27"/>
  <c r="H79" i="27" s="1"/>
  <c r="H81" i="27" s="1"/>
  <c r="AF320" i="20"/>
  <c r="AF323" i="20" s="1"/>
  <c r="AF325" i="20" s="1"/>
  <c r="AF213" i="20"/>
  <c r="T215" i="20"/>
  <c r="V175" i="20"/>
  <c r="U180" i="20"/>
  <c r="U188" i="20" s="1"/>
  <c r="U279" i="20"/>
  <c r="U282" i="20" s="1"/>
  <c r="U295" i="20" s="1"/>
  <c r="AR574" i="21"/>
  <c r="H23" i="27"/>
  <c r="AF275" i="20"/>
  <c r="CJ2" i="26"/>
  <c r="AF215" i="20" l="1"/>
  <c r="T217" i="20"/>
  <c r="T228" i="20" s="1"/>
  <c r="T237" i="20" s="1"/>
  <c r="T249" i="20" s="1"/>
  <c r="H69" i="27"/>
  <c r="H72" i="27" s="1"/>
  <c r="H74" i="27" s="1"/>
  <c r="AF309" i="20"/>
  <c r="AF311" i="20" s="1"/>
  <c r="AF317" i="20" s="1"/>
  <c r="W175" i="20"/>
  <c r="V180" i="20"/>
  <c r="V188" i="20" s="1"/>
  <c r="V279" i="20"/>
  <c r="V282" i="20" s="1"/>
  <c r="V295" i="20" s="1"/>
  <c r="AF331" i="20"/>
  <c r="CI2" i="26" s="1"/>
  <c r="X175" i="20" l="1"/>
  <c r="W180" i="20"/>
  <c r="W188" i="20" s="1"/>
  <c r="W279" i="20"/>
  <c r="W282" i="20" s="1"/>
  <c r="W295" i="20" s="1"/>
  <c r="T150" i="20"/>
  <c r="T157" i="20" s="1"/>
  <c r="T164" i="20" s="1"/>
  <c r="T190" i="20" s="1"/>
  <c r="U249" i="20"/>
  <c r="T250" i="20"/>
  <c r="T300" i="20" s="1"/>
  <c r="H50" i="27"/>
  <c r="H51" i="27" s="1"/>
  <c r="H61" i="27" s="1"/>
  <c r="H63" i="27" s="1"/>
  <c r="I62" i="27" s="1"/>
  <c r="AF217" i="20"/>
  <c r="AF228" i="20" s="1"/>
  <c r="AF237" i="20" s="1"/>
  <c r="V249" i="20" l="1"/>
  <c r="U150" i="20"/>
  <c r="U157" i="20" s="1"/>
  <c r="U164" i="20" s="1"/>
  <c r="U190" i="20" s="1"/>
  <c r="U250" i="20"/>
  <c r="U300" i="20" s="1"/>
  <c r="Y175" i="20"/>
  <c r="X180" i="20"/>
  <c r="X188" i="20" s="1"/>
  <c r="X279" i="20"/>
  <c r="V150" i="20" l="1"/>
  <c r="V157" i="20" s="1"/>
  <c r="V164" i="20" s="1"/>
  <c r="V190" i="20" s="1"/>
  <c r="V250" i="20"/>
  <c r="V300" i="20" s="1"/>
  <c r="W249" i="20"/>
  <c r="X282" i="20"/>
  <c r="X295" i="20" s="1"/>
  <c r="Z175" i="20"/>
  <c r="Y180" i="20"/>
  <c r="Y188" i="20" s="1"/>
  <c r="Y279" i="20"/>
  <c r="Y282" i="20" s="1"/>
  <c r="Y295" i="20" s="1"/>
  <c r="AA175" i="20" l="1"/>
  <c r="Z180" i="20"/>
  <c r="Z188" i="20" s="1"/>
  <c r="Z279" i="20"/>
  <c r="Z282" i="20" s="1"/>
  <c r="Z295" i="20" s="1"/>
  <c r="W250" i="20"/>
  <c r="W300" i="20" s="1"/>
  <c r="X249" i="20"/>
  <c r="W150" i="20"/>
  <c r="W157" i="20" s="1"/>
  <c r="W164" i="20" s="1"/>
  <c r="W190" i="20" s="1"/>
  <c r="AB175" i="20" l="1"/>
  <c r="AA180" i="20"/>
  <c r="AA188" i="20" s="1"/>
  <c r="AA279" i="20"/>
  <c r="AA282" i="20" s="1"/>
  <c r="AA295" i="20" s="1"/>
  <c r="X150" i="20"/>
  <c r="X157" i="20" s="1"/>
  <c r="X164" i="20" s="1"/>
  <c r="X190" i="20" s="1"/>
  <c r="X250" i="20"/>
  <c r="X300" i="20" s="1"/>
  <c r="Y249" i="20"/>
  <c r="AC175" i="20" l="1"/>
  <c r="AB180" i="20"/>
  <c r="AB188" i="20" s="1"/>
  <c r="AB279" i="20"/>
  <c r="AB282" i="20" s="1"/>
  <c r="AB295" i="20" s="1"/>
  <c r="Y250" i="20"/>
  <c r="Y300" i="20" s="1"/>
  <c r="Y150" i="20"/>
  <c r="Y157" i="20" s="1"/>
  <c r="Y164" i="20" s="1"/>
  <c r="Y190" i="20" s="1"/>
  <c r="Z249" i="20"/>
  <c r="Z250" i="20" l="1"/>
  <c r="Z300" i="20" s="1"/>
  <c r="Z150" i="20"/>
  <c r="Z157" i="20" s="1"/>
  <c r="Z164" i="20" s="1"/>
  <c r="Z190" i="20" s="1"/>
  <c r="AA249" i="20"/>
  <c r="AD175" i="20"/>
  <c r="AC180" i="20"/>
  <c r="AC188" i="20" s="1"/>
  <c r="AC279" i="20"/>
  <c r="AC282" i="20" s="1"/>
  <c r="AC295" i="20" s="1"/>
  <c r="AE175" i="20" l="1"/>
  <c r="AD180" i="20"/>
  <c r="AD188" i="20" s="1"/>
  <c r="AD279" i="20"/>
  <c r="AD282" i="20" s="1"/>
  <c r="AD295" i="20" s="1"/>
  <c r="AA150" i="20"/>
  <c r="AA157" i="20" s="1"/>
  <c r="AA164" i="20" s="1"/>
  <c r="AA190" i="20" s="1"/>
  <c r="AA250" i="20"/>
  <c r="AA300" i="20" s="1"/>
  <c r="AB249" i="20"/>
  <c r="AB250" i="20" l="1"/>
  <c r="AB300" i="20" s="1"/>
  <c r="AB150" i="20"/>
  <c r="AB157" i="20" s="1"/>
  <c r="AB164" i="20" s="1"/>
  <c r="AB190" i="20" s="1"/>
  <c r="AC249" i="20"/>
  <c r="AF175" i="20"/>
  <c r="AE180" i="20"/>
  <c r="AE279" i="20"/>
  <c r="AE282" i="20" l="1"/>
  <c r="AE295" i="20" s="1"/>
  <c r="AF279" i="20"/>
  <c r="AF282" i="20" s="1"/>
  <c r="AF295" i="20" s="1"/>
  <c r="AF298" i="20" s="1"/>
  <c r="AF180" i="20"/>
  <c r="H20" i="27"/>
  <c r="H21" i="27" s="1"/>
  <c r="AE188" i="20"/>
  <c r="AC150" i="20"/>
  <c r="AC157" i="20" s="1"/>
  <c r="AC164" i="20" s="1"/>
  <c r="AC190" i="20" s="1"/>
  <c r="AC250" i="20"/>
  <c r="AC300" i="20" s="1"/>
  <c r="AD249" i="20"/>
  <c r="AD250" i="20" l="1"/>
  <c r="AD300" i="20" s="1"/>
  <c r="AD150" i="20"/>
  <c r="AD157" i="20" s="1"/>
  <c r="AD164" i="20" s="1"/>
  <c r="AD190" i="20" s="1"/>
  <c r="AE249" i="20"/>
  <c r="AF188" i="20"/>
  <c r="AE150" i="20" l="1"/>
  <c r="AE250" i="20"/>
  <c r="AF249" i="20"/>
  <c r="H98" i="27"/>
  <c r="AF250" i="20" l="1"/>
  <c r="AE300" i="20"/>
  <c r="H101" i="27"/>
  <c r="H103" i="27" s="1"/>
  <c r="H104" i="27"/>
  <c r="AM31" i="17"/>
  <c r="AM38" i="17" s="1"/>
  <c r="AM449" i="17" s="1"/>
  <c r="AF150" i="20"/>
  <c r="H113" i="27" s="1"/>
  <c r="H114" i="27" s="1"/>
  <c r="H116" i="27" s="1"/>
  <c r="H8" i="27"/>
  <c r="H13" i="27" s="1"/>
  <c r="AE157" i="20"/>
  <c r="AF157" i="20" l="1"/>
  <c r="AE164" i="20"/>
  <c r="H27" i="27"/>
  <c r="H25" i="27"/>
  <c r="AM571" i="17"/>
  <c r="AS449" i="21"/>
  <c r="AG120" i="20" s="1"/>
  <c r="AG297" i="20"/>
  <c r="AF300" i="20"/>
  <c r="AF164" i="20" l="1"/>
  <c r="AF190" i="20" s="1"/>
  <c r="AE190" i="20"/>
  <c r="AG201" i="20"/>
  <c r="AM94" i="3"/>
  <c r="I41" i="27"/>
  <c r="I42" i="27" s="1"/>
  <c r="E18" i="32"/>
  <c r="E20" i="32" s="1"/>
  <c r="E23" i="32" s="1"/>
  <c r="AG337" i="20"/>
  <c r="AM225" i="3" l="1"/>
  <c r="AM97" i="3"/>
  <c r="AM101" i="3" s="1"/>
  <c r="AM107" i="3" s="1"/>
  <c r="AM111" i="3" s="1"/>
  <c r="AM113" i="3" s="1"/>
  <c r="AM119" i="3" s="1"/>
  <c r="AM122" i="3" s="1"/>
  <c r="AM125" i="3" s="1"/>
  <c r="I176" i="27"/>
  <c r="I177" i="27" s="1"/>
  <c r="I180" i="27" s="1"/>
  <c r="I181" i="27" s="1"/>
  <c r="AG338" i="20"/>
  <c r="AG341" i="20" s="1"/>
  <c r="AG342" i="20" s="1"/>
  <c r="AM134" i="3" l="1"/>
  <c r="AM136" i="3" s="1"/>
  <c r="AM138" i="3" l="1"/>
  <c r="AM209" i="3" s="1"/>
  <c r="AM140" i="3"/>
  <c r="AM127" i="3"/>
  <c r="AM214" i="3" s="1"/>
  <c r="AG78" i="20" s="1"/>
  <c r="I145" i="27" s="1"/>
  <c r="AM240" i="3"/>
  <c r="AM130" i="3"/>
  <c r="AG307" i="20"/>
  <c r="AM131" i="3"/>
  <c r="AM203" i="3" l="1"/>
  <c r="AG53" i="20" s="1"/>
  <c r="AO39" i="18" s="1"/>
  <c r="AO41" i="18" s="1"/>
  <c r="AO42" i="18" s="1"/>
  <c r="AH194" i="20" s="1"/>
  <c r="AN147" i="3"/>
  <c r="AM184" i="3"/>
  <c r="AM185" i="3" s="1"/>
  <c r="AN146" i="3"/>
  <c r="AG72" i="20"/>
  <c r="I140" i="27" s="1"/>
  <c r="I146" i="27" s="1"/>
  <c r="AM210" i="3"/>
  <c r="AG36" i="20" l="1"/>
  <c r="AG67" i="20" s="1"/>
  <c r="I127" i="27" s="1"/>
  <c r="I131" i="27" s="1"/>
  <c r="AM204" i="3"/>
  <c r="AM265" i="3" s="1"/>
  <c r="AM465" i="3" s="1"/>
  <c r="AS465" i="21" s="1"/>
  <c r="AG73" i="20"/>
  <c r="AM215" i="3"/>
  <c r="AO22" i="18"/>
  <c r="AM264" i="3"/>
  <c r="AM464" i="3" s="1"/>
  <c r="AM219" i="3"/>
  <c r="AG37" i="20"/>
  <c r="AM220" i="3" l="1"/>
  <c r="AG54" i="20"/>
  <c r="AN59" i="18" s="1"/>
  <c r="AM266" i="3"/>
  <c r="AM466" i="3" s="1"/>
  <c r="AS466" i="21" s="1"/>
  <c r="AM221" i="3"/>
  <c r="AG79" i="20"/>
  <c r="I159" i="27"/>
  <c r="I165" i="27" s="1"/>
  <c r="AN58" i="18"/>
  <c r="AM572" i="3"/>
  <c r="AS464" i="21"/>
  <c r="AO52" i="18"/>
  <c r="AO54" i="18" s="1"/>
  <c r="AO55" i="18" s="1"/>
  <c r="AO25" i="18"/>
  <c r="AO26" i="18" s="1"/>
  <c r="AH193" i="20" s="1"/>
  <c r="AM227" i="3" l="1"/>
  <c r="AM231" i="3" s="1"/>
  <c r="AM237" i="3" s="1"/>
  <c r="AM242" i="3" s="1"/>
  <c r="AM244" i="3" s="1"/>
  <c r="AM250" i="3" s="1"/>
  <c r="AG85" i="20"/>
  <c r="I32" i="27" s="1"/>
  <c r="I34" i="27" s="1"/>
  <c r="I44" i="27" s="1"/>
  <c r="I160" i="27"/>
  <c r="I166" i="27" s="1"/>
  <c r="AN60" i="18"/>
  <c r="AG175" i="20" s="1"/>
  <c r="AG68" i="20"/>
  <c r="AS572" i="21"/>
  <c r="AG195" i="20"/>
  <c r="AG202" i="20" s="1"/>
  <c r="I161" i="27"/>
  <c r="I167" i="27" s="1"/>
  <c r="I170" i="27" s="1"/>
  <c r="AG88" i="20" l="1"/>
  <c r="AG118" i="20" s="1"/>
  <c r="AG127" i="20" s="1"/>
  <c r="AG304" i="20" s="1"/>
  <c r="AG151" i="20"/>
  <c r="AN62" i="18"/>
  <c r="I49" i="27"/>
  <c r="AG266" i="20"/>
  <c r="AG180" i="20"/>
  <c r="I20" i="27" s="1"/>
  <c r="AG279" i="20"/>
  <c r="I12" i="27"/>
  <c r="AG253" i="20"/>
  <c r="AS574" i="21"/>
  <c r="I77" i="27" l="1"/>
  <c r="I79" i="27" s="1"/>
  <c r="I81" i="27" s="1"/>
  <c r="AG167" i="20"/>
  <c r="I86" i="27"/>
  <c r="I89" i="27" s="1"/>
  <c r="I93" i="27" s="1"/>
  <c r="AG320" i="20"/>
  <c r="AG323" i="20" s="1"/>
  <c r="AG325" i="20" s="1"/>
  <c r="AG331" i="20" s="1"/>
  <c r="AG275" i="20"/>
  <c r="AG282" i="20" s="1"/>
  <c r="AG295" i="20" s="1"/>
  <c r="AG298" i="20" s="1"/>
  <c r="AG260" i="20"/>
  <c r="AG213" i="20" s="1"/>
  <c r="AG215" i="20" s="1"/>
  <c r="AG188" i="20"/>
  <c r="I16" i="27"/>
  <c r="I69" i="27"/>
  <c r="I72" i="27" s="1"/>
  <c r="I74" i="27" s="1"/>
  <c r="AG309" i="20"/>
  <c r="AG311" i="20" s="1"/>
  <c r="AG317" i="20" s="1"/>
  <c r="I23" i="27" l="1"/>
  <c r="I21" i="27"/>
  <c r="I50" i="27"/>
  <c r="I51" i="27" s="1"/>
  <c r="I61" i="27" s="1"/>
  <c r="I63" i="27" s="1"/>
  <c r="J62" i="27" s="1"/>
  <c r="AG217" i="20"/>
  <c r="AG228" i="20" s="1"/>
  <c r="AG237" i="20" s="1"/>
  <c r="AG249" i="20" s="1"/>
  <c r="AG150" i="20" l="1"/>
  <c r="AG250" i="20"/>
  <c r="I98" i="27"/>
  <c r="I8" i="27" l="1"/>
  <c r="I13" i="27" s="1"/>
  <c r="I113" i="27"/>
  <c r="I114" i="27" s="1"/>
  <c r="I116" i="27" s="1"/>
  <c r="AN31" i="17"/>
  <c r="AN38" i="17" s="1"/>
  <c r="AN449" i="17" s="1"/>
  <c r="AG157" i="20"/>
  <c r="AG164" i="20" s="1"/>
  <c r="AG190" i="20" s="1"/>
  <c r="I101" i="27"/>
  <c r="I103" i="27" s="1"/>
  <c r="I104" i="27"/>
  <c r="AG300" i="20"/>
  <c r="AH297" i="20"/>
  <c r="AN571" i="17" l="1"/>
  <c r="AT449" i="21"/>
  <c r="I27" i="27"/>
  <c r="I25" i="27"/>
  <c r="AH120" i="20" l="1"/>
  <c r="AH201" i="20" l="1"/>
  <c r="F18" i="32"/>
  <c r="F20" i="32" s="1"/>
  <c r="F23" i="32" s="1"/>
  <c r="J41" i="27"/>
  <c r="J42" i="27" s="1"/>
  <c r="AN94" i="3"/>
  <c r="AH337" i="20"/>
  <c r="J176" i="27" l="1"/>
  <c r="J177" i="27" s="1"/>
  <c r="J180" i="27" s="1"/>
  <c r="J181" i="27" s="1"/>
  <c r="AH338" i="20"/>
  <c r="AH341" i="20" s="1"/>
  <c r="AH342" i="20" s="1"/>
  <c r="AN225" i="3"/>
  <c r="AN97" i="3"/>
  <c r="AN101" i="3" s="1"/>
  <c r="AN107" i="3" s="1"/>
  <c r="AN111" i="3" s="1"/>
  <c r="AN113" i="3" s="1"/>
  <c r="AN119" i="3" s="1"/>
  <c r="AN122" i="3" s="1"/>
  <c r="AN125" i="3" s="1"/>
  <c r="AN134" i="3" l="1"/>
  <c r="AN136" i="3" s="1"/>
  <c r="AN131" i="3" l="1"/>
  <c r="AN203" i="3" s="1"/>
  <c r="AH307" i="20"/>
  <c r="AN127" i="3"/>
  <c r="AN214" i="3" s="1"/>
  <c r="AH78" i="20" s="1"/>
  <c r="J145" i="27" s="1"/>
  <c r="AN130" i="3"/>
  <c r="AN184" i="3" s="1"/>
  <c r="AN240" i="3"/>
  <c r="AN140" i="3"/>
  <c r="AN138" i="3"/>
  <c r="AN209" i="3" s="1"/>
  <c r="AH36" i="20" l="1"/>
  <c r="AN185" i="3"/>
  <c r="AN210" i="3"/>
  <c r="AH72" i="20"/>
  <c r="J140" i="27" s="1"/>
  <c r="J146" i="27" s="1"/>
  <c r="AH53" i="20"/>
  <c r="AN204" i="3"/>
  <c r="AN265" i="3" l="1"/>
  <c r="AN465" i="3" s="1"/>
  <c r="AT465" i="21" s="1"/>
  <c r="AH54" i="20"/>
  <c r="AN220" i="3"/>
  <c r="AN264" i="3"/>
  <c r="AN464" i="3" s="1"/>
  <c r="AH37" i="20"/>
  <c r="AN219" i="3"/>
  <c r="AH73" i="20"/>
  <c r="AN215" i="3"/>
  <c r="AH67" i="20"/>
  <c r="J127" i="27" s="1"/>
  <c r="J131" i="27" s="1"/>
  <c r="AN266" i="3" l="1"/>
  <c r="AN466" i="3" s="1"/>
  <c r="AT466" i="21" s="1"/>
  <c r="AN221" i="3"/>
  <c r="AN227" i="3" s="1"/>
  <c r="AN231" i="3" s="1"/>
  <c r="AN237" i="3" s="1"/>
  <c r="AN242" i="3" s="1"/>
  <c r="AN244" i="3" s="1"/>
  <c r="AN250" i="3" s="1"/>
  <c r="AH79" i="20"/>
  <c r="AH85" i="20" s="1"/>
  <c r="AT464" i="21"/>
  <c r="AN572" i="3"/>
  <c r="J160" i="27"/>
  <c r="J166" i="27" s="1"/>
  <c r="AO59" i="18"/>
  <c r="AH68" i="20"/>
  <c r="J159" i="27"/>
  <c r="J165" i="27" s="1"/>
  <c r="AO58" i="18"/>
  <c r="AO60" i="18" l="1"/>
  <c r="AH175" i="20" s="1"/>
  <c r="AH180" i="20" s="1"/>
  <c r="J20" i="27" s="1"/>
  <c r="AT572" i="21"/>
  <c r="AH151" i="20"/>
  <c r="J32" i="27"/>
  <c r="J34" i="27" s="1"/>
  <c r="J44" i="27" s="1"/>
  <c r="AH88" i="20"/>
  <c r="AH118" i="20" s="1"/>
  <c r="AH127" i="20" s="1"/>
  <c r="J161" i="27"/>
  <c r="J167" i="27" s="1"/>
  <c r="J170" i="27" s="1"/>
  <c r="AH195" i="20"/>
  <c r="AH202" i="20" s="1"/>
  <c r="AH279" i="20" l="1"/>
  <c r="AT574" i="21"/>
  <c r="J49" i="27"/>
  <c r="AH304" i="20"/>
  <c r="J86" i="27"/>
  <c r="J89" i="27" s="1"/>
  <c r="J93" i="27" s="1"/>
  <c r="J77" i="27"/>
  <c r="J79" i="27" s="1"/>
  <c r="J81" i="27" s="1"/>
  <c r="AH266" i="20"/>
  <c r="AH320" i="20"/>
  <c r="AH323" i="20" s="1"/>
  <c r="AH325" i="20" s="1"/>
  <c r="AH331" i="20" s="1"/>
  <c r="AH167" i="20"/>
  <c r="J12" i="27"/>
  <c r="AH253" i="20"/>
  <c r="AH260" i="20" l="1"/>
  <c r="AH213" i="20" s="1"/>
  <c r="AH215" i="20" s="1"/>
  <c r="AH275" i="20"/>
  <c r="AH282" i="20" s="1"/>
  <c r="AH295" i="20" s="1"/>
  <c r="AH298" i="20" s="1"/>
  <c r="AH188" i="20"/>
  <c r="J16" i="27"/>
  <c r="AH309" i="20"/>
  <c r="AH311" i="20" s="1"/>
  <c r="AH317" i="20" s="1"/>
  <c r="J69" i="27"/>
  <c r="J72" i="27" s="1"/>
  <c r="J74" i="27" s="1"/>
  <c r="J23" i="27" l="1"/>
  <c r="J21" i="27"/>
  <c r="J50" i="27"/>
  <c r="J51" i="27" s="1"/>
  <c r="J61" i="27" s="1"/>
  <c r="J63" i="27" s="1"/>
  <c r="K62" i="27" s="1"/>
  <c r="AH217" i="20"/>
  <c r="AH228" i="20" s="1"/>
  <c r="AH237" i="20" s="1"/>
  <c r="AH249" i="20" s="1"/>
  <c r="AH250" i="20" l="1"/>
  <c r="AH150" i="20"/>
  <c r="J98" i="27"/>
  <c r="J101" i="27" l="1"/>
  <c r="J103" i="27" s="1"/>
  <c r="J104" i="27"/>
  <c r="AO31" i="17"/>
  <c r="AO38" i="17" s="1"/>
  <c r="AO449" i="17" s="1"/>
  <c r="AH157" i="20"/>
  <c r="AH164" i="20" s="1"/>
  <c r="AH190" i="20" s="1"/>
  <c r="J8" i="27"/>
  <c r="J13" i="27" s="1"/>
  <c r="J113" i="27"/>
  <c r="J114" i="27" s="1"/>
  <c r="J116" i="27" s="1"/>
  <c r="AI297" i="20"/>
  <c r="AH300" i="20"/>
  <c r="J27" i="27" l="1"/>
  <c r="J25" i="27"/>
  <c r="AU449" i="21"/>
  <c r="AO571" i="17"/>
  <c r="AI120" i="20" l="1"/>
  <c r="AO94" i="3" l="1"/>
  <c r="G18" i="32"/>
  <c r="AI201" i="20"/>
  <c r="AI337" i="20"/>
  <c r="K176" i="27" l="1"/>
  <c r="AO225" i="3"/>
  <c r="AX147" i="8" l="1"/>
  <c r="AX518" i="8" s="1"/>
  <c r="BC518" i="21" s="1"/>
  <c r="AW147" i="8"/>
  <c r="AW518" i="8" s="1"/>
  <c r="BB518" i="21" s="1"/>
  <c r="AV147" i="8"/>
  <c r="AV518" i="8" s="1"/>
  <c r="BA518" i="21" s="1"/>
  <c r="AU147" i="8"/>
  <c r="AU518" i="8" s="1"/>
  <c r="AZ518" i="21" s="1"/>
  <c r="AT147" i="8"/>
  <c r="AT518" i="8" s="1"/>
  <c r="AY518" i="21" s="1"/>
  <c r="AS147" i="8"/>
  <c r="AS518" i="8" s="1"/>
  <c r="AX518" i="21" s="1"/>
  <c r="AR147" i="8"/>
  <c r="AR518" i="8" s="1"/>
  <c r="AW518" i="21" s="1"/>
  <c r="AQ147" i="8"/>
  <c r="AQ518" i="8" s="1"/>
  <c r="AV518" i="21" s="1"/>
  <c r="AP147" i="8"/>
  <c r="AP518" i="8" s="1"/>
  <c r="AU518" i="21" s="1"/>
  <c r="AW8" i="3"/>
  <c r="AV8" i="3"/>
  <c r="AU8" i="3"/>
  <c r="AT8" i="3"/>
  <c r="AS8" i="3"/>
  <c r="AR8" i="3"/>
  <c r="AQ8" i="3"/>
  <c r="AP8" i="3"/>
  <c r="AO8" i="3"/>
  <c r="AW10" i="3"/>
  <c r="AV10" i="3"/>
  <c r="AU10" i="3"/>
  <c r="AT10" i="3"/>
  <c r="AS10" i="3"/>
  <c r="AR10" i="3"/>
  <c r="AQ10" i="3"/>
  <c r="AP10" i="3"/>
  <c r="AO10" i="3"/>
  <c r="AR11" i="8" l="1"/>
  <c r="AQ4" i="5" s="1"/>
  <c r="AQ7" i="3"/>
  <c r="AV11" i="8"/>
  <c r="AU4" i="5" s="1"/>
  <c r="AU7" i="3"/>
  <c r="AX11" i="8"/>
  <c r="AW4" i="5" s="1"/>
  <c r="AW7" i="3"/>
  <c r="AI10" i="20"/>
  <c r="K154" i="27" s="1"/>
  <c r="AO76" i="3"/>
  <c r="AO212" i="3" s="1"/>
  <c r="AO135" i="3"/>
  <c r="AK10" i="20"/>
  <c r="M154" i="27" s="1"/>
  <c r="AQ76" i="3"/>
  <c r="AQ212" i="3" s="1"/>
  <c r="AQ135" i="3"/>
  <c r="AM10" i="20"/>
  <c r="O154" i="27" s="1"/>
  <c r="AS135" i="3"/>
  <c r="AS76" i="3"/>
  <c r="AS212" i="3" s="1"/>
  <c r="AO10" i="20"/>
  <c r="Q154" i="27" s="1"/>
  <c r="AU135" i="3"/>
  <c r="AU76" i="3"/>
  <c r="AU212" i="3" s="1"/>
  <c r="AQ10" i="20"/>
  <c r="S154" i="27" s="1"/>
  <c r="AW135" i="3"/>
  <c r="AW76" i="3"/>
  <c r="AW212" i="3" s="1"/>
  <c r="AJ8" i="20"/>
  <c r="AP49" i="3"/>
  <c r="AP188" i="3" s="1"/>
  <c r="AJ40" i="20" s="1"/>
  <c r="AQ29" i="18" s="1"/>
  <c r="AP4" i="6"/>
  <c r="AP53" i="3"/>
  <c r="AR4" i="6"/>
  <c r="AL8" i="20"/>
  <c r="AR49" i="3"/>
  <c r="AR188" i="3" s="1"/>
  <c r="AL40" i="20" s="1"/>
  <c r="AS29" i="18" s="1"/>
  <c r="AR53" i="3"/>
  <c r="AN8" i="20"/>
  <c r="AT49" i="3"/>
  <c r="AT188" i="3" s="1"/>
  <c r="AN40" i="20" s="1"/>
  <c r="AU29" i="18" s="1"/>
  <c r="AT4" i="6"/>
  <c r="AT53" i="3"/>
  <c r="AV4" i="6"/>
  <c r="AV49" i="3"/>
  <c r="AV188" i="3" s="1"/>
  <c r="AP40" i="20" s="1"/>
  <c r="AW29" i="18" s="1"/>
  <c r="AP8" i="20"/>
  <c r="AV53" i="3"/>
  <c r="AO20" i="5"/>
  <c r="AP63" i="8"/>
  <c r="AP11" i="8"/>
  <c r="AO4" i="5" s="1"/>
  <c r="AO7" i="3"/>
  <c r="AT11" i="8"/>
  <c r="AS4" i="5" s="1"/>
  <c r="AS7" i="3"/>
  <c r="AP7" i="3"/>
  <c r="AQ11" i="8"/>
  <c r="AP4" i="5" s="1"/>
  <c r="AR7" i="3"/>
  <c r="AS11" i="8"/>
  <c r="AR4" i="5" s="1"/>
  <c r="AT7" i="3"/>
  <c r="AU11" i="8"/>
  <c r="AT4" i="5" s="1"/>
  <c r="AV7" i="3"/>
  <c r="AW11" i="8"/>
  <c r="AV4" i="5" s="1"/>
  <c r="AJ10" i="20"/>
  <c r="L154" i="27" s="1"/>
  <c r="AP135" i="3"/>
  <c r="AP76" i="3"/>
  <c r="AP212" i="3" s="1"/>
  <c r="AL10" i="20"/>
  <c r="N154" i="27" s="1"/>
  <c r="AR135" i="3"/>
  <c r="AR76" i="3"/>
  <c r="AR212" i="3" s="1"/>
  <c r="AN10" i="20"/>
  <c r="P154" i="27" s="1"/>
  <c r="AT135" i="3"/>
  <c r="AT76" i="3"/>
  <c r="AT212" i="3" s="1"/>
  <c r="AP10" i="20"/>
  <c r="R154" i="27" s="1"/>
  <c r="AV135" i="3"/>
  <c r="AV76" i="3"/>
  <c r="AV212" i="3" s="1"/>
  <c r="AO4" i="6"/>
  <c r="AI8" i="20"/>
  <c r="AO49" i="3"/>
  <c r="AO188" i="3" s="1"/>
  <c r="AI40" i="20" s="1"/>
  <c r="AP29" i="18" s="1"/>
  <c r="AO53" i="3"/>
  <c r="AK8" i="20"/>
  <c r="AQ4" i="6"/>
  <c r="AQ49" i="3"/>
  <c r="AQ188" i="3" s="1"/>
  <c r="AK40" i="20" s="1"/>
  <c r="AR29" i="18" s="1"/>
  <c r="AQ53" i="3"/>
  <c r="AS4" i="6"/>
  <c r="AS49" i="3"/>
  <c r="AS188" i="3" s="1"/>
  <c r="AM40" i="20" s="1"/>
  <c r="AT29" i="18" s="1"/>
  <c r="AM8" i="20"/>
  <c r="AS53" i="3"/>
  <c r="AO8" i="20"/>
  <c r="AU4" i="6"/>
  <c r="AU49" i="3"/>
  <c r="AU188" i="3" s="1"/>
  <c r="AO40" i="20" s="1"/>
  <c r="AV29" i="18" s="1"/>
  <c r="AU53" i="3"/>
  <c r="AW4" i="6"/>
  <c r="AW49" i="3"/>
  <c r="AW188" i="3" s="1"/>
  <c r="AQ40" i="20" s="1"/>
  <c r="AX29" i="18" s="1"/>
  <c r="AQ8" i="20"/>
  <c r="AW53" i="3"/>
  <c r="AX517" i="8"/>
  <c r="BC517" i="21" s="1"/>
  <c r="AX135" i="8"/>
  <c r="AX69" i="8" s="1"/>
  <c r="AV517" i="8"/>
  <c r="BA517" i="21" s="1"/>
  <c r="AV135" i="8"/>
  <c r="AV69" i="8" s="1"/>
  <c r="AT517" i="8"/>
  <c r="AY517" i="21" s="1"/>
  <c r="AT135" i="8"/>
  <c r="AT69" i="8" s="1"/>
  <c r="AR517" i="8"/>
  <c r="AW517" i="21" s="1"/>
  <c r="AR135" i="8"/>
  <c r="AR69" i="8" s="1"/>
  <c r="AX28" i="8"/>
  <c r="AW32" i="19"/>
  <c r="AW33" i="19" s="1"/>
  <c r="AU32" i="19"/>
  <c r="AU33" i="19" s="1"/>
  <c r="AV28" i="8"/>
  <c r="AT28" i="8"/>
  <c r="AS32" i="19"/>
  <c r="AS33" i="19" s="1"/>
  <c r="AR28" i="8"/>
  <c r="AQ32" i="19"/>
  <c r="AQ33" i="19" s="1"/>
  <c r="AW49" i="19"/>
  <c r="AX59" i="8"/>
  <c r="AV59" i="8"/>
  <c r="AU49" i="19"/>
  <c r="AT59" i="8"/>
  <c r="AS49" i="19"/>
  <c r="AR59" i="8"/>
  <c r="AQ49" i="19"/>
  <c r="AX48" i="8"/>
  <c r="AW13" i="19" s="1"/>
  <c r="AW16" i="19" s="1"/>
  <c r="AV48" i="8"/>
  <c r="AU13" i="19" s="1"/>
  <c r="AU16" i="19" s="1"/>
  <c r="AT48" i="8"/>
  <c r="AS13" i="19" s="1"/>
  <c r="AS16" i="19" s="1"/>
  <c r="AR48" i="8"/>
  <c r="AQ13" i="19" s="1"/>
  <c r="AQ16" i="19" s="1"/>
  <c r="AW517" i="8"/>
  <c r="BB517" i="21" s="1"/>
  <c r="AW135" i="8"/>
  <c r="AW69" i="8" s="1"/>
  <c r="AU517" i="8"/>
  <c r="AZ517" i="21" s="1"/>
  <c r="AU135" i="8"/>
  <c r="AU69" i="8" s="1"/>
  <c r="AS517" i="8"/>
  <c r="AX517" i="21" s="1"/>
  <c r="AS135" i="8"/>
  <c r="AS69" i="8" s="1"/>
  <c r="AQ135" i="8"/>
  <c r="AQ69" i="8" s="1"/>
  <c r="AQ517" i="8"/>
  <c r="AV517" i="21" s="1"/>
  <c r="AW28" i="8"/>
  <c r="AV32" i="19"/>
  <c r="AV33" i="19" s="1"/>
  <c r="AU28" i="8"/>
  <c r="AT32" i="19"/>
  <c r="AT33" i="19" s="1"/>
  <c r="AR32" i="19"/>
  <c r="AR33" i="19" s="1"/>
  <c r="AS28" i="8"/>
  <c r="AP32" i="19"/>
  <c r="AP33" i="19" s="1"/>
  <c r="AQ28" i="8"/>
  <c r="AW59" i="8"/>
  <c r="AV49" i="19"/>
  <c r="AU59" i="8"/>
  <c r="AT49" i="19"/>
  <c r="AR49" i="19"/>
  <c r="AS59" i="8"/>
  <c r="AQ59" i="8"/>
  <c r="AP49" i="19"/>
  <c r="AW48" i="8"/>
  <c r="AV13" i="19" s="1"/>
  <c r="AV16" i="19" s="1"/>
  <c r="AU48" i="8"/>
  <c r="AT13" i="19" s="1"/>
  <c r="AT16" i="19" s="1"/>
  <c r="AS48" i="8"/>
  <c r="AR13" i="19" s="1"/>
  <c r="AR16" i="19" s="1"/>
  <c r="AQ48" i="8"/>
  <c r="AP13" i="19" s="1"/>
  <c r="AP16" i="19" s="1"/>
  <c r="AW192" i="3" l="1"/>
  <c r="AQ44" i="20" s="1"/>
  <c r="AX32" i="18" s="1"/>
  <c r="AW129" i="3"/>
  <c r="AU192" i="3"/>
  <c r="AO44" i="20" s="1"/>
  <c r="AV32" i="18" s="1"/>
  <c r="AU129" i="3"/>
  <c r="AS192" i="3"/>
  <c r="AM44" i="20" s="1"/>
  <c r="AT32" i="18" s="1"/>
  <c r="AS129" i="3"/>
  <c r="AQ192" i="3"/>
  <c r="AK44" i="20" s="1"/>
  <c r="AR32" i="18" s="1"/>
  <c r="AQ129" i="3"/>
  <c r="AO192" i="3"/>
  <c r="AI44" i="20" s="1"/>
  <c r="AP32" i="18" s="1"/>
  <c r="AO129" i="3"/>
  <c r="AP7" i="18"/>
  <c r="AP39" i="18" s="1"/>
  <c r="K153" i="27"/>
  <c r="AV5" i="5"/>
  <c r="AT5" i="5"/>
  <c r="AR5" i="5"/>
  <c r="AP5" i="5"/>
  <c r="AS30" i="3"/>
  <c r="AS169" i="3" s="1"/>
  <c r="AM23" i="20" s="1"/>
  <c r="AT12" i="18" s="1"/>
  <c r="AS12" i="3"/>
  <c r="AM7" i="20"/>
  <c r="AS3" i="6"/>
  <c r="AS5" i="6" s="1"/>
  <c r="AS33" i="3"/>
  <c r="AO30" i="3"/>
  <c r="AO169" i="3" s="1"/>
  <c r="AI23" i="20" s="1"/>
  <c r="AP12" i="18" s="1"/>
  <c r="AO12" i="3"/>
  <c r="AI7" i="20"/>
  <c r="AO3" i="6"/>
  <c r="AO5" i="6" s="1"/>
  <c r="AO20" i="6" s="1"/>
  <c r="AO33" i="3"/>
  <c r="AP65" i="8"/>
  <c r="AO19" i="5" s="1"/>
  <c r="AP145" i="8"/>
  <c r="AV129" i="3"/>
  <c r="AV192" i="3"/>
  <c r="AP44" i="20" s="1"/>
  <c r="AW32" i="18" s="1"/>
  <c r="AT192" i="3"/>
  <c r="AN44" i="20" s="1"/>
  <c r="AU32" i="18" s="1"/>
  <c r="AT129" i="3"/>
  <c r="AR192" i="3"/>
  <c r="AL44" i="20" s="1"/>
  <c r="AS32" i="18" s="1"/>
  <c r="AR129" i="3"/>
  <c r="N153" i="27"/>
  <c r="AS7" i="18"/>
  <c r="AP192" i="3"/>
  <c r="AJ44" i="20" s="1"/>
  <c r="AQ32" i="18" s="1"/>
  <c r="AP129" i="3"/>
  <c r="AQ7" i="20"/>
  <c r="AW12" i="3"/>
  <c r="AW30" i="3"/>
  <c r="AW169" i="3" s="1"/>
  <c r="AQ23" i="20" s="1"/>
  <c r="AX12" i="18" s="1"/>
  <c r="AW3" i="6"/>
  <c r="AW5" i="6" s="1"/>
  <c r="AW33" i="3"/>
  <c r="AU30" i="3"/>
  <c r="AU169" i="3" s="1"/>
  <c r="AO23" i="20" s="1"/>
  <c r="AV12" i="18" s="1"/>
  <c r="AU3" i="6"/>
  <c r="AU5" i="6" s="1"/>
  <c r="AU12" i="3"/>
  <c r="AO7" i="20"/>
  <c r="AU33" i="3"/>
  <c r="AQ30" i="3"/>
  <c r="AQ169" i="3" s="1"/>
  <c r="AK23" i="20" s="1"/>
  <c r="AR12" i="18" s="1"/>
  <c r="AQ12" i="3"/>
  <c r="AK7" i="20"/>
  <c r="AQ3" i="6"/>
  <c r="AQ5" i="6" s="1"/>
  <c r="AQ33" i="3"/>
  <c r="S153" i="27"/>
  <c r="AX7" i="18"/>
  <c r="Q153" i="27"/>
  <c r="AV7" i="18"/>
  <c r="O153" i="27"/>
  <c r="AT7" i="18"/>
  <c r="M153" i="27"/>
  <c r="AR7" i="18"/>
  <c r="AP7" i="20"/>
  <c r="AV30" i="3"/>
  <c r="AV169" i="3" s="1"/>
  <c r="AP23" i="20" s="1"/>
  <c r="AW12" i="18" s="1"/>
  <c r="AV3" i="6"/>
  <c r="AV5" i="6" s="1"/>
  <c r="AV12" i="3"/>
  <c r="AV33" i="3"/>
  <c r="AT3" i="6"/>
  <c r="AT5" i="6" s="1"/>
  <c r="AT30" i="3"/>
  <c r="AT169" i="3" s="1"/>
  <c r="AN23" i="20" s="1"/>
  <c r="AU12" i="18" s="1"/>
  <c r="AN7" i="20"/>
  <c r="AT12" i="3"/>
  <c r="AT33" i="3"/>
  <c r="AR3" i="6"/>
  <c r="AR5" i="6" s="1"/>
  <c r="AR30" i="3"/>
  <c r="AR169" i="3" s="1"/>
  <c r="AL23" i="20" s="1"/>
  <c r="AS12" i="18" s="1"/>
  <c r="AL7" i="20"/>
  <c r="AR12" i="3"/>
  <c r="AR33" i="3"/>
  <c r="AP30" i="3"/>
  <c r="AP169" i="3" s="1"/>
  <c r="AJ23" i="20" s="1"/>
  <c r="AQ12" i="18" s="1"/>
  <c r="AP12" i="3"/>
  <c r="AJ7" i="20"/>
  <c r="AP3" i="6"/>
  <c r="AP5" i="6" s="1"/>
  <c r="AP33" i="3"/>
  <c r="AS5" i="5"/>
  <c r="AO5" i="5"/>
  <c r="AW7" i="18"/>
  <c r="R153" i="27"/>
  <c r="AU7" i="18"/>
  <c r="P153" i="27"/>
  <c r="AQ7" i="18"/>
  <c r="L153" i="27"/>
  <c r="AW5" i="5"/>
  <c r="AU5" i="5"/>
  <c r="AQ5" i="5"/>
  <c r="AT12" i="19"/>
  <c r="AU33" i="8"/>
  <c r="AN206" i="20" s="1"/>
  <c r="AV12" i="19"/>
  <c r="AW33" i="8"/>
  <c r="AP206" i="20" s="1"/>
  <c r="AU12" i="19"/>
  <c r="AV33" i="8"/>
  <c r="AO206" i="20" s="1"/>
  <c r="AP12" i="19"/>
  <c r="AQ33" i="8"/>
  <c r="AJ206" i="20" s="1"/>
  <c r="AR12" i="19"/>
  <c r="AS33" i="8"/>
  <c r="AL206" i="20" s="1"/>
  <c r="AR33" i="8"/>
  <c r="AK206" i="20" s="1"/>
  <c r="AQ12" i="19"/>
  <c r="AS12" i="19"/>
  <c r="AT33" i="8"/>
  <c r="AM206" i="20" s="1"/>
  <c r="AX33" i="8"/>
  <c r="AQ206" i="20" s="1"/>
  <c r="AW12" i="19"/>
  <c r="AP126" i="3" l="1"/>
  <c r="AJ12" i="20"/>
  <c r="AR128" i="3"/>
  <c r="AR172" i="3"/>
  <c r="AL26" i="20" s="1"/>
  <c r="AR68" i="3"/>
  <c r="AR109" i="3" s="1"/>
  <c r="AR239" i="3" s="1"/>
  <c r="J22" i="32"/>
  <c r="N152" i="27"/>
  <c r="AL340" i="20"/>
  <c r="AS6" i="18"/>
  <c r="AT126" i="3"/>
  <c r="AN12" i="20"/>
  <c r="AV68" i="3"/>
  <c r="AV109" i="3" s="1"/>
  <c r="AV239" i="3" s="1"/>
  <c r="AV128" i="3"/>
  <c r="AV172" i="3"/>
  <c r="AP26" i="20" s="1"/>
  <c r="N22" i="32"/>
  <c r="AW6" i="18"/>
  <c r="AP340" i="20"/>
  <c r="R152" i="27"/>
  <c r="AQ68" i="3"/>
  <c r="AQ109" i="3" s="1"/>
  <c r="AQ239" i="3" s="1"/>
  <c r="AQ128" i="3"/>
  <c r="AQ172" i="3"/>
  <c r="AK26" i="20" s="1"/>
  <c r="I22" i="32"/>
  <c r="AK340" i="20"/>
  <c r="AR6" i="18"/>
  <c r="M152" i="27"/>
  <c r="M22" i="32"/>
  <c r="Q152" i="27"/>
  <c r="AV6" i="18"/>
  <c r="AO340" i="20"/>
  <c r="AW68" i="3"/>
  <c r="AW109" i="3" s="1"/>
  <c r="AW239" i="3" s="1"/>
  <c r="AW172" i="3"/>
  <c r="AQ26" i="20" s="1"/>
  <c r="AW128" i="3"/>
  <c r="O22" i="32"/>
  <c r="AQ340" i="20"/>
  <c r="AX6" i="18"/>
  <c r="S152" i="27"/>
  <c r="AP515" i="8"/>
  <c r="AU515" i="21" s="1"/>
  <c r="AP148" i="8"/>
  <c r="AO128" i="3"/>
  <c r="AO68" i="3"/>
  <c r="AO109" i="3" s="1"/>
  <c r="AO239" i="3" s="1"/>
  <c r="AO172" i="3"/>
  <c r="AI26" i="20" s="1"/>
  <c r="G22" i="32"/>
  <c r="AI340" i="20"/>
  <c r="AP6" i="18"/>
  <c r="K152" i="27"/>
  <c r="AM12" i="20"/>
  <c r="AS126" i="3"/>
  <c r="AP128" i="3"/>
  <c r="AP68" i="3"/>
  <c r="AP109" i="3" s="1"/>
  <c r="AP239" i="3" s="1"/>
  <c r="AP172" i="3"/>
  <c r="AJ26" i="20" s="1"/>
  <c r="H22" i="32"/>
  <c r="L152" i="27"/>
  <c r="AJ340" i="20"/>
  <c r="AQ6" i="18"/>
  <c r="AR126" i="3"/>
  <c r="AL12" i="20"/>
  <c r="AT68" i="3"/>
  <c r="AT109" i="3" s="1"/>
  <c r="AT239" i="3" s="1"/>
  <c r="AT128" i="3"/>
  <c r="AT172" i="3"/>
  <c r="AN26" i="20" s="1"/>
  <c r="L22" i="32"/>
  <c r="AU6" i="18"/>
  <c r="AN340" i="20"/>
  <c r="P152" i="27"/>
  <c r="AP12" i="20"/>
  <c r="AV126" i="3"/>
  <c r="AP20" i="5"/>
  <c r="AQ63" i="8"/>
  <c r="AQ126" i="3"/>
  <c r="AK12" i="20"/>
  <c r="AU68" i="3"/>
  <c r="AU109" i="3" s="1"/>
  <c r="AU239" i="3" s="1"/>
  <c r="AU128" i="3"/>
  <c r="AU172" i="3"/>
  <c r="AO26" i="20" s="1"/>
  <c r="AO12" i="20"/>
  <c r="AU126" i="3"/>
  <c r="AQ12" i="20"/>
  <c r="AW126" i="3"/>
  <c r="AO19" i="6"/>
  <c r="AO26" i="6"/>
  <c r="AO126" i="3"/>
  <c r="AI12" i="20"/>
  <c r="AS128" i="3"/>
  <c r="AS172" i="3"/>
  <c r="AM26" i="20" s="1"/>
  <c r="AS68" i="3"/>
  <c r="AS109" i="3" s="1"/>
  <c r="AS239" i="3" s="1"/>
  <c r="K22" i="32"/>
  <c r="O152" i="27"/>
  <c r="AT6" i="18"/>
  <c r="AM340" i="20"/>
  <c r="AO57" i="3" l="1"/>
  <c r="AO196" i="3" s="1"/>
  <c r="AI47" i="20" s="1"/>
  <c r="AP34" i="18" s="1"/>
  <c r="AO37" i="3"/>
  <c r="AO176" i="3" s="1"/>
  <c r="AI29" i="20" s="1"/>
  <c r="AV15" i="18"/>
  <c r="AV45" i="18" s="1"/>
  <c r="AO57" i="20"/>
  <c r="P156" i="27"/>
  <c r="P179" i="27"/>
  <c r="AU8" i="18"/>
  <c r="AU48" i="18"/>
  <c r="AU46" i="18"/>
  <c r="AU15" i="18"/>
  <c r="AU45" i="18" s="1"/>
  <c r="AN57" i="20"/>
  <c r="K179" i="27"/>
  <c r="K156" i="27"/>
  <c r="AP15" i="18"/>
  <c r="AP45" i="18" s="1"/>
  <c r="AI57" i="20"/>
  <c r="AX48" i="18"/>
  <c r="AX46" i="18"/>
  <c r="AX8" i="18"/>
  <c r="AX15" i="18"/>
  <c r="AX45" i="18" s="1"/>
  <c r="AQ57" i="20"/>
  <c r="Q179" i="27"/>
  <c r="Q156" i="27"/>
  <c r="M156" i="27"/>
  <c r="M179" i="27"/>
  <c r="AK57" i="20"/>
  <c r="AR15" i="18"/>
  <c r="AR45" i="18" s="1"/>
  <c r="AQ20" i="5"/>
  <c r="AR63" i="8"/>
  <c r="R156" i="27"/>
  <c r="R179" i="27"/>
  <c r="AW48" i="18"/>
  <c r="AW46" i="18"/>
  <c r="AW8" i="18"/>
  <c r="AW15" i="18"/>
  <c r="AW45" i="18" s="1"/>
  <c r="AP57" i="20"/>
  <c r="AL57" i="20"/>
  <c r="AS15" i="18"/>
  <c r="AS45" i="18" s="1"/>
  <c r="O156" i="27"/>
  <c r="O179" i="27"/>
  <c r="AT46" i="18"/>
  <c r="AT48" i="18"/>
  <c r="AT8" i="18"/>
  <c r="AM57" i="20"/>
  <c r="AT15" i="18"/>
  <c r="AT45" i="18" s="1"/>
  <c r="AQ65" i="8"/>
  <c r="AP19" i="5" s="1"/>
  <c r="AQ145" i="8"/>
  <c r="AQ48" i="18"/>
  <c r="AQ8" i="18"/>
  <c r="AQ46" i="18"/>
  <c r="L179" i="27"/>
  <c r="L156" i="27"/>
  <c r="AQ15" i="18"/>
  <c r="AQ45" i="18" s="1"/>
  <c r="AJ57" i="20"/>
  <c r="AP8" i="18"/>
  <c r="AP48" i="18"/>
  <c r="AP46" i="18"/>
  <c r="AP22" i="18"/>
  <c r="AP52" i="18" s="1"/>
  <c r="S179" i="27"/>
  <c r="S156" i="27"/>
  <c r="AV8" i="18"/>
  <c r="AV46" i="18"/>
  <c r="AV48" i="18"/>
  <c r="AR46" i="18"/>
  <c r="AR8" i="18"/>
  <c r="AR48" i="18"/>
  <c r="AS48" i="18"/>
  <c r="AS46" i="18"/>
  <c r="AS8" i="18"/>
  <c r="N156" i="27"/>
  <c r="N179" i="27"/>
  <c r="AR20" i="5" l="1"/>
  <c r="AS63" i="8"/>
  <c r="AQ515" i="8"/>
  <c r="AV515" i="21" s="1"/>
  <c r="AQ148" i="8"/>
  <c r="AL306" i="20"/>
  <c r="N122" i="27"/>
  <c r="AK306" i="20"/>
  <c r="M122" i="27"/>
  <c r="K122" i="27"/>
  <c r="AI306" i="20"/>
  <c r="AN306" i="20"/>
  <c r="P122" i="27"/>
  <c r="AI60" i="20"/>
  <c r="K123" i="27" s="1"/>
  <c r="AP17" i="18"/>
  <c r="AP47" i="18" s="1"/>
  <c r="AJ306" i="20"/>
  <c r="L122" i="27"/>
  <c r="AM306" i="20"/>
  <c r="O122" i="27"/>
  <c r="AP306" i="20"/>
  <c r="R122" i="27"/>
  <c r="AR65" i="8"/>
  <c r="AQ19" i="5" s="1"/>
  <c r="AR145" i="8"/>
  <c r="S122" i="27"/>
  <c r="AQ306" i="20"/>
  <c r="Q122" i="27"/>
  <c r="AO306" i="20"/>
  <c r="AS20" i="5" l="1"/>
  <c r="AT63" i="8"/>
  <c r="AR515" i="8"/>
  <c r="AW515" i="21" s="1"/>
  <c r="AR148" i="8"/>
  <c r="AS65" i="8"/>
  <c r="AR19" i="5" s="1"/>
  <c r="AS145" i="8"/>
  <c r="AT20" i="5" l="1"/>
  <c r="AU63" i="8"/>
  <c r="AS515" i="8"/>
  <c r="AX515" i="21" s="1"/>
  <c r="AS148" i="8"/>
  <c r="AT65" i="8"/>
  <c r="AS19" i="5" s="1"/>
  <c r="AT145" i="8"/>
  <c r="AU65" i="8" l="1"/>
  <c r="AT19" i="5" s="1"/>
  <c r="AU145" i="8"/>
  <c r="AT515" i="8"/>
  <c r="AY515" i="21" s="1"/>
  <c r="AT148" i="8"/>
  <c r="AU20" i="5"/>
  <c r="AV63" i="8"/>
  <c r="AW9" i="5"/>
  <c r="AV9" i="5"/>
  <c r="AU9" i="5"/>
  <c r="AT9" i="5"/>
  <c r="AS9" i="5"/>
  <c r="AR9" i="5"/>
  <c r="AQ9" i="5"/>
  <c r="AP9" i="5"/>
  <c r="AO9" i="5"/>
  <c r="AV20" i="5" l="1"/>
  <c r="AW63" i="8"/>
  <c r="AV65" i="8"/>
  <c r="AU19" i="5" s="1"/>
  <c r="AV145" i="8"/>
  <c r="AU515" i="8"/>
  <c r="AZ515" i="21" s="1"/>
  <c r="AU148" i="8"/>
  <c r="AW20" i="5" l="1"/>
  <c r="AX63" i="8"/>
  <c r="AW65" i="8"/>
  <c r="AV19" i="5" s="1"/>
  <c r="AW145" i="8"/>
  <c r="AV515" i="8"/>
  <c r="BA515" i="21" s="1"/>
  <c r="AV148" i="8"/>
  <c r="AW515" i="8" l="1"/>
  <c r="BB515" i="21" s="1"/>
  <c r="AW148" i="8"/>
  <c r="AX65" i="8"/>
  <c r="AW19" i="5" s="1"/>
  <c r="AX145" i="8"/>
  <c r="AX515" i="8" l="1"/>
  <c r="BC515" i="21" s="1"/>
  <c r="AX148" i="8"/>
  <c r="AO49" i="19"/>
  <c r="AP59" i="8"/>
  <c r="AP48" i="8"/>
  <c r="AO13" i="19" s="1"/>
  <c r="AO16" i="19" s="1"/>
  <c r="AO21" i="19" s="1"/>
  <c r="AP9" i="19" s="1"/>
  <c r="AP21" i="19" s="1"/>
  <c r="AQ9" i="19" s="1"/>
  <c r="AQ21" i="19" s="1"/>
  <c r="AR9" i="19" s="1"/>
  <c r="AR21" i="19" s="1"/>
  <c r="AS9" i="19" s="1"/>
  <c r="AS21" i="19" s="1"/>
  <c r="AT9" i="19" s="1"/>
  <c r="AT21" i="19" s="1"/>
  <c r="AU9" i="19" s="1"/>
  <c r="AU21" i="19" s="1"/>
  <c r="AV9" i="19" s="1"/>
  <c r="AV21" i="19" s="1"/>
  <c r="AW9" i="19" s="1"/>
  <c r="AW21" i="19" s="1"/>
  <c r="AP135" i="8"/>
  <c r="AP69" i="8" s="1"/>
  <c r="AP517" i="8"/>
  <c r="AU517" i="21" s="1"/>
  <c r="AP28" i="8" l="1"/>
  <c r="AO32" i="19"/>
  <c r="AO33" i="19" s="1"/>
  <c r="AP33" i="8" l="1"/>
  <c r="AI206" i="20" s="1"/>
  <c r="AO12" i="19"/>
  <c r="AO14" i="19" l="1"/>
  <c r="AO17" i="19" s="1"/>
  <c r="AO22" i="19" s="1"/>
  <c r="AI153" i="20" l="1"/>
  <c r="AP10" i="19"/>
  <c r="AO44" i="19"/>
  <c r="AO482" i="19" s="1"/>
  <c r="AU482" i="21" s="1"/>
  <c r="AO46" i="19"/>
  <c r="AO485" i="19" s="1"/>
  <c r="AU485" i="21" s="1"/>
  <c r="AO48" i="19"/>
  <c r="AO516" i="19" s="1"/>
  <c r="AU516" i="21" s="1"/>
  <c r="AO39" i="19"/>
  <c r="AO42" i="19"/>
  <c r="AO479" i="19" s="1"/>
  <c r="AU479" i="21" s="1"/>
  <c r="AO474" i="19" l="1"/>
  <c r="AO50" i="19"/>
  <c r="AP14" i="19"/>
  <c r="AP17" i="19" s="1"/>
  <c r="AP22" i="19" s="1"/>
  <c r="AP39" i="19" l="1"/>
  <c r="AP44" i="19"/>
  <c r="AP482" i="19" s="1"/>
  <c r="AV482" i="21" s="1"/>
  <c r="AP48" i="19"/>
  <c r="AP516" i="19" s="1"/>
  <c r="AV516" i="21" s="1"/>
  <c r="AP46" i="19"/>
  <c r="AP485" i="19" s="1"/>
  <c r="AV485" i="21" s="1"/>
  <c r="AP42" i="19"/>
  <c r="AP479" i="19" s="1"/>
  <c r="AV479" i="21" s="1"/>
  <c r="AO11" i="5"/>
  <c r="AO575" i="19"/>
  <c r="AJ153" i="20"/>
  <c r="AQ10" i="19"/>
  <c r="AQ14" i="19" s="1"/>
  <c r="AQ17" i="19" s="1"/>
  <c r="AU474" i="21"/>
  <c r="AI91" i="20" s="1"/>
  <c r="AO571" i="19"/>
  <c r="AO576" i="19" s="1"/>
  <c r="G7" i="32" l="1"/>
  <c r="K37" i="27"/>
  <c r="AO21" i="5"/>
  <c r="AO22" i="5" s="1"/>
  <c r="AO24" i="5" s="1"/>
  <c r="AO13" i="5"/>
  <c r="AO56" i="5" s="1"/>
  <c r="AO57" i="5" s="1"/>
  <c r="AO53" i="5" s="1"/>
  <c r="AO14" i="5"/>
  <c r="AQ22" i="19"/>
  <c r="AQ42" i="19"/>
  <c r="AQ479" i="19" s="1"/>
  <c r="AW479" i="21" s="1"/>
  <c r="AQ39" i="19"/>
  <c r="AQ44" i="19"/>
  <c r="AQ482" i="19" s="1"/>
  <c r="AW482" i="21" s="1"/>
  <c r="AQ48" i="19"/>
  <c r="AQ516" i="19" s="1"/>
  <c r="AW516" i="21" s="1"/>
  <c r="AQ46" i="19"/>
  <c r="AQ485" i="19" s="1"/>
  <c r="AW485" i="21" s="1"/>
  <c r="AP474" i="19"/>
  <c r="AP50" i="19"/>
  <c r="AV474" i="21" l="1"/>
  <c r="AJ91" i="20" s="1"/>
  <c r="AP571" i="19"/>
  <c r="AP575" i="19"/>
  <c r="AP11" i="5"/>
  <c r="AQ50" i="19"/>
  <c r="AQ474" i="19"/>
  <c r="AR10" i="19"/>
  <c r="AK153" i="20"/>
  <c r="AO61" i="3"/>
  <c r="AO200" i="3" s="1"/>
  <c r="AI50" i="20" s="1"/>
  <c r="AP38" i="18" s="1"/>
  <c r="AO77" i="3"/>
  <c r="AO213" i="3" s="1"/>
  <c r="AI77" i="20" s="1"/>
  <c r="K144" i="27" s="1"/>
  <c r="AO41" i="3"/>
  <c r="AO180" i="3" s="1"/>
  <c r="AI32" i="20" s="1"/>
  <c r="AO16" i="5"/>
  <c r="AO33" i="5"/>
  <c r="AO47" i="5"/>
  <c r="AI74" i="20" s="1"/>
  <c r="K141" i="27" s="1"/>
  <c r="AO7" i="6"/>
  <c r="AI74" i="29" l="1"/>
  <c r="AO41" i="5"/>
  <c r="AO59" i="3" s="1"/>
  <c r="AO46" i="5"/>
  <c r="AI75" i="20" s="1"/>
  <c r="K142" i="27" s="1"/>
  <c r="AO37" i="5"/>
  <c r="AO39" i="3" s="1"/>
  <c r="AO15" i="6"/>
  <c r="AO14" i="6"/>
  <c r="AO32" i="6"/>
  <c r="AP21" i="18"/>
  <c r="AP51" i="18" s="1"/>
  <c r="AI63" i="20"/>
  <c r="K126" i="27" s="1"/>
  <c r="AR14" i="19"/>
  <c r="AR17" i="19" s="1"/>
  <c r="AR22" i="19" s="1"/>
  <c r="AQ575" i="19"/>
  <c r="AQ11" i="5"/>
  <c r="AP13" i="5"/>
  <c r="AP56" i="5" s="1"/>
  <c r="AP57" i="5" s="1"/>
  <c r="AP53" i="5" s="1"/>
  <c r="AP21" i="5"/>
  <c r="AP22" i="5" s="1"/>
  <c r="AP24" i="5" s="1"/>
  <c r="AP14" i="5"/>
  <c r="AP576" i="19"/>
  <c r="AW474" i="21"/>
  <c r="AK91" i="20" s="1"/>
  <c r="AQ571" i="19"/>
  <c r="H7" i="32"/>
  <c r="L37" i="27"/>
  <c r="AQ576" i="19" l="1"/>
  <c r="AO16" i="6"/>
  <c r="AS10" i="19"/>
  <c r="AL153" i="20"/>
  <c r="M37" i="27"/>
  <c r="I7" i="32"/>
  <c r="AP16" i="5"/>
  <c r="AP33" i="5"/>
  <c r="AP77" i="3"/>
  <c r="AP213" i="3" s="1"/>
  <c r="AJ77" i="20" s="1"/>
  <c r="L144" i="27" s="1"/>
  <c r="AP41" i="3"/>
  <c r="AP180" i="3" s="1"/>
  <c r="AJ32" i="20" s="1"/>
  <c r="AP61" i="3"/>
  <c r="AP200" i="3" s="1"/>
  <c r="AJ50" i="20" s="1"/>
  <c r="AQ38" i="18" s="1"/>
  <c r="AO178" i="3"/>
  <c r="AI30" i="20" s="1"/>
  <c r="AI72" i="29"/>
  <c r="AO198" i="3"/>
  <c r="AI48" i="20" s="1"/>
  <c r="AP36" i="18" s="1"/>
  <c r="AI73" i="29"/>
  <c r="AP47" i="5"/>
  <c r="AJ74" i="20" s="1"/>
  <c r="L141" i="27" s="1"/>
  <c r="AP7" i="6"/>
  <c r="AQ13" i="5"/>
  <c r="AQ56" i="5" s="1"/>
  <c r="AQ57" i="5" s="1"/>
  <c r="AQ53" i="5" s="1"/>
  <c r="AQ21" i="5"/>
  <c r="AQ22" i="5" s="1"/>
  <c r="AQ24" i="5" s="1"/>
  <c r="AQ14" i="5"/>
  <c r="AR46" i="19"/>
  <c r="AR485" i="19" s="1"/>
  <c r="AX485" i="21" s="1"/>
  <c r="AR39" i="19"/>
  <c r="AR48" i="19"/>
  <c r="AR516" i="19" s="1"/>
  <c r="AX516" i="21" s="1"/>
  <c r="AR44" i="19"/>
  <c r="AR482" i="19" s="1"/>
  <c r="AX482" i="21" s="1"/>
  <c r="AR42" i="19"/>
  <c r="AR479" i="19" s="1"/>
  <c r="AX479" i="21" s="1"/>
  <c r="AI182" i="20"/>
  <c r="AO52" i="6"/>
  <c r="AO22" i="6"/>
  <c r="AO575" i="6" l="1"/>
  <c r="AO521" i="6"/>
  <c r="AO27" i="6"/>
  <c r="AO31" i="6"/>
  <c r="AR50" i="19"/>
  <c r="AR474" i="19"/>
  <c r="AQ33" i="5"/>
  <c r="AQ16" i="5"/>
  <c r="AQ41" i="3"/>
  <c r="AQ180" i="3" s="1"/>
  <c r="AK32" i="20" s="1"/>
  <c r="AQ77" i="3"/>
  <c r="AQ213" i="3" s="1"/>
  <c r="AK77" i="20" s="1"/>
  <c r="M144" i="27" s="1"/>
  <c r="AQ61" i="3"/>
  <c r="AQ200" i="3" s="1"/>
  <c r="AK50" i="20" s="1"/>
  <c r="AR38" i="18" s="1"/>
  <c r="AI61" i="20"/>
  <c r="K124" i="27" s="1"/>
  <c r="AP19" i="18"/>
  <c r="AP49" i="18" s="1"/>
  <c r="AQ21" i="18"/>
  <c r="AQ51" i="18" s="1"/>
  <c r="AJ63" i="20"/>
  <c r="L126" i="27" s="1"/>
  <c r="AQ47" i="5"/>
  <c r="AK74" i="20" s="1"/>
  <c r="M141" i="27" s="1"/>
  <c r="AQ7" i="6"/>
  <c r="AP14" i="6"/>
  <c r="AP15" i="6"/>
  <c r="AI76" i="29"/>
  <c r="AP37" i="5"/>
  <c r="AP39" i="3" s="1"/>
  <c r="AP41" i="5"/>
  <c r="AP59" i="3" s="1"/>
  <c r="AP46" i="5"/>
  <c r="AJ75" i="20" s="1"/>
  <c r="L142" i="27" s="1"/>
  <c r="AJ74" i="29"/>
  <c r="AS14" i="19"/>
  <c r="AS17" i="19" s="1"/>
  <c r="AS39" i="19" l="1"/>
  <c r="AS44" i="19"/>
  <c r="AS482" i="19" s="1"/>
  <c r="AY482" i="21" s="1"/>
  <c r="AS48" i="19"/>
  <c r="AS516" i="19" s="1"/>
  <c r="AY516" i="21" s="1"/>
  <c r="AS42" i="19"/>
  <c r="AS479" i="19" s="1"/>
  <c r="AY479" i="21" s="1"/>
  <c r="AS46" i="19"/>
  <c r="AS485" i="19" s="1"/>
  <c r="AY485" i="21" s="1"/>
  <c r="AP198" i="3"/>
  <c r="AJ48" i="20" s="1"/>
  <c r="AQ36" i="18" s="1"/>
  <c r="AS22" i="19"/>
  <c r="AP178" i="3"/>
  <c r="AJ30" i="20" s="1"/>
  <c r="AP16" i="6"/>
  <c r="AQ15" i="6"/>
  <c r="AQ14" i="6"/>
  <c r="AQ41" i="5"/>
  <c r="AQ59" i="3" s="1"/>
  <c r="AQ37" i="5"/>
  <c r="AQ39" i="3" s="1"/>
  <c r="AQ46" i="5"/>
  <c r="AK75" i="20" s="1"/>
  <c r="M142" i="27" s="1"/>
  <c r="AK74" i="29"/>
  <c r="AX474" i="21"/>
  <c r="AL91" i="20" s="1"/>
  <c r="AR571" i="19"/>
  <c r="AO33" i="6"/>
  <c r="AU521" i="21"/>
  <c r="AI92" i="20" s="1"/>
  <c r="AO571" i="6"/>
  <c r="AO576" i="6" s="1"/>
  <c r="AR21" i="18"/>
  <c r="AR51" i="18" s="1"/>
  <c r="AK63" i="20"/>
  <c r="M126" i="27" s="1"/>
  <c r="AR575" i="19"/>
  <c r="AR11" i="5"/>
  <c r="AI160" i="20"/>
  <c r="AO28" i="6"/>
  <c r="AP6" i="6"/>
  <c r="AP20" i="6" s="1"/>
  <c r="AR13" i="5" l="1"/>
  <c r="AR56" i="5" s="1"/>
  <c r="AR57" i="5" s="1"/>
  <c r="AR53" i="5" s="1"/>
  <c r="AR21" i="5"/>
  <c r="AR22" i="5" s="1"/>
  <c r="AR24" i="5" s="1"/>
  <c r="AR14" i="5"/>
  <c r="AP32" i="6"/>
  <c r="AP19" i="6"/>
  <c r="AP22" i="6" s="1"/>
  <c r="AP26" i="6"/>
  <c r="AI209" i="20"/>
  <c r="G10" i="32"/>
  <c r="J7" i="32"/>
  <c r="N37" i="27"/>
  <c r="AQ198" i="3"/>
  <c r="AK48" i="20" s="1"/>
  <c r="AR36" i="18" s="1"/>
  <c r="AQ16" i="6"/>
  <c r="AT10" i="19"/>
  <c r="AM153" i="20"/>
  <c r="AR576" i="19"/>
  <c r="AQ178" i="3"/>
  <c r="AK30" i="20" s="1"/>
  <c r="AP52" i="6"/>
  <c r="AQ19" i="18"/>
  <c r="AQ49" i="18" s="1"/>
  <c r="AJ61" i="20"/>
  <c r="L124" i="27" s="1"/>
  <c r="AS474" i="19"/>
  <c r="AS50" i="19"/>
  <c r="AY474" i="21" l="1"/>
  <c r="AM91" i="20" s="1"/>
  <c r="AS571" i="19"/>
  <c r="AP27" i="6"/>
  <c r="AJ160" i="20" s="1"/>
  <c r="AP31" i="6"/>
  <c r="AT22" i="19"/>
  <c r="AT14" i="19"/>
  <c r="AT17" i="19" s="1"/>
  <c r="AP28" i="6"/>
  <c r="AJ182" i="20"/>
  <c r="AQ6" i="6"/>
  <c r="AQ20" i="6" s="1"/>
  <c r="AQ52" i="6" s="1"/>
  <c r="AR7" i="6"/>
  <c r="AR47" i="5"/>
  <c r="AL74" i="20" s="1"/>
  <c r="N141" i="27" s="1"/>
  <c r="AS575" i="19"/>
  <c r="AS11" i="5"/>
  <c r="AP521" i="6"/>
  <c r="AP575" i="6"/>
  <c r="AK61" i="20"/>
  <c r="M124" i="27" s="1"/>
  <c r="AR19" i="18"/>
  <c r="AR49" i="18" s="1"/>
  <c r="AP37" i="3"/>
  <c r="AP57" i="3"/>
  <c r="AR16" i="5"/>
  <c r="AR33" i="5"/>
  <c r="AR77" i="3"/>
  <c r="AR213" i="3" s="1"/>
  <c r="AL77" i="20" s="1"/>
  <c r="N144" i="27" s="1"/>
  <c r="AR41" i="3"/>
  <c r="AR180" i="3" s="1"/>
  <c r="AL32" i="20" s="1"/>
  <c r="AR61" i="3"/>
  <c r="AR200" i="3" s="1"/>
  <c r="AL50" i="20" s="1"/>
  <c r="AS38" i="18" s="1"/>
  <c r="AQ521" i="6" l="1"/>
  <c r="AQ575" i="6"/>
  <c r="AR46" i="5"/>
  <c r="AL75" i="20" s="1"/>
  <c r="N142" i="27" s="1"/>
  <c r="AR41" i="5"/>
  <c r="AR59" i="3" s="1"/>
  <c r="AL74" i="29"/>
  <c r="AR37" i="5"/>
  <c r="AR39" i="3" s="1"/>
  <c r="AP176" i="3"/>
  <c r="AJ29" i="20" s="1"/>
  <c r="AJ72" i="29"/>
  <c r="AV521" i="21"/>
  <c r="AJ92" i="20" s="1"/>
  <c r="AP571" i="6"/>
  <c r="AP576" i="6" s="1"/>
  <c r="AR14" i="6"/>
  <c r="AR15" i="6"/>
  <c r="AQ32" i="6"/>
  <c r="AT39" i="19"/>
  <c r="AT44" i="19"/>
  <c r="AT482" i="19" s="1"/>
  <c r="AZ482" i="21" s="1"/>
  <c r="AT42" i="19"/>
  <c r="AT479" i="19" s="1"/>
  <c r="AZ479" i="21" s="1"/>
  <c r="AT46" i="19"/>
  <c r="AT485" i="19" s="1"/>
  <c r="AZ485" i="21" s="1"/>
  <c r="AT48" i="19"/>
  <c r="AT516" i="19" s="1"/>
  <c r="AZ516" i="21" s="1"/>
  <c r="AP33" i="6"/>
  <c r="AS576" i="19"/>
  <c r="AS21" i="18"/>
  <c r="AS51" i="18" s="1"/>
  <c r="AL63" i="20"/>
  <c r="N126" i="27" s="1"/>
  <c r="AP196" i="3"/>
  <c r="AJ47" i="20" s="1"/>
  <c r="AQ34" i="18" s="1"/>
  <c r="AJ73" i="29"/>
  <c r="AS13" i="5"/>
  <c r="AS56" i="5" s="1"/>
  <c r="AS57" i="5" s="1"/>
  <c r="AS53" i="5" s="1"/>
  <c r="AS21" i="5"/>
  <c r="AS22" i="5" s="1"/>
  <c r="AS24" i="5" s="1"/>
  <c r="AS14" i="5"/>
  <c r="AQ26" i="6"/>
  <c r="AQ19" i="6"/>
  <c r="AU10" i="19"/>
  <c r="AU14" i="19" s="1"/>
  <c r="AU17" i="19" s="1"/>
  <c r="AN153" i="20"/>
  <c r="O37" i="27"/>
  <c r="K7" i="32"/>
  <c r="AQ37" i="3" l="1"/>
  <c r="AQ57" i="3"/>
  <c r="AQ22" i="6"/>
  <c r="AS16" i="5"/>
  <c r="AS33" i="5"/>
  <c r="AS41" i="3"/>
  <c r="AS180" i="3" s="1"/>
  <c r="AM32" i="20" s="1"/>
  <c r="AS61" i="3"/>
  <c r="AS200" i="3" s="1"/>
  <c r="AM50" i="20" s="1"/>
  <c r="AT38" i="18" s="1"/>
  <c r="AS77" i="3"/>
  <c r="AS213" i="3" s="1"/>
  <c r="AM77" i="20" s="1"/>
  <c r="O144" i="27" s="1"/>
  <c r="AT50" i="19"/>
  <c r="AT474" i="19"/>
  <c r="AR16" i="6"/>
  <c r="AJ76" i="29"/>
  <c r="AR178" i="3"/>
  <c r="AL30" i="20" s="1"/>
  <c r="AR198" i="3"/>
  <c r="AL48" i="20" s="1"/>
  <c r="AS36" i="18" s="1"/>
  <c r="AU22" i="19"/>
  <c r="AU48" i="19"/>
  <c r="AU516" i="19" s="1"/>
  <c r="BA516" i="21" s="1"/>
  <c r="AU39" i="19"/>
  <c r="AU44" i="19"/>
  <c r="AU482" i="19" s="1"/>
  <c r="BA482" i="21" s="1"/>
  <c r="AU46" i="19"/>
  <c r="AU485" i="19" s="1"/>
  <c r="BA485" i="21" s="1"/>
  <c r="AU42" i="19"/>
  <c r="AU479" i="19" s="1"/>
  <c r="BA479" i="21" s="1"/>
  <c r="AS47" i="5"/>
  <c r="AM74" i="20" s="1"/>
  <c r="O141" i="27" s="1"/>
  <c r="AS7" i="6"/>
  <c r="AK182" i="20"/>
  <c r="AJ209" i="20"/>
  <c r="H10" i="32"/>
  <c r="AQ17" i="18"/>
  <c r="AQ47" i="18" s="1"/>
  <c r="AJ60" i="20"/>
  <c r="L123" i="27" s="1"/>
  <c r="AW521" i="21"/>
  <c r="AK92" i="20" s="1"/>
  <c r="AQ571" i="6"/>
  <c r="AQ576" i="6" s="1"/>
  <c r="AS15" i="6" l="1"/>
  <c r="AS14" i="6"/>
  <c r="AU474" i="19"/>
  <c r="AU50" i="19"/>
  <c r="AO153" i="20"/>
  <c r="AV10" i="19"/>
  <c r="AV14" i="19" s="1"/>
  <c r="AV17" i="19" s="1"/>
  <c r="AS19" i="18"/>
  <c r="AS49" i="18" s="1"/>
  <c r="AL61" i="20"/>
  <c r="N124" i="27" s="1"/>
  <c r="AT11" i="5"/>
  <c r="AT575" i="19"/>
  <c r="AT21" i="18"/>
  <c r="AT51" i="18" s="1"/>
  <c r="AM63" i="20"/>
  <c r="O126" i="27" s="1"/>
  <c r="AS46" i="5"/>
  <c r="AM75" i="20" s="1"/>
  <c r="O142" i="27" s="1"/>
  <c r="AS37" i="5"/>
  <c r="AS39" i="3" s="1"/>
  <c r="AM74" i="29"/>
  <c r="AS41" i="5"/>
  <c r="AS59" i="3" s="1"/>
  <c r="AQ196" i="3"/>
  <c r="AK47" i="20" s="1"/>
  <c r="AR34" i="18" s="1"/>
  <c r="AK73" i="29"/>
  <c r="I10" i="32"/>
  <c r="AK209" i="20"/>
  <c r="AZ474" i="21"/>
  <c r="AN91" i="20" s="1"/>
  <c r="AT571" i="19"/>
  <c r="AT576" i="19" s="1"/>
  <c r="AQ27" i="6"/>
  <c r="AQ31" i="6"/>
  <c r="AQ176" i="3"/>
  <c r="AK29" i="20" s="1"/>
  <c r="AK72" i="29"/>
  <c r="AK76" i="29" s="1"/>
  <c r="AS16" i="6" l="1"/>
  <c r="AR17" i="18"/>
  <c r="AR47" i="18" s="1"/>
  <c r="AK60" i="20"/>
  <c r="M123" i="27" s="1"/>
  <c r="AK160" i="20"/>
  <c r="AQ28" i="6"/>
  <c r="AR6" i="6"/>
  <c r="AR20" i="6" s="1"/>
  <c r="L7" i="32"/>
  <c r="P37" i="27"/>
  <c r="AS198" i="3"/>
  <c r="AM48" i="20" s="1"/>
  <c r="AT36" i="18" s="1"/>
  <c r="AS178" i="3"/>
  <c r="AM30" i="20" s="1"/>
  <c r="AV22" i="19"/>
  <c r="AV46" i="19"/>
  <c r="AV485" i="19" s="1"/>
  <c r="BB485" i="21" s="1"/>
  <c r="AV42" i="19"/>
  <c r="AV479" i="19" s="1"/>
  <c r="BB479" i="21" s="1"/>
  <c r="AV39" i="19"/>
  <c r="AV44" i="19"/>
  <c r="AV482" i="19" s="1"/>
  <c r="BB482" i="21" s="1"/>
  <c r="AV48" i="19"/>
  <c r="AV516" i="19" s="1"/>
  <c r="BB516" i="21" s="1"/>
  <c r="AU11" i="5"/>
  <c r="AU575" i="19"/>
  <c r="AQ33" i="6"/>
  <c r="AT21" i="5"/>
  <c r="AT22" i="5" s="1"/>
  <c r="AT24" i="5" s="1"/>
  <c r="AT13" i="5"/>
  <c r="AT56" i="5" s="1"/>
  <c r="AT57" i="5" s="1"/>
  <c r="AT53" i="5" s="1"/>
  <c r="BA474" i="21"/>
  <c r="AO91" i="20" s="1"/>
  <c r="AU571" i="19"/>
  <c r="AU576" i="19" s="1"/>
  <c r="AT14" i="5" l="1"/>
  <c r="Q37" i="27"/>
  <c r="M7" i="32"/>
  <c r="AT77" i="3"/>
  <c r="AT213" i="3" s="1"/>
  <c r="AN77" i="20" s="1"/>
  <c r="P144" i="27" s="1"/>
  <c r="AT61" i="3"/>
  <c r="AT200" i="3" s="1"/>
  <c r="AN50" i="20" s="1"/>
  <c r="AU38" i="18" s="1"/>
  <c r="AT41" i="3"/>
  <c r="AT180" i="3" s="1"/>
  <c r="AN32" i="20" s="1"/>
  <c r="AV474" i="19"/>
  <c r="AV50" i="19"/>
  <c r="AR26" i="6"/>
  <c r="AR19" i="6"/>
  <c r="AR52" i="6"/>
  <c r="AR32" i="6"/>
  <c r="AT16" i="5"/>
  <c r="AT33" i="5"/>
  <c r="AT47" i="5"/>
  <c r="AN74" i="20" s="1"/>
  <c r="P141" i="27" s="1"/>
  <c r="AT7" i="6"/>
  <c r="AU21" i="5"/>
  <c r="AU22" i="5" s="1"/>
  <c r="AU24" i="5" s="1"/>
  <c r="AU13" i="5"/>
  <c r="AU56" i="5" s="1"/>
  <c r="AU57" i="5" s="1"/>
  <c r="AU53" i="5" s="1"/>
  <c r="AP153" i="20"/>
  <c r="AW10" i="19"/>
  <c r="AM61" i="20"/>
  <c r="O124" i="27" s="1"/>
  <c r="AT19" i="18"/>
  <c r="AT49" i="18" s="1"/>
  <c r="AU14" i="5" l="1"/>
  <c r="AU33" i="5" s="1"/>
  <c r="AU61" i="3"/>
  <c r="AU200" i="3" s="1"/>
  <c r="AO50" i="20" s="1"/>
  <c r="AV38" i="18" s="1"/>
  <c r="AU41" i="3"/>
  <c r="AU180" i="3" s="1"/>
  <c r="AO32" i="20" s="1"/>
  <c r="AU77" i="3"/>
  <c r="AU213" i="3" s="1"/>
  <c r="AO77" i="20" s="1"/>
  <c r="Q144" i="27" s="1"/>
  <c r="AT15" i="6"/>
  <c r="AT14" i="6"/>
  <c r="AL182" i="20"/>
  <c r="AR57" i="3"/>
  <c r="AR37" i="3"/>
  <c r="AR22" i="6"/>
  <c r="AV11" i="5"/>
  <c r="AV575" i="19"/>
  <c r="AW22" i="19"/>
  <c r="AW14" i="19"/>
  <c r="AW17" i="19" s="1"/>
  <c r="AU16" i="5"/>
  <c r="AU7" i="6"/>
  <c r="AU47" i="5"/>
  <c r="AO74" i="20" s="1"/>
  <c r="Q141" i="27" s="1"/>
  <c r="AT37" i="5"/>
  <c r="AT39" i="3" s="1"/>
  <c r="AT41" i="5"/>
  <c r="AT59" i="3" s="1"/>
  <c r="AT46" i="5"/>
  <c r="AN75" i="20" s="1"/>
  <c r="P142" i="27" s="1"/>
  <c r="AN74" i="29"/>
  <c r="AR575" i="6"/>
  <c r="AR521" i="6"/>
  <c r="BB474" i="21"/>
  <c r="AP91" i="20" s="1"/>
  <c r="AV571" i="19"/>
  <c r="AV576" i="19" s="1"/>
  <c r="AU21" i="18"/>
  <c r="AU51" i="18" s="1"/>
  <c r="AN63" i="20"/>
  <c r="P126" i="27" s="1"/>
  <c r="R37" i="27" l="1"/>
  <c r="N7" i="32"/>
  <c r="AX521" i="21"/>
  <c r="AL92" i="20" s="1"/>
  <c r="AR571" i="6"/>
  <c r="AR576" i="6" s="1"/>
  <c r="AT198" i="3"/>
  <c r="AN48" i="20" s="1"/>
  <c r="AU36" i="18" s="1"/>
  <c r="AW48" i="19"/>
  <c r="AW516" i="19" s="1"/>
  <c r="BC516" i="21" s="1"/>
  <c r="AW39" i="19"/>
  <c r="AW46" i="19"/>
  <c r="AW485" i="19" s="1"/>
  <c r="BC485" i="21" s="1"/>
  <c r="AW42" i="19"/>
  <c r="AW479" i="19" s="1"/>
  <c r="BC479" i="21" s="1"/>
  <c r="AW44" i="19"/>
  <c r="AW482" i="19" s="1"/>
  <c r="BC482" i="21" s="1"/>
  <c r="AR27" i="6"/>
  <c r="AR31" i="6"/>
  <c r="AR196" i="3"/>
  <c r="AL47" i="20" s="1"/>
  <c r="AS34" i="18" s="1"/>
  <c r="AL73" i="29"/>
  <c r="AT16" i="6"/>
  <c r="AV21" i="18"/>
  <c r="AV51" i="18" s="1"/>
  <c r="AO63" i="20"/>
  <c r="Q126" i="27" s="1"/>
  <c r="AT178" i="3"/>
  <c r="AN30" i="20" s="1"/>
  <c r="AU14" i="6"/>
  <c r="AU15" i="6"/>
  <c r="AO74" i="29"/>
  <c r="AU37" i="5"/>
  <c r="AU39" i="3" s="1"/>
  <c r="AU41" i="5"/>
  <c r="AU59" i="3" s="1"/>
  <c r="AU46" i="5"/>
  <c r="AO75" i="20" s="1"/>
  <c r="Q142" i="27" s="1"/>
  <c r="AQ153" i="20"/>
  <c r="AV13" i="5"/>
  <c r="AV56" i="5" s="1"/>
  <c r="AV57" i="5" s="1"/>
  <c r="AV53" i="5" s="1"/>
  <c r="AV21" i="5"/>
  <c r="AV22" i="5" s="1"/>
  <c r="AV24" i="5" s="1"/>
  <c r="AV14" i="5"/>
  <c r="AR176" i="3"/>
  <c r="AL29" i="20" s="1"/>
  <c r="AL72" i="29"/>
  <c r="AL76" i="29" s="1"/>
  <c r="AL60" i="20" l="1"/>
  <c r="N123" i="27" s="1"/>
  <c r="AS17" i="18"/>
  <c r="AS47" i="18" s="1"/>
  <c r="AV7" i="6"/>
  <c r="AV47" i="5"/>
  <c r="AP74" i="20" s="1"/>
  <c r="R141" i="27" s="1"/>
  <c r="AU178" i="3"/>
  <c r="AO30" i="20" s="1"/>
  <c r="AU16" i="6"/>
  <c r="AL160" i="20"/>
  <c r="AS6" i="6"/>
  <c r="AS20" i="6" s="1"/>
  <c r="AR28" i="6"/>
  <c r="AS32" i="6"/>
  <c r="AW474" i="19"/>
  <c r="AW50" i="19"/>
  <c r="AV33" i="5"/>
  <c r="AV16" i="5"/>
  <c r="AV61" i="3"/>
  <c r="AV200" i="3" s="1"/>
  <c r="AP50" i="20" s="1"/>
  <c r="AW38" i="18" s="1"/>
  <c r="AV41" i="3"/>
  <c r="AV180" i="3" s="1"/>
  <c r="AP32" i="20" s="1"/>
  <c r="AV77" i="3"/>
  <c r="AV213" i="3" s="1"/>
  <c r="AP77" i="20" s="1"/>
  <c r="R144" i="27" s="1"/>
  <c r="AU198" i="3"/>
  <c r="AO48" i="20" s="1"/>
  <c r="AV36" i="18" s="1"/>
  <c r="AN61" i="20"/>
  <c r="P124" i="27" s="1"/>
  <c r="AU19" i="18"/>
  <c r="AU49" i="18" s="1"/>
  <c r="AR33" i="6"/>
  <c r="J10" i="32"/>
  <c r="AL209" i="20"/>
  <c r="BC474" i="21" l="1"/>
  <c r="AQ91" i="20" s="1"/>
  <c r="AW571" i="19"/>
  <c r="AP63" i="20"/>
  <c r="R126" i="27" s="1"/>
  <c r="AW21" i="18"/>
  <c r="AW51" i="18" s="1"/>
  <c r="AV46" i="5"/>
  <c r="AP75" i="20" s="1"/>
  <c r="R142" i="27" s="1"/>
  <c r="AV37" i="5"/>
  <c r="AV39" i="3" s="1"/>
  <c r="AV41" i="5"/>
  <c r="AV59" i="3" s="1"/>
  <c r="AP74" i="29"/>
  <c r="AW11" i="5"/>
  <c r="AW575" i="19"/>
  <c r="AM182" i="20"/>
  <c r="AS26" i="6"/>
  <c r="AS19" i="6"/>
  <c r="AS52" i="6"/>
  <c r="AV19" i="18"/>
  <c r="AV49" i="18" s="1"/>
  <c r="AO61" i="20"/>
  <c r="Q124" i="27" s="1"/>
  <c r="AV15" i="6"/>
  <c r="AV14" i="6"/>
  <c r="AV16" i="6" l="1"/>
  <c r="AS57" i="3"/>
  <c r="AS37" i="3"/>
  <c r="AS22" i="6"/>
  <c r="AV178" i="3"/>
  <c r="AP30" i="20" s="1"/>
  <c r="AW576" i="19"/>
  <c r="AS575" i="6"/>
  <c r="AS521" i="6"/>
  <c r="AW21" i="5"/>
  <c r="AW22" i="5" s="1"/>
  <c r="AW24" i="5" s="1"/>
  <c r="AW13" i="5"/>
  <c r="AW56" i="5" s="1"/>
  <c r="AW57" i="5" s="1"/>
  <c r="AW53" i="5" s="1"/>
  <c r="AV198" i="3"/>
  <c r="AP48" i="20" s="1"/>
  <c r="AW36" i="18" s="1"/>
  <c r="S37" i="27"/>
  <c r="O7" i="32"/>
  <c r="AW14" i="5" l="1"/>
  <c r="AW7" i="6"/>
  <c r="AW47" i="5"/>
  <c r="AQ74" i="20" s="1"/>
  <c r="S141" i="27" s="1"/>
  <c r="AY521" i="21"/>
  <c r="AM92" i="20" s="1"/>
  <c r="AS571" i="6"/>
  <c r="AS576" i="6" s="1"/>
  <c r="AP61" i="20"/>
  <c r="R124" i="27" s="1"/>
  <c r="AW19" i="18"/>
  <c r="AW49" i="18" s="1"/>
  <c r="AS176" i="3"/>
  <c r="AM29" i="20" s="1"/>
  <c r="AM72" i="29"/>
  <c r="AW61" i="3"/>
  <c r="AW200" i="3" s="1"/>
  <c r="AQ50" i="20" s="1"/>
  <c r="AX38" i="18" s="1"/>
  <c r="AW41" i="3"/>
  <c r="AW180" i="3" s="1"/>
  <c r="AQ32" i="20" s="1"/>
  <c r="AW77" i="3"/>
  <c r="AW213" i="3" s="1"/>
  <c r="AQ77" i="20" s="1"/>
  <c r="S144" i="27" s="1"/>
  <c r="AS27" i="6"/>
  <c r="AS31" i="6"/>
  <c r="AS196" i="3"/>
  <c r="AM47" i="20" s="1"/>
  <c r="AT34" i="18" s="1"/>
  <c r="AM73" i="29"/>
  <c r="AS33" i="6" l="1"/>
  <c r="AX21" i="18"/>
  <c r="AX51" i="18" s="1"/>
  <c r="AQ63" i="20"/>
  <c r="S126" i="27" s="1"/>
  <c r="AT17" i="18"/>
  <c r="AT47" i="18" s="1"/>
  <c r="AM60" i="20"/>
  <c r="O123" i="27" s="1"/>
  <c r="AM209" i="20"/>
  <c r="K10" i="32"/>
  <c r="AW14" i="6"/>
  <c r="AW15" i="6"/>
  <c r="AM160" i="20"/>
  <c r="AT6" i="6"/>
  <c r="AT20" i="6" s="1"/>
  <c r="AT32" i="6" s="1"/>
  <c r="AS28" i="6"/>
  <c r="AM76" i="29"/>
  <c r="AW16" i="5"/>
  <c r="AW33" i="5"/>
  <c r="AN182" i="20" l="1"/>
  <c r="AW16" i="6"/>
  <c r="AQ74" i="29"/>
  <c r="AW46" i="5"/>
  <c r="AQ75" i="20" s="1"/>
  <c r="S142" i="27" s="1"/>
  <c r="AW37" i="5"/>
  <c r="AW39" i="3" s="1"/>
  <c r="AW41" i="5"/>
  <c r="AW59" i="3" s="1"/>
  <c r="AT19" i="6"/>
  <c r="AT26" i="6"/>
  <c r="AT52" i="6"/>
  <c r="AW198" i="3" l="1"/>
  <c r="AQ48" i="20" s="1"/>
  <c r="AX36" i="18" s="1"/>
  <c r="AT575" i="6"/>
  <c r="AT521" i="6"/>
  <c r="AT57" i="3"/>
  <c r="AT37" i="3"/>
  <c r="AT22" i="6"/>
  <c r="AW178" i="3"/>
  <c r="AQ30" i="20" s="1"/>
  <c r="AQ61" i="20" l="1"/>
  <c r="S124" i="27" s="1"/>
  <c r="AX19" i="18"/>
  <c r="AX49" i="18" s="1"/>
  <c r="AT176" i="3"/>
  <c r="AN29" i="20" s="1"/>
  <c r="AN72" i="29"/>
  <c r="AZ521" i="21"/>
  <c r="AN92" i="20" s="1"/>
  <c r="AT571" i="6"/>
  <c r="AT576" i="6" s="1"/>
  <c r="AT27" i="6"/>
  <c r="AT31" i="6"/>
  <c r="AT196" i="3"/>
  <c r="AN47" i="20" s="1"/>
  <c r="AU34" i="18" s="1"/>
  <c r="AN73" i="29"/>
  <c r="AN76" i="29" l="1"/>
  <c r="AN160" i="20"/>
  <c r="AU6" i="6"/>
  <c r="AU20" i="6" s="1"/>
  <c r="AT28" i="6"/>
  <c r="AT33" i="6"/>
  <c r="L10" i="32"/>
  <c r="AN209" i="20"/>
  <c r="AU17" i="18"/>
  <c r="AU47" i="18" s="1"/>
  <c r="AN60" i="20"/>
  <c r="P123" i="27" s="1"/>
  <c r="AU26" i="6" l="1"/>
  <c r="AU19" i="6"/>
  <c r="AU52" i="6"/>
  <c r="AU32" i="6"/>
  <c r="AO182" i="20" l="1"/>
  <c r="AU57" i="3"/>
  <c r="AU37" i="3"/>
  <c r="AU22" i="6"/>
  <c r="AU575" i="6"/>
  <c r="AU521" i="6"/>
  <c r="AU176" i="3" l="1"/>
  <c r="AO29" i="20" s="1"/>
  <c r="AO72" i="29"/>
  <c r="BA521" i="21"/>
  <c r="AO92" i="20" s="1"/>
  <c r="AU571" i="6"/>
  <c r="AU576" i="6" s="1"/>
  <c r="AU27" i="6"/>
  <c r="AU31" i="6"/>
  <c r="AU196" i="3"/>
  <c r="AO47" i="20" s="1"/>
  <c r="AV34" i="18" s="1"/>
  <c r="AO73" i="29"/>
  <c r="AU33" i="6" l="1"/>
  <c r="AO76" i="29"/>
  <c r="AO160" i="20"/>
  <c r="AV6" i="6"/>
  <c r="AV20" i="6" s="1"/>
  <c r="AU28" i="6"/>
  <c r="M10" i="32"/>
  <c r="AO209" i="20"/>
  <c r="AO60" i="20"/>
  <c r="Q123" i="27" s="1"/>
  <c r="AV17" i="18"/>
  <c r="AV47" i="18" s="1"/>
  <c r="AV26" i="6" l="1"/>
  <c r="AV19" i="6"/>
  <c r="AV52" i="6"/>
  <c r="AV32" i="6"/>
  <c r="AP182" i="20" l="1"/>
  <c r="AV57" i="3"/>
  <c r="AV37" i="3"/>
  <c r="AV22" i="6"/>
  <c r="AV575" i="6"/>
  <c r="AV521" i="6"/>
  <c r="AV176" i="3" l="1"/>
  <c r="AP29" i="20" s="1"/>
  <c r="AP72" i="29"/>
  <c r="BB521" i="21"/>
  <c r="AP92" i="20" s="1"/>
  <c r="AV571" i="6"/>
  <c r="AV576" i="6" s="1"/>
  <c r="AV27" i="6"/>
  <c r="AV31" i="6"/>
  <c r="AV196" i="3"/>
  <c r="AP47" i="20" s="1"/>
  <c r="AW34" i="18" s="1"/>
  <c r="AP73" i="29"/>
  <c r="AV33" i="6" l="1"/>
  <c r="AP76" i="29"/>
  <c r="AP160" i="20"/>
  <c r="AW6" i="6"/>
  <c r="AW20" i="6" s="1"/>
  <c r="AW32" i="6" s="1"/>
  <c r="AV28" i="6"/>
  <c r="N10" i="32"/>
  <c r="AP209" i="20"/>
  <c r="AP60" i="20"/>
  <c r="R123" i="27" s="1"/>
  <c r="AW17" i="18"/>
  <c r="AW47" i="18" s="1"/>
  <c r="AQ182" i="20" l="1"/>
  <c r="AW19" i="6"/>
  <c r="AW26" i="6"/>
  <c r="AW52" i="6"/>
  <c r="AW521" i="6" l="1"/>
  <c r="AW575" i="6"/>
  <c r="AW37" i="3"/>
  <c r="AW57" i="3"/>
  <c r="AW22" i="6"/>
  <c r="AW27" i="6" l="1"/>
  <c r="AW31" i="6"/>
  <c r="AW176" i="3"/>
  <c r="AQ29" i="20" s="1"/>
  <c r="AQ72" i="29"/>
  <c r="BC521" i="21"/>
  <c r="AQ92" i="20" s="1"/>
  <c r="AW571" i="6"/>
  <c r="AW576" i="6" s="1"/>
  <c r="AW196" i="3"/>
  <c r="AQ47" i="20" s="1"/>
  <c r="AX34" i="18" s="1"/>
  <c r="AQ73" i="29"/>
  <c r="AQ76" i="29" l="1"/>
  <c r="AW33" i="6"/>
  <c r="AQ209" i="20"/>
  <c r="O10" i="32"/>
  <c r="AQ60" i="20"/>
  <c r="S123" i="27" s="1"/>
  <c r="AX17" i="18"/>
  <c r="AX47" i="18" s="1"/>
  <c r="AQ160" i="20"/>
  <c r="AW28" i="6"/>
  <c r="AP72" i="8" l="1"/>
  <c r="AP141" i="8" l="1"/>
  <c r="AP448" i="8" s="1"/>
  <c r="AI199" i="20"/>
  <c r="AQ72" i="8"/>
  <c r="AQ141" i="8" l="1"/>
  <c r="AQ448" i="8" s="1"/>
  <c r="AJ199" i="20"/>
  <c r="AU448" i="21"/>
  <c r="AR72" i="8"/>
  <c r="AK199" i="20" l="1"/>
  <c r="AR141" i="8"/>
  <c r="AR448" i="8" s="1"/>
  <c r="AI114" i="20"/>
  <c r="AV448" i="21"/>
  <c r="AS72" i="8"/>
  <c r="AS141" i="8" l="1"/>
  <c r="AS448" i="8" s="1"/>
  <c r="AL199" i="20"/>
  <c r="AW448" i="21"/>
  <c r="AJ114" i="20"/>
  <c r="G15" i="32"/>
  <c r="K41" i="27"/>
  <c r="AT72" i="8"/>
  <c r="AM199" i="20" l="1"/>
  <c r="AT141" i="8"/>
  <c r="AT448" i="8" s="1"/>
  <c r="H15" i="32"/>
  <c r="AK114" i="20"/>
  <c r="AX448" i="21"/>
  <c r="AU72" i="8"/>
  <c r="AU141" i="8" l="1"/>
  <c r="AU448" i="8" s="1"/>
  <c r="AN199" i="20"/>
  <c r="AL114" i="20"/>
  <c r="I15" i="32"/>
  <c r="AY448" i="21"/>
  <c r="AV72" i="8"/>
  <c r="AO199" i="20" l="1"/>
  <c r="AV141" i="8"/>
  <c r="AV448" i="8" s="1"/>
  <c r="AM114" i="20"/>
  <c r="J15" i="32"/>
  <c r="AZ448" i="21"/>
  <c r="AN114" i="20" s="1"/>
  <c r="AW72" i="8"/>
  <c r="BA448" i="21" l="1"/>
  <c r="AP199" i="20"/>
  <c r="AW141" i="8"/>
  <c r="AW448" i="8" s="1"/>
  <c r="L15" i="32"/>
  <c r="K15" i="32"/>
  <c r="AX72" i="8"/>
  <c r="AQ199" i="20" l="1"/>
  <c r="AX141" i="8"/>
  <c r="AX448" i="8" s="1"/>
  <c r="BB448" i="21"/>
  <c r="AO114" i="20"/>
  <c r="BC448" i="21" l="1"/>
  <c r="M15" i="32"/>
  <c r="AP114" i="20"/>
  <c r="N15" i="32" l="1"/>
  <c r="AQ114" i="20"/>
  <c r="O15" i="32" l="1"/>
  <c r="AP100" i="8" l="1"/>
  <c r="AP107" i="8" l="1"/>
  <c r="AP112" i="8"/>
  <c r="AP115" i="8"/>
  <c r="AP101" i="8"/>
  <c r="AP99" i="8"/>
  <c r="AP111" i="8" l="1"/>
  <c r="AP106" i="8"/>
  <c r="AP113" i="8"/>
  <c r="AP108" i="8"/>
  <c r="AP116" i="8"/>
  <c r="AP70" i="8" l="1"/>
  <c r="AI154" i="20"/>
  <c r="AP139" i="8"/>
  <c r="AP117" i="8"/>
  <c r="AP71" i="8"/>
  <c r="AP140" i="8" s="1"/>
  <c r="AP501" i="8" s="1"/>
  <c r="AU501" i="21" l="1"/>
  <c r="AI90" i="20" s="1"/>
  <c r="AP571" i="8"/>
  <c r="AI254" i="20"/>
  <c r="AI276" i="20" s="1"/>
  <c r="AP142" i="8"/>
  <c r="AP575" i="8" s="1"/>
  <c r="AP73" i="8"/>
  <c r="AI67" i="29" s="1"/>
  <c r="AI69" i="29" s="1"/>
  <c r="AO27" i="5" l="1"/>
  <c r="AO29" i="5" s="1"/>
  <c r="AO31" i="5" s="1"/>
  <c r="AI80" i="29"/>
  <c r="AI87" i="29" s="1"/>
  <c r="AO60" i="3" s="1"/>
  <c r="AI79" i="29"/>
  <c r="AI81" i="29"/>
  <c r="AI88" i="29" s="1"/>
  <c r="AI82" i="29"/>
  <c r="AI89" i="29" s="1"/>
  <c r="AP576" i="8"/>
  <c r="G8" i="32"/>
  <c r="G16" i="32" s="1"/>
  <c r="G20" i="32" s="1"/>
  <c r="G23" i="32" s="1"/>
  <c r="AI100" i="20"/>
  <c r="AI210" i="20"/>
  <c r="K36" i="27" l="1"/>
  <c r="K42" i="27" s="1"/>
  <c r="AI174" i="20"/>
  <c r="AI257" i="20" s="1"/>
  <c r="AI116" i="20"/>
  <c r="AI76" i="20"/>
  <c r="K143" i="27" s="1"/>
  <c r="AO75" i="3"/>
  <c r="AO199" i="3"/>
  <c r="AI49" i="20" s="1"/>
  <c r="AP37" i="18" s="1"/>
  <c r="AO62" i="3"/>
  <c r="AI86" i="29"/>
  <c r="AO40" i="3" s="1"/>
  <c r="AI83" i="29"/>
  <c r="AI90" i="29" s="1"/>
  <c r="AO38" i="5"/>
  <c r="AO39" i="5" s="1"/>
  <c r="AO48" i="5"/>
  <c r="AO49" i="5" s="1"/>
  <c r="AO42" i="5"/>
  <c r="AO43" i="5" s="1"/>
  <c r="AO179" i="3" l="1"/>
  <c r="AI31" i="20" s="1"/>
  <c r="AO42" i="3"/>
  <c r="AO201" i="3"/>
  <c r="AO79" i="3"/>
  <c r="AO90" i="3" s="1"/>
  <c r="AO211" i="3"/>
  <c r="AI336" i="20"/>
  <c r="K102" i="27"/>
  <c r="AO99" i="3"/>
  <c r="AO229" i="3" s="1"/>
  <c r="AO181" i="3" l="1"/>
  <c r="AO43" i="3"/>
  <c r="AO63" i="3"/>
  <c r="K175" i="27"/>
  <c r="K177" i="27" s="1"/>
  <c r="K180" i="27" s="1"/>
  <c r="K181" i="27" s="1"/>
  <c r="AI338" i="20"/>
  <c r="AI341" i="20" s="1"/>
  <c r="AI342" i="20" s="1"/>
  <c r="AI51" i="20"/>
  <c r="AP20" i="18"/>
  <c r="AI62" i="20"/>
  <c r="K125" i="27" s="1"/>
  <c r="AO182" i="3" l="1"/>
  <c r="AI34" i="20" s="1"/>
  <c r="AO145" i="3"/>
  <c r="AP50" i="18"/>
  <c r="AO202" i="3"/>
  <c r="AO65" i="3"/>
  <c r="AO89" i="3" s="1"/>
  <c r="AI33" i="20"/>
  <c r="AI64" i="20" s="1"/>
  <c r="AO95" i="3" l="1"/>
  <c r="AO149" i="3"/>
  <c r="AI246" i="20"/>
  <c r="AI52" i="20"/>
  <c r="AP40" i="18" s="1"/>
  <c r="AP41" i="18" s="1"/>
  <c r="AP42" i="18" s="1"/>
  <c r="AI194" i="20" s="1"/>
  <c r="AP23" i="18"/>
  <c r="AI65" i="20"/>
  <c r="K129" i="27" s="1"/>
  <c r="AP53" i="18" l="1"/>
  <c r="AP54" i="18" s="1"/>
  <c r="AP55" i="18" s="1"/>
  <c r="AP144" i="3"/>
  <c r="AO44" i="3"/>
  <c r="AI143" i="20"/>
  <c r="AP142" i="3"/>
  <c r="AQ115" i="8" l="1"/>
  <c r="AP146" i="3"/>
  <c r="AP147" i="3"/>
  <c r="AO155" i="3"/>
  <c r="AO183" i="3"/>
  <c r="AO46" i="3"/>
  <c r="AO88" i="3" s="1"/>
  <c r="K10" i="27"/>
  <c r="AI183" i="20"/>
  <c r="AQ101" i="8"/>
  <c r="AQ100" i="8"/>
  <c r="AQ113" i="8" l="1"/>
  <c r="AQ108" i="8"/>
  <c r="AQ112" i="8"/>
  <c r="AQ107" i="8"/>
  <c r="AI35" i="20"/>
  <c r="AI245" i="20"/>
  <c r="AO96" i="3"/>
  <c r="AO97" i="3" s="1"/>
  <c r="AO101" i="3" s="1"/>
  <c r="AO107" i="3" s="1"/>
  <c r="AO111" i="3" s="1"/>
  <c r="AO113" i="3" s="1"/>
  <c r="AO119" i="3" s="1"/>
  <c r="AO122" i="3" s="1"/>
  <c r="AO125" i="3" s="1"/>
  <c r="AO159" i="3"/>
  <c r="AO226" i="3"/>
  <c r="AQ99" i="8"/>
  <c r="AO134" i="3" l="1"/>
  <c r="AO136" i="3" s="1"/>
  <c r="AQ111" i="8"/>
  <c r="AQ71" i="8" s="1"/>
  <c r="AQ140" i="8" s="1"/>
  <c r="AQ106" i="8"/>
  <c r="AI144" i="20"/>
  <c r="AP152" i="3"/>
  <c r="AP154" i="3"/>
  <c r="AI247" i="20"/>
  <c r="K169" i="27" s="1"/>
  <c r="AI286" i="20"/>
  <c r="AI287" i="20" s="1"/>
  <c r="AI272" i="20"/>
  <c r="AQ116" i="8"/>
  <c r="AP24" i="18"/>
  <c r="AP25" i="18" s="1"/>
  <c r="AP26" i="18" s="1"/>
  <c r="AI193" i="20" s="1"/>
  <c r="AI66" i="20"/>
  <c r="K130" i="27" s="1"/>
  <c r="AO140" i="3" l="1"/>
  <c r="AO138" i="3"/>
  <c r="AO209" i="3" s="1"/>
  <c r="AQ70" i="8"/>
  <c r="AQ73" i="8" s="1"/>
  <c r="AJ67" i="29" s="1"/>
  <c r="AJ69" i="29" s="1"/>
  <c r="AQ139" i="8"/>
  <c r="AQ142" i="8" s="1"/>
  <c r="AQ575" i="8" s="1"/>
  <c r="AQ117" i="8"/>
  <c r="AJ154" i="20"/>
  <c r="AI184" i="20"/>
  <c r="K18" i="27" s="1"/>
  <c r="K11" i="27"/>
  <c r="AI145" i="20"/>
  <c r="K111" i="27"/>
  <c r="AQ501" i="8"/>
  <c r="AO127" i="3"/>
  <c r="AO214" i="3" s="1"/>
  <c r="AI78" i="20" s="1"/>
  <c r="K145" i="27" s="1"/>
  <c r="AO131" i="3"/>
  <c r="AO203" i="3" s="1"/>
  <c r="AO240" i="3"/>
  <c r="AI307" i="20"/>
  <c r="AO130" i="3"/>
  <c r="AO184" i="3" s="1"/>
  <c r="AI36" i="20" l="1"/>
  <c r="AO185" i="3"/>
  <c r="AI53" i="20"/>
  <c r="AQ39" i="18" s="1"/>
  <c r="AO204" i="3"/>
  <c r="AV501" i="21"/>
  <c r="AJ90" i="20" s="1"/>
  <c r="AQ571" i="8"/>
  <c r="AQ576" i="8" s="1"/>
  <c r="AP27" i="5"/>
  <c r="AP29" i="5" s="1"/>
  <c r="AP31" i="5" s="1"/>
  <c r="AJ82" i="29"/>
  <c r="AJ89" i="29" s="1"/>
  <c r="AJ79" i="29"/>
  <c r="AJ80" i="29"/>
  <c r="AJ87" i="29" s="1"/>
  <c r="AP60" i="3" s="1"/>
  <c r="AJ81" i="29"/>
  <c r="AJ88" i="29" s="1"/>
  <c r="AJ254" i="20"/>
  <c r="AJ276" i="20" s="1"/>
  <c r="AO210" i="3"/>
  <c r="AI72" i="20"/>
  <c r="K140" i="27" s="1"/>
  <c r="K146" i="27" s="1"/>
  <c r="AO215" i="3" l="1"/>
  <c r="AI73" i="20"/>
  <c r="AP199" i="3"/>
  <c r="AJ49" i="20" s="1"/>
  <c r="AQ37" i="18" s="1"/>
  <c r="AP62" i="3"/>
  <c r="AO265" i="3"/>
  <c r="AO465" i="3" s="1"/>
  <c r="AU465" i="21" s="1"/>
  <c r="AI54" i="20"/>
  <c r="AO220" i="3"/>
  <c r="AO219" i="3"/>
  <c r="AO264" i="3"/>
  <c r="AO464" i="3" s="1"/>
  <c r="AI37" i="20"/>
  <c r="AJ76" i="20"/>
  <c r="L143" i="27" s="1"/>
  <c r="AP75" i="3"/>
  <c r="AJ86" i="29"/>
  <c r="AP40" i="3" s="1"/>
  <c r="AJ83" i="29"/>
  <c r="AJ90" i="29" s="1"/>
  <c r="AP42" i="5"/>
  <c r="AP43" i="5" s="1"/>
  <c r="AP38" i="5"/>
  <c r="AP39" i="5" s="1"/>
  <c r="AP48" i="5"/>
  <c r="AP49" i="5" s="1"/>
  <c r="H8" i="32"/>
  <c r="H16" i="32" s="1"/>
  <c r="AJ210" i="20"/>
  <c r="AJ100" i="20"/>
  <c r="AI67" i="20"/>
  <c r="K127" i="27" s="1"/>
  <c r="K131" i="27" s="1"/>
  <c r="AQ22" i="18"/>
  <c r="AQ52" i="18" s="1"/>
  <c r="AJ116" i="20" l="1"/>
  <c r="AJ174" i="20"/>
  <c r="L36" i="27"/>
  <c r="AP211" i="3"/>
  <c r="AP79" i="3"/>
  <c r="AP90" i="3" s="1"/>
  <c r="K159" i="27"/>
  <c r="K165" i="27" s="1"/>
  <c r="AI68" i="20"/>
  <c r="AP58" i="18"/>
  <c r="K160" i="27"/>
  <c r="K166" i="27" s="1"/>
  <c r="AP59" i="18"/>
  <c r="AP201" i="3"/>
  <c r="AP179" i="3"/>
  <c r="AJ31" i="20" s="1"/>
  <c r="AP42" i="3"/>
  <c r="AU464" i="21"/>
  <c r="AI79" i="20"/>
  <c r="AO266" i="3"/>
  <c r="AO466" i="3" s="1"/>
  <c r="AU466" i="21" s="1"/>
  <c r="AO221" i="3"/>
  <c r="AO227" i="3" s="1"/>
  <c r="AO231" i="3" s="1"/>
  <c r="AO237" i="3" s="1"/>
  <c r="AO242" i="3" s="1"/>
  <c r="AO244" i="3" s="1"/>
  <c r="AO250" i="3" s="1"/>
  <c r="AU572" i="21" l="1"/>
  <c r="K161" i="27"/>
  <c r="K167" i="27" s="1"/>
  <c r="K170" i="27" s="1"/>
  <c r="AI195" i="20"/>
  <c r="AI202" i="20" s="1"/>
  <c r="AO572" i="3"/>
  <c r="AP181" i="3"/>
  <c r="AP43" i="3"/>
  <c r="AP63" i="3"/>
  <c r="AP60" i="18"/>
  <c r="AI175" i="20" s="1"/>
  <c r="AI85" i="20"/>
  <c r="AJ336" i="20"/>
  <c r="L102" i="27"/>
  <c r="AP99" i="3"/>
  <c r="AP229" i="3" s="1"/>
  <c r="AJ62" i="20"/>
  <c r="L125" i="27" s="1"/>
  <c r="AQ20" i="18"/>
  <c r="AJ51" i="20"/>
  <c r="AJ257" i="20"/>
  <c r="L175" i="27" l="1"/>
  <c r="AI180" i="20"/>
  <c r="K20" i="27" s="1"/>
  <c r="AI279" i="20"/>
  <c r="AP202" i="3"/>
  <c r="AP65" i="3"/>
  <c r="AP89" i="3" s="1"/>
  <c r="AJ33" i="20"/>
  <c r="AJ64" i="20" s="1"/>
  <c r="K49" i="27"/>
  <c r="AQ50" i="18"/>
  <c r="AI151" i="20"/>
  <c r="K32" i="27"/>
  <c r="K34" i="27" s="1"/>
  <c r="K44" i="27" s="1"/>
  <c r="AI88" i="20"/>
  <c r="AI118" i="20" s="1"/>
  <c r="AI127" i="20" s="1"/>
  <c r="AP182" i="3"/>
  <c r="AJ34" i="20" s="1"/>
  <c r="AP145" i="3"/>
  <c r="AP95" i="3" l="1"/>
  <c r="AJ246" i="20"/>
  <c r="AP149" i="3"/>
  <c r="K86" i="27"/>
  <c r="K89" i="27" s="1"/>
  <c r="K93" i="27" s="1"/>
  <c r="K77" i="27"/>
  <c r="K79" i="27" s="1"/>
  <c r="K81" i="27" s="1"/>
  <c r="AI304" i="20"/>
  <c r="AI266" i="20"/>
  <c r="AI320" i="20"/>
  <c r="AI323" i="20" s="1"/>
  <c r="AI325" i="20" s="1"/>
  <c r="AI331" i="20" s="1"/>
  <c r="AI167" i="20"/>
  <c r="AU574" i="21"/>
  <c r="AI253" i="20"/>
  <c r="K12" i="27"/>
  <c r="AJ52" i="20"/>
  <c r="AQ40" i="18" s="1"/>
  <c r="AQ41" i="18" s="1"/>
  <c r="AQ42" i="18" s="1"/>
  <c r="AJ194" i="20" s="1"/>
  <c r="AQ23" i="18"/>
  <c r="AJ65" i="20" l="1"/>
  <c r="L129" i="27" s="1"/>
  <c r="AQ53" i="18"/>
  <c r="AQ54" i="18" s="1"/>
  <c r="AQ55" i="18" s="1"/>
  <c r="AI275" i="20"/>
  <c r="AI282" i="20" s="1"/>
  <c r="AI295" i="20" s="1"/>
  <c r="AI298" i="20" s="1"/>
  <c r="AI260" i="20"/>
  <c r="AI213" i="20" s="1"/>
  <c r="AI215" i="20" s="1"/>
  <c r="K16" i="27"/>
  <c r="AI188" i="20"/>
  <c r="AJ143" i="20"/>
  <c r="AP44" i="3"/>
  <c r="AQ144" i="3"/>
  <c r="AQ142" i="3"/>
  <c r="K69" i="27"/>
  <c r="K72" i="27" s="1"/>
  <c r="K74" i="27" s="1"/>
  <c r="AI309" i="20"/>
  <c r="AI311" i="20" s="1"/>
  <c r="AI317" i="20" s="1"/>
  <c r="AQ146" i="3" l="1"/>
  <c r="AQ147" i="3"/>
  <c r="AJ183" i="20"/>
  <c r="L10" i="27"/>
  <c r="K50" i="27"/>
  <c r="K51" i="27" s="1"/>
  <c r="K61" i="27" s="1"/>
  <c r="K63" i="27" s="1"/>
  <c r="L62" i="27" s="1"/>
  <c r="AI217" i="20"/>
  <c r="AI228" i="20" s="1"/>
  <c r="AI237" i="20" s="1"/>
  <c r="AI249" i="20" s="1"/>
  <c r="AP183" i="3"/>
  <c r="AP155" i="3"/>
  <c r="AP46" i="3"/>
  <c r="AP88" i="3" s="1"/>
  <c r="K21" i="27"/>
  <c r="K23" i="27"/>
  <c r="AR100" i="8" l="1"/>
  <c r="AR112" i="8" s="1"/>
  <c r="AJ35" i="20"/>
  <c r="AR115" i="8"/>
  <c r="AP96" i="3"/>
  <c r="AJ245" i="20"/>
  <c r="AP159" i="3"/>
  <c r="AP226" i="3"/>
  <c r="AI250" i="20"/>
  <c r="AI150" i="20"/>
  <c r="K98" i="27"/>
  <c r="AR101" i="8"/>
  <c r="AR99" i="8"/>
  <c r="AR107" i="8" l="1"/>
  <c r="AR113" i="8"/>
  <c r="AR108" i="8"/>
  <c r="AR111" i="8"/>
  <c r="AR71" i="8" s="1"/>
  <c r="AR140" i="8" s="1"/>
  <c r="AR106" i="8"/>
  <c r="AP31" i="17"/>
  <c r="AP38" i="17" s="1"/>
  <c r="AP449" i="17" s="1"/>
  <c r="K8" i="27"/>
  <c r="K13" i="27" s="1"/>
  <c r="AI157" i="20"/>
  <c r="AI164" i="20" s="1"/>
  <c r="AI190" i="20" s="1"/>
  <c r="K113" i="27"/>
  <c r="K114" i="27" s="1"/>
  <c r="K116" i="27" s="1"/>
  <c r="AJ247" i="20"/>
  <c r="L169" i="27" s="1"/>
  <c r="AJ272" i="20"/>
  <c r="AJ286" i="20"/>
  <c r="AJ287" i="20" s="1"/>
  <c r="AR116" i="8"/>
  <c r="K104" i="27"/>
  <c r="K101" i="27"/>
  <c r="K103" i="27" s="1"/>
  <c r="AJ297" i="20"/>
  <c r="AI300" i="20"/>
  <c r="AJ144" i="20"/>
  <c r="AQ152" i="3"/>
  <c r="AQ154" i="3"/>
  <c r="AQ24" i="18"/>
  <c r="AQ25" i="18" s="1"/>
  <c r="AQ26" i="18" s="1"/>
  <c r="AJ193" i="20" s="1"/>
  <c r="AJ66" i="20"/>
  <c r="L130" i="27" s="1"/>
  <c r="L11" i="27" l="1"/>
  <c r="AJ184" i="20"/>
  <c r="L18" i="27" s="1"/>
  <c r="AJ145" i="20"/>
  <c r="L111" i="27"/>
  <c r="AR70" i="8"/>
  <c r="AR73" i="8" s="1"/>
  <c r="AK67" i="29" s="1"/>
  <c r="AK69" i="29" s="1"/>
  <c r="AR139" i="8"/>
  <c r="AR142" i="8" s="1"/>
  <c r="AR575" i="8" s="1"/>
  <c r="AR117" i="8"/>
  <c r="AK154" i="20"/>
  <c r="K27" i="27"/>
  <c r="K25" i="27"/>
  <c r="AV449" i="21"/>
  <c r="AP571" i="17"/>
  <c r="AR501" i="8" l="1"/>
  <c r="AW501" i="21" s="1"/>
  <c r="AK90" i="20" s="1"/>
  <c r="AK254" i="20"/>
  <c r="AK276" i="20" s="1"/>
  <c r="AJ120" i="20"/>
  <c r="AQ27" i="5"/>
  <c r="AQ29" i="5" s="1"/>
  <c r="AQ31" i="5" s="1"/>
  <c r="AK81" i="29"/>
  <c r="AK88" i="29" s="1"/>
  <c r="AK82" i="29"/>
  <c r="AK89" i="29" s="1"/>
  <c r="AK80" i="29"/>
  <c r="AK87" i="29" s="1"/>
  <c r="AQ60" i="3" s="1"/>
  <c r="AK79" i="29"/>
  <c r="AR571" i="8" l="1"/>
  <c r="AR576" i="8" s="1"/>
  <c r="AQ199" i="3"/>
  <c r="AK49" i="20" s="1"/>
  <c r="AR37" i="18" s="1"/>
  <c r="AQ62" i="3"/>
  <c r="AQ75" i="3"/>
  <c r="AK76" i="20"/>
  <c r="M143" i="27" s="1"/>
  <c r="AK86" i="29"/>
  <c r="AQ40" i="3" s="1"/>
  <c r="AK83" i="29"/>
  <c r="AK90" i="29" s="1"/>
  <c r="AQ48" i="5"/>
  <c r="AQ49" i="5" s="1"/>
  <c r="AQ42" i="5"/>
  <c r="AQ43" i="5" s="1"/>
  <c r="AQ38" i="5"/>
  <c r="AQ39" i="5" s="1"/>
  <c r="AP94" i="3"/>
  <c r="AJ201" i="20"/>
  <c r="H18" i="32"/>
  <c r="H20" i="32" s="1"/>
  <c r="H23" i="32" s="1"/>
  <c r="AJ337" i="20"/>
  <c r="L41" i="27"/>
  <c r="L42" i="27" s="1"/>
  <c r="I8" i="32"/>
  <c r="I16" i="32" s="1"/>
  <c r="AK210" i="20"/>
  <c r="AK100" i="20"/>
  <c r="AP225" i="3" l="1"/>
  <c r="AP97" i="3"/>
  <c r="AP101" i="3" s="1"/>
  <c r="AP107" i="3" s="1"/>
  <c r="AP111" i="3" s="1"/>
  <c r="AP113" i="3" s="1"/>
  <c r="AP119" i="3" s="1"/>
  <c r="AP122" i="3" s="1"/>
  <c r="AP125" i="3" s="1"/>
  <c r="AQ201" i="3"/>
  <c r="M36" i="27"/>
  <c r="AK116" i="20"/>
  <c r="AK174" i="20"/>
  <c r="L176" i="27"/>
  <c r="L177" i="27" s="1"/>
  <c r="L180" i="27" s="1"/>
  <c r="L181" i="27" s="1"/>
  <c r="AJ338" i="20"/>
  <c r="AJ341" i="20" s="1"/>
  <c r="AJ342" i="20" s="1"/>
  <c r="AQ42" i="3"/>
  <c r="AQ179" i="3"/>
  <c r="AK31" i="20" s="1"/>
  <c r="AQ79" i="3"/>
  <c r="AQ90" i="3" s="1"/>
  <c r="AQ211" i="3"/>
  <c r="AQ181" i="3" l="1"/>
  <c r="AQ43" i="3"/>
  <c r="AQ63" i="3"/>
  <c r="AK336" i="20"/>
  <c r="AQ99" i="3"/>
  <c r="AQ229" i="3" s="1"/>
  <c r="M102" i="27"/>
  <c r="AP134" i="3"/>
  <c r="AP136" i="3" s="1"/>
  <c r="AR20" i="18"/>
  <c r="AK62" i="20"/>
  <c r="M125" i="27" s="1"/>
  <c r="AK257" i="20"/>
  <c r="AK51" i="20"/>
  <c r="AR50" i="18" l="1"/>
  <c r="AP140" i="3"/>
  <c r="AP138" i="3"/>
  <c r="AP209" i="3" s="1"/>
  <c r="AQ145" i="3"/>
  <c r="AQ182" i="3"/>
  <c r="AK34" i="20" s="1"/>
  <c r="AP131" i="3"/>
  <c r="AP203" i="3" s="1"/>
  <c r="AP130" i="3"/>
  <c r="AP184" i="3" s="1"/>
  <c r="AP127" i="3"/>
  <c r="AP214" i="3" s="1"/>
  <c r="AJ78" i="20" s="1"/>
  <c r="L145" i="27" s="1"/>
  <c r="AP240" i="3"/>
  <c r="AJ307" i="20"/>
  <c r="M175" i="27"/>
  <c r="AQ202" i="3"/>
  <c r="AQ65" i="3"/>
  <c r="AQ89" i="3" s="1"/>
  <c r="AK33" i="20"/>
  <c r="AK64" i="20" s="1"/>
  <c r="AJ53" i="20" l="1"/>
  <c r="AR39" i="18" s="1"/>
  <c r="AP204" i="3"/>
  <c r="AQ95" i="3"/>
  <c r="AK246" i="20"/>
  <c r="AQ149" i="3"/>
  <c r="AK52" i="20"/>
  <c r="AR40" i="18" s="1"/>
  <c r="AJ36" i="20"/>
  <c r="AP185" i="3"/>
  <c r="AR23" i="18"/>
  <c r="AK65" i="20"/>
  <c r="M129" i="27" s="1"/>
  <c r="AP210" i="3"/>
  <c r="AJ72" i="20"/>
  <c r="L140" i="27" s="1"/>
  <c r="L146" i="27" s="1"/>
  <c r="AR53" i="18" l="1"/>
  <c r="AP264" i="3"/>
  <c r="AP464" i="3" s="1"/>
  <c r="AJ37" i="20"/>
  <c r="AP219" i="3"/>
  <c r="AK143" i="20"/>
  <c r="AQ44" i="3"/>
  <c r="AR142" i="3"/>
  <c r="AR144" i="3"/>
  <c r="AP220" i="3"/>
  <c r="AP265" i="3"/>
  <c r="AP465" i="3" s="1"/>
  <c r="AV465" i="21" s="1"/>
  <c r="AJ54" i="20"/>
  <c r="AJ73" i="20"/>
  <c r="AP215" i="3"/>
  <c r="AR22" i="18"/>
  <c r="AJ67" i="20"/>
  <c r="L127" i="27" s="1"/>
  <c r="L131" i="27" s="1"/>
  <c r="AR41" i="18"/>
  <c r="AR42" i="18" s="1"/>
  <c r="AK194" i="20" s="1"/>
  <c r="AR52" i="18" l="1"/>
  <c r="AR54" i="18" s="1"/>
  <c r="AR55" i="18" s="1"/>
  <c r="AJ79" i="20"/>
  <c r="AP266" i="3"/>
  <c r="AP466" i="3" s="1"/>
  <c r="AV466" i="21" s="1"/>
  <c r="AP221" i="3"/>
  <c r="AP227" i="3" s="1"/>
  <c r="AP231" i="3" s="1"/>
  <c r="AP237" i="3" s="1"/>
  <c r="AP242" i="3" s="1"/>
  <c r="AP244" i="3" s="1"/>
  <c r="AP250" i="3" s="1"/>
  <c r="L160" i="27"/>
  <c r="L166" i="27" s="1"/>
  <c r="AQ59" i="18"/>
  <c r="AR146" i="3"/>
  <c r="AR147" i="3"/>
  <c r="AK183" i="20"/>
  <c r="M10" i="27"/>
  <c r="L159" i="27"/>
  <c r="L165" i="27" s="1"/>
  <c r="AJ68" i="20"/>
  <c r="AQ58" i="18"/>
  <c r="AQ155" i="3"/>
  <c r="AQ183" i="3"/>
  <c r="AQ46" i="3"/>
  <c r="AQ88" i="3" s="1"/>
  <c r="AV464" i="21"/>
  <c r="AV572" i="21" s="1"/>
  <c r="AP572" i="3"/>
  <c r="AQ60" i="18" l="1"/>
  <c r="AJ175" i="20" s="1"/>
  <c r="AJ279" i="20" s="1"/>
  <c r="AK35" i="20"/>
  <c r="AJ180" i="20"/>
  <c r="L20" i="27" s="1"/>
  <c r="AJ85" i="20"/>
  <c r="AJ195" i="20"/>
  <c r="AJ202" i="20" s="1"/>
  <c r="L161" i="27"/>
  <c r="L167" i="27" s="1"/>
  <c r="L170" i="27" s="1"/>
  <c r="AQ96" i="3"/>
  <c r="AK245" i="20"/>
  <c r="AQ159" i="3"/>
  <c r="AQ226" i="3"/>
  <c r="AS100" i="8" l="1"/>
  <c r="AS112" i="8" s="1"/>
  <c r="AR152" i="3"/>
  <c r="AR154" i="3"/>
  <c r="AK144" i="20"/>
  <c r="L32" i="27"/>
  <c r="L34" i="27" s="1"/>
  <c r="L44" i="27" s="1"/>
  <c r="AJ151" i="20"/>
  <c r="AJ88" i="20"/>
  <c r="AJ118" i="20" s="1"/>
  <c r="AJ127" i="20" s="1"/>
  <c r="AK66" i="20"/>
  <c r="M130" i="27" s="1"/>
  <c r="AR24" i="18"/>
  <c r="AR25" i="18" s="1"/>
  <c r="AR26" i="18" s="1"/>
  <c r="AK193" i="20" s="1"/>
  <c r="AS115" i="8"/>
  <c r="AK247" i="20"/>
  <c r="M169" i="27" s="1"/>
  <c r="AK286" i="20"/>
  <c r="AK287" i="20" s="1"/>
  <c r="AK272" i="20"/>
  <c r="L49" i="27"/>
  <c r="AS101" i="8"/>
  <c r="AS99" i="8"/>
  <c r="AS107" i="8" l="1"/>
  <c r="AS116" i="8"/>
  <c r="AS113" i="8"/>
  <c r="AS108" i="8"/>
  <c r="AS111" i="8"/>
  <c r="AS71" i="8" s="1"/>
  <c r="AS140" i="8" s="1"/>
  <c r="AS106" i="8"/>
  <c r="L12" i="27"/>
  <c r="AJ253" i="20"/>
  <c r="M11" i="27"/>
  <c r="AK184" i="20"/>
  <c r="M18" i="27" s="1"/>
  <c r="M111" i="27"/>
  <c r="AK145" i="20"/>
  <c r="AS139" i="8"/>
  <c r="AS142" i="8" s="1"/>
  <c r="AS575" i="8" s="1"/>
  <c r="AS70" i="8"/>
  <c r="AL154" i="20"/>
  <c r="AS117" i="8"/>
  <c r="AJ266" i="20"/>
  <c r="L86" i="27"/>
  <c r="L89" i="27" s="1"/>
  <c r="L93" i="27" s="1"/>
  <c r="L77" i="27"/>
  <c r="L79" i="27" s="1"/>
  <c r="L81" i="27" s="1"/>
  <c r="AJ304" i="20"/>
  <c r="AJ320" i="20"/>
  <c r="AJ323" i="20" s="1"/>
  <c r="AJ325" i="20" s="1"/>
  <c r="AJ331" i="20" s="1"/>
  <c r="AJ167" i="20"/>
  <c r="AV574" i="21"/>
  <c r="AS73" i="8" l="1"/>
  <c r="AL67" i="29" s="1"/>
  <c r="AL69" i="29" s="1"/>
  <c r="AR27" i="5" s="1"/>
  <c r="AR29" i="5" s="1"/>
  <c r="AR31" i="5" s="1"/>
  <c r="AJ188" i="20"/>
  <c r="L16" i="27"/>
  <c r="L69" i="27"/>
  <c r="L72" i="27" s="1"/>
  <c r="L74" i="27" s="1"/>
  <c r="AJ309" i="20"/>
  <c r="AJ311" i="20" s="1"/>
  <c r="AJ317" i="20" s="1"/>
  <c r="AJ275" i="20"/>
  <c r="AJ282" i="20" s="1"/>
  <c r="AJ295" i="20" s="1"/>
  <c r="AJ298" i="20" s="1"/>
  <c r="AJ260" i="20"/>
  <c r="AJ213" i="20" s="1"/>
  <c r="AJ215" i="20" s="1"/>
  <c r="AL254" i="20"/>
  <c r="AL276" i="20" s="1"/>
  <c r="AS501" i="8"/>
  <c r="AL81" i="29" l="1"/>
  <c r="AL88" i="29" s="1"/>
  <c r="AL76" i="20" s="1"/>
  <c r="N143" i="27" s="1"/>
  <c r="AL80" i="29"/>
  <c r="AL87" i="29" s="1"/>
  <c r="AR60" i="3" s="1"/>
  <c r="AL82" i="29"/>
  <c r="AL89" i="29" s="1"/>
  <c r="AL79" i="29"/>
  <c r="L50" i="27"/>
  <c r="L51" i="27" s="1"/>
  <c r="L61" i="27" s="1"/>
  <c r="L63" i="27" s="1"/>
  <c r="M62" i="27" s="1"/>
  <c r="AJ217" i="20"/>
  <c r="AJ228" i="20" s="1"/>
  <c r="AJ237" i="20" s="1"/>
  <c r="AJ249" i="20" s="1"/>
  <c r="AR75" i="3"/>
  <c r="AL86" i="29"/>
  <c r="AR40" i="3" s="1"/>
  <c r="AL83" i="29"/>
  <c r="AL90" i="29" s="1"/>
  <c r="AR48" i="5"/>
  <c r="AR49" i="5" s="1"/>
  <c r="AR42" i="5"/>
  <c r="AR43" i="5" s="1"/>
  <c r="AR38" i="5"/>
  <c r="AR39" i="5" s="1"/>
  <c r="L23" i="27"/>
  <c r="L21" i="27"/>
  <c r="AX501" i="21"/>
  <c r="AL90" i="20" s="1"/>
  <c r="AS571" i="8"/>
  <c r="AS576" i="8" s="1"/>
  <c r="AR62" i="3"/>
  <c r="AR199" i="3"/>
  <c r="AL49" i="20" s="1"/>
  <c r="AS37" i="18" s="1"/>
  <c r="AR201" i="3" l="1"/>
  <c r="AJ150" i="20"/>
  <c r="AJ250" i="20"/>
  <c r="L98" i="27"/>
  <c r="J8" i="32"/>
  <c r="J16" i="32" s="1"/>
  <c r="AL210" i="20"/>
  <c r="AL100" i="20"/>
  <c r="AR179" i="3"/>
  <c r="AL31" i="20" s="1"/>
  <c r="AR42" i="3"/>
  <c r="AR211" i="3"/>
  <c r="AR79" i="3"/>
  <c r="AR90" i="3" s="1"/>
  <c r="AS20" i="18" l="1"/>
  <c r="AL62" i="20"/>
  <c r="N125" i="27" s="1"/>
  <c r="L101" i="27"/>
  <c r="L103" i="27" s="1"/>
  <c r="L104" i="27"/>
  <c r="AJ300" i="20"/>
  <c r="AK297" i="20"/>
  <c r="AR181" i="3"/>
  <c r="AR63" i="3"/>
  <c r="AR43" i="3"/>
  <c r="N36" i="27"/>
  <c r="AL174" i="20"/>
  <c r="AL116" i="20"/>
  <c r="AQ31" i="17"/>
  <c r="AQ38" i="17" s="1"/>
  <c r="AQ449" i="17" s="1"/>
  <c r="L8" i="27"/>
  <c r="L13" i="27" s="1"/>
  <c r="AJ157" i="20"/>
  <c r="AJ164" i="20" s="1"/>
  <c r="AJ190" i="20" s="1"/>
  <c r="L113" i="27"/>
  <c r="L114" i="27" s="1"/>
  <c r="L116" i="27" s="1"/>
  <c r="AL51" i="20"/>
  <c r="AW449" i="21" l="1"/>
  <c r="AQ571" i="17"/>
  <c r="AL257" i="20"/>
  <c r="AR202" i="3"/>
  <c r="AR65" i="3"/>
  <c r="AR89" i="3" s="1"/>
  <c r="L27" i="27"/>
  <c r="L25" i="27"/>
  <c r="N102" i="27"/>
  <c r="AL336" i="20"/>
  <c r="AR99" i="3"/>
  <c r="AR229" i="3" s="1"/>
  <c r="AR145" i="3"/>
  <c r="AR182" i="3"/>
  <c r="AL34" i="20" s="1"/>
  <c r="AL33" i="20"/>
  <c r="AL64" i="20" s="1"/>
  <c r="AS50" i="18"/>
  <c r="AS23" i="18" l="1"/>
  <c r="AL246" i="20"/>
  <c r="AR95" i="3"/>
  <c r="AR149" i="3"/>
  <c r="N175" i="27"/>
  <c r="AL52" i="20"/>
  <c r="AS40" i="18" s="1"/>
  <c r="AK120" i="20"/>
  <c r="I18" i="32" l="1"/>
  <c r="I20" i="32" s="1"/>
  <c r="I23" i="32" s="1"/>
  <c r="AQ94" i="3"/>
  <c r="AK201" i="20"/>
  <c r="AK337" i="20"/>
  <c r="M41" i="27"/>
  <c r="M42" i="27" s="1"/>
  <c r="AL143" i="20"/>
  <c r="AR44" i="3"/>
  <c r="AS144" i="3"/>
  <c r="AS142" i="3"/>
  <c r="AS53" i="18"/>
  <c r="AL65" i="20"/>
  <c r="N129" i="27" s="1"/>
  <c r="AL183" i="20" l="1"/>
  <c r="N10" i="27"/>
  <c r="M176" i="27"/>
  <c r="M177" i="27" s="1"/>
  <c r="M180" i="27" s="1"/>
  <c r="M181" i="27" s="1"/>
  <c r="AK338" i="20"/>
  <c r="AK341" i="20" s="1"/>
  <c r="AK342" i="20" s="1"/>
  <c r="AQ225" i="3"/>
  <c r="AQ97" i="3"/>
  <c r="AQ101" i="3" s="1"/>
  <c r="AQ107" i="3" s="1"/>
  <c r="AQ111" i="3" s="1"/>
  <c r="AQ113" i="3" s="1"/>
  <c r="AQ119" i="3" s="1"/>
  <c r="AQ122" i="3" s="1"/>
  <c r="AQ125" i="3" s="1"/>
  <c r="AS146" i="3"/>
  <c r="AS147" i="3"/>
  <c r="AR183" i="3"/>
  <c r="AR155" i="3"/>
  <c r="AR46" i="3"/>
  <c r="AR88" i="3" s="1"/>
  <c r="AL35" i="20" l="1"/>
  <c r="AQ134" i="3"/>
  <c r="AQ136" i="3" s="1"/>
  <c r="AL245" i="20"/>
  <c r="AR96" i="3"/>
  <c r="AR159" i="3"/>
  <c r="AR226" i="3"/>
  <c r="AL144" i="20" l="1"/>
  <c r="AS152" i="3"/>
  <c r="AS154" i="3"/>
  <c r="AL247" i="20"/>
  <c r="N169" i="27" s="1"/>
  <c r="AL272" i="20"/>
  <c r="AL286" i="20"/>
  <c r="AL287" i="20" s="1"/>
  <c r="AQ138" i="3"/>
  <c r="AQ209" i="3" s="1"/>
  <c r="AQ140" i="3"/>
  <c r="AK307" i="20"/>
  <c r="AQ240" i="3"/>
  <c r="AQ130" i="3"/>
  <c r="AQ184" i="3" s="1"/>
  <c r="AQ131" i="3"/>
  <c r="AQ203" i="3" s="1"/>
  <c r="AQ127" i="3"/>
  <c r="AQ214" i="3" s="1"/>
  <c r="AK78" i="20" s="1"/>
  <c r="M145" i="27" s="1"/>
  <c r="AL66" i="20"/>
  <c r="N130" i="27" s="1"/>
  <c r="AS24" i="18"/>
  <c r="AT100" i="8" l="1"/>
  <c r="AK53" i="20"/>
  <c r="AS39" i="18" s="1"/>
  <c r="AS41" i="18" s="1"/>
  <c r="AS42" i="18" s="1"/>
  <c r="AL194" i="20" s="1"/>
  <c r="AQ204" i="3"/>
  <c r="AT115" i="8"/>
  <c r="AK36" i="20"/>
  <c r="AQ185" i="3"/>
  <c r="AQ210" i="3"/>
  <c r="AK72" i="20"/>
  <c r="M140" i="27" s="1"/>
  <c r="M146" i="27" s="1"/>
  <c r="AL184" i="20"/>
  <c r="N18" i="27" s="1"/>
  <c r="N11" i="27"/>
  <c r="AL145" i="20"/>
  <c r="N111" i="27"/>
  <c r="AT101" i="8"/>
  <c r="AT99" i="8"/>
  <c r="AT111" i="8" l="1"/>
  <c r="AT106" i="8"/>
  <c r="AT108" i="8"/>
  <c r="AT113" i="8"/>
  <c r="AQ215" i="3"/>
  <c r="AK73" i="20"/>
  <c r="AS22" i="18"/>
  <c r="AK67" i="20"/>
  <c r="M127" i="27" s="1"/>
  <c r="M131" i="27" s="1"/>
  <c r="AQ220" i="3"/>
  <c r="AK54" i="20"/>
  <c r="AQ265" i="3"/>
  <c r="AQ465" i="3" s="1"/>
  <c r="AW465" i="21" s="1"/>
  <c r="AK37" i="20"/>
  <c r="AQ219" i="3"/>
  <c r="AQ264" i="3"/>
  <c r="AQ464" i="3" s="1"/>
  <c r="AT116" i="8"/>
  <c r="AT112" i="8"/>
  <c r="AT107" i="8"/>
  <c r="AW464" i="21" l="1"/>
  <c r="AK68" i="20"/>
  <c r="M159" i="27"/>
  <c r="M165" i="27" s="1"/>
  <c r="AR58" i="18"/>
  <c r="M160" i="27"/>
  <c r="M166" i="27" s="1"/>
  <c r="AR59" i="18"/>
  <c r="AT139" i="8"/>
  <c r="AT70" i="8"/>
  <c r="AT117" i="8"/>
  <c r="AM154" i="20"/>
  <c r="AS52" i="18"/>
  <c r="AS54" i="18" s="1"/>
  <c r="AS55" i="18" s="1"/>
  <c r="AS25" i="18"/>
  <c r="AS26" i="18" s="1"/>
  <c r="AL193" i="20" s="1"/>
  <c r="AQ266" i="3"/>
  <c r="AQ466" i="3" s="1"/>
  <c r="AW466" i="21" s="1"/>
  <c r="AQ221" i="3"/>
  <c r="AQ227" i="3" s="1"/>
  <c r="AQ231" i="3" s="1"/>
  <c r="AQ237" i="3" s="1"/>
  <c r="AQ242" i="3" s="1"/>
  <c r="AQ244" i="3" s="1"/>
  <c r="AQ250" i="3" s="1"/>
  <c r="AK79" i="20"/>
  <c r="AK85" i="20" s="1"/>
  <c r="AT71" i="8"/>
  <c r="AT140" i="8" s="1"/>
  <c r="AT501" i="8" l="1"/>
  <c r="AY501" i="21" s="1"/>
  <c r="AM90" i="20" s="1"/>
  <c r="AK151" i="20"/>
  <c r="AK88" i="20"/>
  <c r="AK118" i="20" s="1"/>
  <c r="AK127" i="20" s="1"/>
  <c r="M32" i="27"/>
  <c r="M34" i="27" s="1"/>
  <c r="M44" i="27" s="1"/>
  <c r="AM254" i="20"/>
  <c r="AM276" i="20" s="1"/>
  <c r="AT73" i="8"/>
  <c r="AM67" i="29" s="1"/>
  <c r="AM69" i="29" s="1"/>
  <c r="AW572" i="21"/>
  <c r="AW574" i="21" s="1"/>
  <c r="AT571" i="8"/>
  <c r="M161" i="27"/>
  <c r="M167" i="27" s="1"/>
  <c r="M170" i="27" s="1"/>
  <c r="AK195" i="20"/>
  <c r="AK202" i="20" s="1"/>
  <c r="AT142" i="8"/>
  <c r="AT575" i="8" s="1"/>
  <c r="AR60" i="18"/>
  <c r="AK175" i="20" s="1"/>
  <c r="AQ572" i="3"/>
  <c r="AK180" i="20" l="1"/>
  <c r="M20" i="27" s="1"/>
  <c r="AK279" i="20"/>
  <c r="M49" i="27"/>
  <c r="AT576" i="8"/>
  <c r="M77" i="27"/>
  <c r="M79" i="27" s="1"/>
  <c r="M81" i="27" s="1"/>
  <c r="AK320" i="20"/>
  <c r="AK323" i="20" s="1"/>
  <c r="AK325" i="20" s="1"/>
  <c r="AK331" i="20" s="1"/>
  <c r="AK304" i="20"/>
  <c r="AK266" i="20"/>
  <c r="M86" i="27"/>
  <c r="M89" i="27" s="1"/>
  <c r="M93" i="27" s="1"/>
  <c r="AK167" i="20"/>
  <c r="K8" i="32"/>
  <c r="K16" i="32" s="1"/>
  <c r="AM100" i="20"/>
  <c r="AM210" i="20"/>
  <c r="AS27" i="5"/>
  <c r="AS29" i="5" s="1"/>
  <c r="AS31" i="5" s="1"/>
  <c r="AM80" i="29"/>
  <c r="AM87" i="29" s="1"/>
  <c r="AS60" i="3" s="1"/>
  <c r="AM79" i="29"/>
  <c r="AM81" i="29"/>
  <c r="AM88" i="29" s="1"/>
  <c r="AM82" i="29"/>
  <c r="AM89" i="29" s="1"/>
  <c r="M12" i="27"/>
  <c r="AK253" i="20"/>
  <c r="AS75" i="3" l="1"/>
  <c r="AM76" i="20"/>
  <c r="O143" i="27" s="1"/>
  <c r="AS199" i="3"/>
  <c r="AM49" i="20" s="1"/>
  <c r="AT37" i="18" s="1"/>
  <c r="AS62" i="3"/>
  <c r="AK309" i="20"/>
  <c r="AK311" i="20" s="1"/>
  <c r="AK317" i="20" s="1"/>
  <c r="M69" i="27"/>
  <c r="M72" i="27" s="1"/>
  <c r="M74" i="27" s="1"/>
  <c r="AK260" i="20"/>
  <c r="AK213" i="20" s="1"/>
  <c r="AK215" i="20" s="1"/>
  <c r="AK275" i="20"/>
  <c r="AK282" i="20" s="1"/>
  <c r="AK295" i="20" s="1"/>
  <c r="AK298" i="20" s="1"/>
  <c r="AM86" i="29"/>
  <c r="AS40" i="3" s="1"/>
  <c r="AM83" i="29"/>
  <c r="AM90" i="29" s="1"/>
  <c r="AS42" i="5"/>
  <c r="AS43" i="5" s="1"/>
  <c r="AS48" i="5"/>
  <c r="AS49" i="5" s="1"/>
  <c r="AS38" i="5"/>
  <c r="AS39" i="5" s="1"/>
  <c r="AM116" i="20"/>
  <c r="AM174" i="20"/>
  <c r="O36" i="27"/>
  <c r="M16" i="27"/>
  <c r="AK188" i="20"/>
  <c r="AS99" i="3" l="1"/>
  <c r="AS229" i="3" s="1"/>
  <c r="O102" i="27"/>
  <c r="AM336" i="20"/>
  <c r="AS201" i="3"/>
  <c r="M21" i="27"/>
  <c r="M23" i="27"/>
  <c r="AM257" i="20"/>
  <c r="AS42" i="3"/>
  <c r="AS179" i="3"/>
  <c r="AM31" i="20" s="1"/>
  <c r="M50" i="27"/>
  <c r="M51" i="27" s="1"/>
  <c r="M61" i="27" s="1"/>
  <c r="M63" i="27" s="1"/>
  <c r="N62" i="27" s="1"/>
  <c r="AK217" i="20"/>
  <c r="AK228" i="20" s="1"/>
  <c r="AK237" i="20" s="1"/>
  <c r="AK249" i="20" s="1"/>
  <c r="AS79" i="3"/>
  <c r="AS90" i="3" s="1"/>
  <c r="AS211" i="3"/>
  <c r="AK250" i="20" l="1"/>
  <c r="AK150" i="20"/>
  <c r="M98" i="27"/>
  <c r="AT20" i="18"/>
  <c r="AM62" i="20"/>
  <c r="O125" i="27" s="1"/>
  <c r="AM51" i="20"/>
  <c r="AS181" i="3"/>
  <c r="AS43" i="3"/>
  <c r="AS63" i="3"/>
  <c r="O175" i="27"/>
  <c r="AS182" i="3" l="1"/>
  <c r="AM34" i="20" s="1"/>
  <c r="AS145" i="3"/>
  <c r="M101" i="27"/>
  <c r="M103" i="27" s="1"/>
  <c r="M104" i="27"/>
  <c r="M8" i="27"/>
  <c r="M13" i="27" s="1"/>
  <c r="AK157" i="20"/>
  <c r="AK164" i="20" s="1"/>
  <c r="AK190" i="20" s="1"/>
  <c r="AR31" i="17"/>
  <c r="AR38" i="17" s="1"/>
  <c r="AR449" i="17" s="1"/>
  <c r="M113" i="27"/>
  <c r="M114" i="27" s="1"/>
  <c r="M116" i="27" s="1"/>
  <c r="AS202" i="3"/>
  <c r="AS65" i="3"/>
  <c r="AS89" i="3" s="1"/>
  <c r="AM33" i="20"/>
  <c r="AM64" i="20" s="1"/>
  <c r="AT50" i="18"/>
  <c r="AL297" i="20"/>
  <c r="AK300" i="20"/>
  <c r="AS95" i="3" l="1"/>
  <c r="AM246" i="20"/>
  <c r="AS149" i="3"/>
  <c r="AM52" i="20"/>
  <c r="AT40" i="18" s="1"/>
  <c r="AR571" i="17"/>
  <c r="AX449" i="21"/>
  <c r="M27" i="27"/>
  <c r="M25" i="27"/>
  <c r="AT23" i="18"/>
  <c r="AT53" i="18" s="1"/>
  <c r="AM65" i="20"/>
  <c r="O129" i="27" s="1"/>
  <c r="AL120" i="20" l="1"/>
  <c r="AT142" i="3"/>
  <c r="AS44" i="3"/>
  <c r="AT144" i="3"/>
  <c r="AM143" i="20"/>
  <c r="O10" i="27" l="1"/>
  <c r="AM183" i="20"/>
  <c r="AS155" i="3"/>
  <c r="AS183" i="3"/>
  <c r="AS46" i="3"/>
  <c r="AS88" i="3" s="1"/>
  <c r="AT146" i="3"/>
  <c r="AT147" i="3"/>
  <c r="AL201" i="20"/>
  <c r="J18" i="32"/>
  <c r="J20" i="32" s="1"/>
  <c r="J23" i="32" s="1"/>
  <c r="AR94" i="3"/>
  <c r="AL337" i="20"/>
  <c r="N41" i="27"/>
  <c r="N42" i="27" s="1"/>
  <c r="AU100" i="8"/>
  <c r="AU112" i="8" l="1"/>
  <c r="AU107" i="8"/>
  <c r="N176" i="27"/>
  <c r="N177" i="27" s="1"/>
  <c r="N180" i="27" s="1"/>
  <c r="N181" i="27" s="1"/>
  <c r="AL338" i="20"/>
  <c r="AL341" i="20" s="1"/>
  <c r="AL342" i="20" s="1"/>
  <c r="AM35" i="20"/>
  <c r="AU115" i="8"/>
  <c r="AR225" i="3"/>
  <c r="AR97" i="3"/>
  <c r="AR101" i="3" s="1"/>
  <c r="AR107" i="3" s="1"/>
  <c r="AR111" i="3" s="1"/>
  <c r="AR113" i="3" s="1"/>
  <c r="AR119" i="3" s="1"/>
  <c r="AR122" i="3" s="1"/>
  <c r="AR125" i="3" s="1"/>
  <c r="AS96" i="3"/>
  <c r="AM245" i="20"/>
  <c r="AS159" i="3"/>
  <c r="AS226" i="3"/>
  <c r="AU101" i="8"/>
  <c r="AU99" i="8"/>
  <c r="AU111" i="8" l="1"/>
  <c r="AU106" i="8"/>
  <c r="AU113" i="8"/>
  <c r="AU108" i="8"/>
  <c r="AT152" i="3"/>
  <c r="AT154" i="3"/>
  <c r="AM144" i="20"/>
  <c r="AM247" i="20"/>
  <c r="O169" i="27" s="1"/>
  <c r="AM272" i="20"/>
  <c r="AM286" i="20"/>
  <c r="AM287" i="20" s="1"/>
  <c r="AT24" i="18"/>
  <c r="AM66" i="20"/>
  <c r="O130" i="27" s="1"/>
  <c r="AR134" i="3"/>
  <c r="AR136" i="3" s="1"/>
  <c r="AU116" i="8"/>
  <c r="AU139" i="8" l="1"/>
  <c r="AU70" i="8"/>
  <c r="AN154" i="20"/>
  <c r="AU117" i="8"/>
  <c r="AR138" i="3"/>
  <c r="AR209" i="3" s="1"/>
  <c r="AR140" i="3"/>
  <c r="AR130" i="3"/>
  <c r="AR184" i="3" s="1"/>
  <c r="AR127" i="3"/>
  <c r="AR214" i="3" s="1"/>
  <c r="AL78" i="20" s="1"/>
  <c r="N145" i="27" s="1"/>
  <c r="AL307" i="20"/>
  <c r="AR131" i="3"/>
  <c r="AR203" i="3" s="1"/>
  <c r="AR240" i="3"/>
  <c r="O11" i="27"/>
  <c r="AM184" i="20"/>
  <c r="O18" i="27" s="1"/>
  <c r="AM145" i="20"/>
  <c r="O111" i="27"/>
  <c r="AU71" i="8"/>
  <c r="AU140" i="8" s="1"/>
  <c r="AU501" i="8" s="1"/>
  <c r="AL53" i="20" l="1"/>
  <c r="AT39" i="18" s="1"/>
  <c r="AT41" i="18" s="1"/>
  <c r="AT42" i="18" s="1"/>
  <c r="AM194" i="20" s="1"/>
  <c r="AR204" i="3"/>
  <c r="AU73" i="8"/>
  <c r="AN67" i="29" s="1"/>
  <c r="AN69" i="29" s="1"/>
  <c r="AZ501" i="21"/>
  <c r="AN90" i="20" s="1"/>
  <c r="AU571" i="8"/>
  <c r="AL36" i="20"/>
  <c r="AR185" i="3"/>
  <c r="AL72" i="20"/>
  <c r="N140" i="27" s="1"/>
  <c r="N146" i="27" s="1"/>
  <c r="AR210" i="3"/>
  <c r="AN254" i="20"/>
  <c r="AN276" i="20" s="1"/>
  <c r="AU142" i="8"/>
  <c r="AU575" i="8" s="1"/>
  <c r="AL67" i="20" l="1"/>
  <c r="N127" i="27" s="1"/>
  <c r="N131" i="27" s="1"/>
  <c r="AT22" i="18"/>
  <c r="L8" i="32"/>
  <c r="L16" i="32" s="1"/>
  <c r="AN210" i="20"/>
  <c r="AN100" i="20"/>
  <c r="AL54" i="20"/>
  <c r="AR265" i="3"/>
  <c r="AR465" i="3" s="1"/>
  <c r="AX465" i="21" s="1"/>
  <c r="AR220" i="3"/>
  <c r="AL73" i="20"/>
  <c r="AR215" i="3"/>
  <c r="AR219" i="3"/>
  <c r="AR264" i="3"/>
  <c r="AR464" i="3" s="1"/>
  <c r="AL37" i="20"/>
  <c r="AU576" i="8"/>
  <c r="AT27" i="5"/>
  <c r="AT29" i="5" s="1"/>
  <c r="AT31" i="5" s="1"/>
  <c r="AN81" i="29"/>
  <c r="AN88" i="29" s="1"/>
  <c r="AN79" i="29"/>
  <c r="AN80" i="29"/>
  <c r="AN87" i="29" s="1"/>
  <c r="AT60" i="3" s="1"/>
  <c r="AN82" i="29"/>
  <c r="AN89" i="29" s="1"/>
  <c r="AN86" i="29" l="1"/>
  <c r="AT40" i="3" s="1"/>
  <c r="AN83" i="29"/>
  <c r="AN90" i="29" s="1"/>
  <c r="AT62" i="3"/>
  <c r="AT199" i="3"/>
  <c r="AN49" i="20" s="1"/>
  <c r="AU37" i="18" s="1"/>
  <c r="AT75" i="3"/>
  <c r="AN76" i="20"/>
  <c r="P143" i="27" s="1"/>
  <c r="AX464" i="21"/>
  <c r="AR221" i="3"/>
  <c r="AR227" i="3" s="1"/>
  <c r="AR231" i="3" s="1"/>
  <c r="AR237" i="3" s="1"/>
  <c r="AR242" i="3" s="1"/>
  <c r="AR244" i="3" s="1"/>
  <c r="AR250" i="3" s="1"/>
  <c r="AR266" i="3"/>
  <c r="AR466" i="3" s="1"/>
  <c r="AX466" i="21" s="1"/>
  <c r="AL79" i="20"/>
  <c r="N160" i="27"/>
  <c r="N166" i="27" s="1"/>
  <c r="AS59" i="18"/>
  <c r="AT52" i="18"/>
  <c r="AT54" i="18" s="1"/>
  <c r="AT55" i="18" s="1"/>
  <c r="AT25" i="18"/>
  <c r="AT26" i="18" s="1"/>
  <c r="AM193" i="20" s="1"/>
  <c r="AT38" i="5"/>
  <c r="AT39" i="5" s="1"/>
  <c r="AT42" i="5"/>
  <c r="AT43" i="5" s="1"/>
  <c r="AT48" i="5"/>
  <c r="AT49" i="5" s="1"/>
  <c r="AL68" i="20"/>
  <c r="N159" i="27"/>
  <c r="N165" i="27" s="1"/>
  <c r="AS58" i="18"/>
  <c r="AS60" i="18" s="1"/>
  <c r="AL175" i="20" s="1"/>
  <c r="AN174" i="20"/>
  <c r="AN116" i="20"/>
  <c r="P36" i="27"/>
  <c r="AN336" i="20" l="1"/>
  <c r="AT99" i="3"/>
  <c r="AT229" i="3" s="1"/>
  <c r="P102" i="27"/>
  <c r="AN257" i="20"/>
  <c r="AR572" i="3"/>
  <c r="AL180" i="20"/>
  <c r="N20" i="27" s="1"/>
  <c r="AL279" i="20"/>
  <c r="AL85" i="20"/>
  <c r="N161" i="27"/>
  <c r="N167" i="27" s="1"/>
  <c r="N170" i="27" s="1"/>
  <c r="AL195" i="20"/>
  <c r="AL202" i="20" s="1"/>
  <c r="AX572" i="21"/>
  <c r="AT79" i="3"/>
  <c r="AT90" i="3" s="1"/>
  <c r="AT211" i="3"/>
  <c r="AT201" i="3"/>
  <c r="AT179" i="3"/>
  <c r="AN31" i="20" s="1"/>
  <c r="AT42" i="3"/>
  <c r="AN62" i="20" l="1"/>
  <c r="P125" i="27" s="1"/>
  <c r="AU20" i="18"/>
  <c r="AN51" i="20"/>
  <c r="N49" i="27"/>
  <c r="AL88" i="20"/>
  <c r="AL118" i="20" s="1"/>
  <c r="AL127" i="20" s="1"/>
  <c r="N32" i="27"/>
  <c r="N34" i="27" s="1"/>
  <c r="N44" i="27" s="1"/>
  <c r="AL151" i="20"/>
  <c r="AT181" i="3"/>
  <c r="AT43" i="3"/>
  <c r="AT63" i="3"/>
  <c r="P175" i="27"/>
  <c r="AT145" i="3" l="1"/>
  <c r="AT182" i="3"/>
  <c r="AN34" i="20" s="1"/>
  <c r="AL253" i="20"/>
  <c r="N12" i="27"/>
  <c r="N77" i="27"/>
  <c r="N79" i="27" s="1"/>
  <c r="N81" i="27" s="1"/>
  <c r="AL320" i="20"/>
  <c r="AL323" i="20" s="1"/>
  <c r="AL325" i="20" s="1"/>
  <c r="AL331" i="20" s="1"/>
  <c r="AL304" i="20"/>
  <c r="N86" i="27"/>
  <c r="N89" i="27" s="1"/>
  <c r="N93" i="27" s="1"/>
  <c r="AL266" i="20"/>
  <c r="AL167" i="20"/>
  <c r="AT202" i="3"/>
  <c r="AT65" i="3"/>
  <c r="AT89" i="3" s="1"/>
  <c r="AN33" i="20"/>
  <c r="AN64" i="20" s="1"/>
  <c r="AU50" i="18"/>
  <c r="AX574" i="21"/>
  <c r="AL188" i="20" l="1"/>
  <c r="N16" i="27"/>
  <c r="AU23" i="18"/>
  <c r="AN52" i="20"/>
  <c r="AU40" i="18" s="1"/>
  <c r="AL309" i="20"/>
  <c r="AL311" i="20" s="1"/>
  <c r="AL317" i="20" s="1"/>
  <c r="N69" i="27"/>
  <c r="N72" i="27" s="1"/>
  <c r="N74" i="27" s="1"/>
  <c r="AL260" i="20"/>
  <c r="AL213" i="20" s="1"/>
  <c r="AL215" i="20" s="1"/>
  <c r="AL275" i="20"/>
  <c r="AL282" i="20" s="1"/>
  <c r="AL295" i="20" s="1"/>
  <c r="AL298" i="20" s="1"/>
  <c r="AT95" i="3"/>
  <c r="AN246" i="20"/>
  <c r="AT149" i="3"/>
  <c r="AN65" i="20" l="1"/>
  <c r="P129" i="27" s="1"/>
  <c r="AT44" i="3"/>
  <c r="AN143" i="20"/>
  <c r="AU144" i="3"/>
  <c r="AU142" i="3"/>
  <c r="N50" i="27"/>
  <c r="N51" i="27" s="1"/>
  <c r="N61" i="27" s="1"/>
  <c r="N63" i="27" s="1"/>
  <c r="O62" i="27" s="1"/>
  <c r="AL217" i="20"/>
  <c r="AL228" i="20" s="1"/>
  <c r="AL237" i="20" s="1"/>
  <c r="AL249" i="20" s="1"/>
  <c r="AU53" i="18"/>
  <c r="N21" i="27"/>
  <c r="N23" i="27"/>
  <c r="AL150" i="20" l="1"/>
  <c r="AL250" i="20"/>
  <c r="N98" i="27"/>
  <c r="AU146" i="3"/>
  <c r="AU147" i="3"/>
  <c r="P10" i="27"/>
  <c r="AN183" i="20"/>
  <c r="AT183" i="3"/>
  <c r="AT155" i="3"/>
  <c r="AT46" i="3"/>
  <c r="AT88" i="3" s="1"/>
  <c r="AV115" i="8" l="1"/>
  <c r="AN35" i="20"/>
  <c r="N101" i="27"/>
  <c r="N103" i="27" s="1"/>
  <c r="N104" i="27"/>
  <c r="AL300" i="20"/>
  <c r="AM297" i="20"/>
  <c r="AV100" i="8"/>
  <c r="AT96" i="3"/>
  <c r="AN245" i="20"/>
  <c r="AT159" i="3"/>
  <c r="AT226" i="3"/>
  <c r="N113" i="27"/>
  <c r="N114" i="27" s="1"/>
  <c r="N116" i="27" s="1"/>
  <c r="AL157" i="20"/>
  <c r="AL164" i="20" s="1"/>
  <c r="AL190" i="20" s="1"/>
  <c r="AS31" i="17"/>
  <c r="AS38" i="17" s="1"/>
  <c r="AS449" i="17" s="1"/>
  <c r="N8" i="27"/>
  <c r="N13" i="27" s="1"/>
  <c r="AV101" i="8"/>
  <c r="AV99" i="8"/>
  <c r="AV113" i="8" l="1"/>
  <c r="AV108" i="8"/>
  <c r="AV111" i="8"/>
  <c r="AV106" i="8"/>
  <c r="AS571" i="17"/>
  <c r="AY449" i="21"/>
  <c r="AU152" i="3"/>
  <c r="AU154" i="3"/>
  <c r="AN144" i="20"/>
  <c r="AV112" i="8"/>
  <c r="AV107" i="8"/>
  <c r="AN66" i="20"/>
  <c r="P130" i="27" s="1"/>
  <c r="AU24" i="18"/>
  <c r="AV116" i="8"/>
  <c r="N27" i="27"/>
  <c r="N25" i="27"/>
  <c r="AN247" i="20"/>
  <c r="P169" i="27" s="1"/>
  <c r="AN272" i="20"/>
  <c r="AN286" i="20"/>
  <c r="AN287" i="20" s="1"/>
  <c r="AV139" i="8" l="1"/>
  <c r="AV70" i="8"/>
  <c r="AO154" i="20"/>
  <c r="AV117" i="8"/>
  <c r="AM120" i="20"/>
  <c r="AN184" i="20"/>
  <c r="P18" i="27" s="1"/>
  <c r="P11" i="27"/>
  <c r="AN145" i="20"/>
  <c r="P111" i="27"/>
  <c r="AV71" i="8"/>
  <c r="AV140" i="8" s="1"/>
  <c r="AV501" i="8" s="1"/>
  <c r="BA501" i="21" l="1"/>
  <c r="AO90" i="20" s="1"/>
  <c r="AV571" i="8"/>
  <c r="AV73" i="8"/>
  <c r="AO67" i="29" s="1"/>
  <c r="AO69" i="29" s="1"/>
  <c r="AM201" i="20"/>
  <c r="K18" i="32"/>
  <c r="K20" i="32" s="1"/>
  <c r="K23" i="32" s="1"/>
  <c r="AS94" i="3"/>
  <c r="AM337" i="20"/>
  <c r="O41" i="27"/>
  <c r="O42" i="27" s="1"/>
  <c r="AO254" i="20"/>
  <c r="AO276" i="20" s="1"/>
  <c r="AV142" i="8"/>
  <c r="AV575" i="8" s="1"/>
  <c r="O176" i="27" l="1"/>
  <c r="O177" i="27" s="1"/>
  <c r="O180" i="27" s="1"/>
  <c r="O181" i="27" s="1"/>
  <c r="AM338" i="20"/>
  <c r="AM341" i="20" s="1"/>
  <c r="AM342" i="20" s="1"/>
  <c r="AU27" i="5"/>
  <c r="AU29" i="5" s="1"/>
  <c r="AU31" i="5" s="1"/>
  <c r="AO79" i="29"/>
  <c r="AO80" i="29"/>
  <c r="AO87" i="29" s="1"/>
  <c r="AU60" i="3" s="1"/>
  <c r="AO82" i="29"/>
  <c r="AO89" i="29" s="1"/>
  <c r="AO81" i="29"/>
  <c r="AO88" i="29" s="1"/>
  <c r="AS225" i="3"/>
  <c r="AS97" i="3"/>
  <c r="AS101" i="3" s="1"/>
  <c r="AS107" i="3" s="1"/>
  <c r="AS111" i="3" s="1"/>
  <c r="AS113" i="3" s="1"/>
  <c r="AS119" i="3" s="1"/>
  <c r="AS122" i="3" s="1"/>
  <c r="AS125" i="3" s="1"/>
  <c r="AV576" i="8"/>
  <c r="M8" i="32"/>
  <c r="M16" i="32" s="1"/>
  <c r="AO100" i="20"/>
  <c r="AO210" i="20"/>
  <c r="AO116" i="20" l="1"/>
  <c r="AO174" i="20"/>
  <c r="Q36" i="27"/>
  <c r="AO86" i="29"/>
  <c r="AU40" i="3" s="1"/>
  <c r="AO83" i="29"/>
  <c r="AO90" i="29" s="1"/>
  <c r="AS134" i="3"/>
  <c r="AS136" i="3" s="1"/>
  <c r="AU75" i="3"/>
  <c r="AO76" i="20"/>
  <c r="Q143" i="27" s="1"/>
  <c r="AU62" i="3"/>
  <c r="AU199" i="3"/>
  <c r="AO49" i="20" s="1"/>
  <c r="AV37" i="18" s="1"/>
  <c r="AU42" i="5"/>
  <c r="AU43" i="5" s="1"/>
  <c r="AU38" i="5"/>
  <c r="AU39" i="5" s="1"/>
  <c r="AU48" i="5"/>
  <c r="AU49" i="5" s="1"/>
  <c r="AU201" i="3" l="1"/>
  <c r="AU79" i="3"/>
  <c r="AU90" i="3" s="1"/>
  <c r="AU211" i="3"/>
  <c r="AS138" i="3"/>
  <c r="AS209" i="3" s="1"/>
  <c r="AS140" i="3"/>
  <c r="AU42" i="3"/>
  <c r="AU179" i="3"/>
  <c r="AO31" i="20" s="1"/>
  <c r="AO257" i="20"/>
  <c r="AM307" i="20"/>
  <c r="AS240" i="3"/>
  <c r="AS130" i="3"/>
  <c r="AS184" i="3" s="1"/>
  <c r="AS127" i="3"/>
  <c r="AS214" i="3" s="1"/>
  <c r="AM78" i="20" s="1"/>
  <c r="O145" i="27" s="1"/>
  <c r="AS131" i="3"/>
  <c r="AS203" i="3" s="1"/>
  <c r="AO336" i="20"/>
  <c r="Q102" i="27"/>
  <c r="AU99" i="3"/>
  <c r="AU229" i="3" s="1"/>
  <c r="AM36" i="20" l="1"/>
  <c r="AS185" i="3"/>
  <c r="Q175" i="27"/>
  <c r="AO62" i="20"/>
  <c r="Q125" i="27" s="1"/>
  <c r="AV20" i="18"/>
  <c r="AM53" i="20"/>
  <c r="AU39" i="18" s="1"/>
  <c r="AU41" i="18" s="1"/>
  <c r="AU42" i="18" s="1"/>
  <c r="AN194" i="20" s="1"/>
  <c r="AS204" i="3"/>
  <c r="AU181" i="3"/>
  <c r="AU43" i="3"/>
  <c r="AU63" i="3"/>
  <c r="AM72" i="20"/>
  <c r="O140" i="27" s="1"/>
  <c r="O146" i="27" s="1"/>
  <c r="AS210" i="3"/>
  <c r="AO51" i="20"/>
  <c r="AM73" i="20" l="1"/>
  <c r="AS215" i="3"/>
  <c r="AU202" i="3"/>
  <c r="AU65" i="3"/>
  <c r="AU89" i="3" s="1"/>
  <c r="AO33" i="20"/>
  <c r="AO64" i="20" s="1"/>
  <c r="AM54" i="20"/>
  <c r="AS220" i="3"/>
  <c r="AS265" i="3"/>
  <c r="AS465" i="3" s="1"/>
  <c r="AY465" i="21" s="1"/>
  <c r="AV50" i="18"/>
  <c r="AS264" i="3"/>
  <c r="AS464" i="3" s="1"/>
  <c r="AM37" i="20"/>
  <c r="AS219" i="3"/>
  <c r="AU145" i="3"/>
  <c r="AU182" i="3"/>
  <c r="AO34" i="20" s="1"/>
  <c r="AM67" i="20"/>
  <c r="O127" i="27" s="1"/>
  <c r="O131" i="27" s="1"/>
  <c r="AU22" i="18"/>
  <c r="AU52" i="18" l="1"/>
  <c r="AU54" i="18" s="1"/>
  <c r="AU55" i="18" s="1"/>
  <c r="AU25" i="18"/>
  <c r="AU26" i="18" s="1"/>
  <c r="AN193" i="20" s="1"/>
  <c r="AU95" i="3"/>
  <c r="AO246" i="20"/>
  <c r="AU149" i="3"/>
  <c r="O159" i="27"/>
  <c r="O165" i="27" s="1"/>
  <c r="AM68" i="20"/>
  <c r="AT58" i="18"/>
  <c r="O160" i="27"/>
  <c r="O166" i="27" s="1"/>
  <c r="AT59" i="18"/>
  <c r="AO52" i="20"/>
  <c r="AV40" i="18" s="1"/>
  <c r="AV23" i="18"/>
  <c r="AO65" i="20"/>
  <c r="Q129" i="27" s="1"/>
  <c r="AY464" i="21"/>
  <c r="AS266" i="3"/>
  <c r="AS466" i="3" s="1"/>
  <c r="AY466" i="21" s="1"/>
  <c r="AS221" i="3"/>
  <c r="AS227" i="3" s="1"/>
  <c r="AS231" i="3" s="1"/>
  <c r="AS237" i="3" s="1"/>
  <c r="AS242" i="3" s="1"/>
  <c r="AS244" i="3" s="1"/>
  <c r="AS250" i="3" s="1"/>
  <c r="AM79" i="20"/>
  <c r="AV53" i="18" l="1"/>
  <c r="O161" i="27"/>
  <c r="O167" i="27" s="1"/>
  <c r="O170" i="27" s="1"/>
  <c r="AM195" i="20"/>
  <c r="AM202" i="20" s="1"/>
  <c r="AS572" i="3"/>
  <c r="AT60" i="18"/>
  <c r="AM175" i="20" s="1"/>
  <c r="AV144" i="3"/>
  <c r="AO143" i="20"/>
  <c r="AV142" i="3"/>
  <c r="AU44" i="3"/>
  <c r="AY572" i="21"/>
  <c r="AM85" i="20"/>
  <c r="AU183" i="3" l="1"/>
  <c r="AU155" i="3"/>
  <c r="AU46" i="3"/>
  <c r="AU88" i="3" s="1"/>
  <c r="AO183" i="20"/>
  <c r="Q10" i="27"/>
  <c r="AM180" i="20"/>
  <c r="O20" i="27" s="1"/>
  <c r="AM279" i="20"/>
  <c r="O49" i="27"/>
  <c r="O32" i="27"/>
  <c r="O34" i="27" s="1"/>
  <c r="O44" i="27" s="1"/>
  <c r="AM88" i="20"/>
  <c r="AM118" i="20" s="1"/>
  <c r="AM127" i="20" s="1"/>
  <c r="AM151" i="20"/>
  <c r="AV147" i="3"/>
  <c r="AV146" i="3"/>
  <c r="AW100" i="8" l="1"/>
  <c r="AW115" i="8"/>
  <c r="AM320" i="20"/>
  <c r="AM323" i="20" s="1"/>
  <c r="AM325" i="20" s="1"/>
  <c r="AM331" i="20" s="1"/>
  <c r="AM266" i="20"/>
  <c r="O86" i="27"/>
  <c r="O89" i="27" s="1"/>
  <c r="O93" i="27" s="1"/>
  <c r="AM304" i="20"/>
  <c r="O77" i="27"/>
  <c r="O79" i="27" s="1"/>
  <c r="O81" i="27" s="1"/>
  <c r="AM167" i="20"/>
  <c r="AO35" i="20"/>
  <c r="AW112" i="8"/>
  <c r="AW107" i="8"/>
  <c r="O12" i="27"/>
  <c r="AM253" i="20"/>
  <c r="AU96" i="3"/>
  <c r="AO245" i="20"/>
  <c r="AU159" i="3"/>
  <c r="AU226" i="3"/>
  <c r="AY574" i="21"/>
  <c r="AW101" i="8"/>
  <c r="AW99" i="8"/>
  <c r="AW113" i="8" l="1"/>
  <c r="AW108" i="8"/>
  <c r="AW111" i="8"/>
  <c r="AW71" i="8" s="1"/>
  <c r="AW140" i="8" s="1"/>
  <c r="AW106" i="8"/>
  <c r="AV152" i="3"/>
  <c r="AO144" i="20"/>
  <c r="AV154" i="3"/>
  <c r="AO247" i="20"/>
  <c r="Q169" i="27" s="1"/>
  <c r="AO272" i="20"/>
  <c r="AO286" i="20"/>
  <c r="AO287" i="20" s="1"/>
  <c r="AM260" i="20"/>
  <c r="AM213" i="20" s="1"/>
  <c r="AM215" i="20" s="1"/>
  <c r="AM275" i="20"/>
  <c r="AM282" i="20" s="1"/>
  <c r="AM295" i="20" s="1"/>
  <c r="AM298" i="20" s="1"/>
  <c r="AV24" i="18"/>
  <c r="AO66" i="20"/>
  <c r="Q130" i="27" s="1"/>
  <c r="O16" i="27"/>
  <c r="AM188" i="20"/>
  <c r="O69" i="27"/>
  <c r="O72" i="27" s="1"/>
  <c r="O74" i="27" s="1"/>
  <c r="AM309" i="20"/>
  <c r="AM311" i="20" s="1"/>
  <c r="AM317" i="20" s="1"/>
  <c r="AW116" i="8"/>
  <c r="AW139" i="8" l="1"/>
  <c r="AW142" i="8" s="1"/>
  <c r="AW575" i="8" s="1"/>
  <c r="AW70" i="8"/>
  <c r="AW73" i="8" s="1"/>
  <c r="AP67" i="29" s="1"/>
  <c r="AP69" i="29" s="1"/>
  <c r="AW117" i="8"/>
  <c r="AP154" i="20"/>
  <c r="AO184" i="20"/>
  <c r="Q18" i="27" s="1"/>
  <c r="Q11" i="27"/>
  <c r="AO145" i="20"/>
  <c r="Q111" i="27"/>
  <c r="O21" i="27"/>
  <c r="O23" i="27"/>
  <c r="O50" i="27"/>
  <c r="O51" i="27" s="1"/>
  <c r="O61" i="27" s="1"/>
  <c r="O63" i="27" s="1"/>
  <c r="P62" i="27" s="1"/>
  <c r="AM217" i="20"/>
  <c r="AM228" i="20" s="1"/>
  <c r="AM237" i="20" s="1"/>
  <c r="AM249" i="20" s="1"/>
  <c r="AW501" i="8"/>
  <c r="AP254" i="20" l="1"/>
  <c r="AP276" i="20" s="1"/>
  <c r="AV27" i="5"/>
  <c r="AV29" i="5" s="1"/>
  <c r="AV31" i="5" s="1"/>
  <c r="AP82" i="29"/>
  <c r="AP89" i="29" s="1"/>
  <c r="AP80" i="29"/>
  <c r="AP87" i="29" s="1"/>
  <c r="AV60" i="3" s="1"/>
  <c r="AP81" i="29"/>
  <c r="AP88" i="29" s="1"/>
  <c r="AP79" i="29"/>
  <c r="BB501" i="21"/>
  <c r="AP90" i="20" s="1"/>
  <c r="AW571" i="8"/>
  <c r="AW576" i="8" s="1"/>
  <c r="AM150" i="20"/>
  <c r="AM250" i="20"/>
  <c r="O98" i="27"/>
  <c r="O113" i="27" l="1"/>
  <c r="O114" i="27" s="1"/>
  <c r="O116" i="27" s="1"/>
  <c r="AT31" i="17"/>
  <c r="AT38" i="17" s="1"/>
  <c r="AT449" i="17" s="1"/>
  <c r="AM157" i="20"/>
  <c r="AM164" i="20" s="1"/>
  <c r="AM190" i="20" s="1"/>
  <c r="O8" i="27"/>
  <c r="O13" i="27" s="1"/>
  <c r="N8" i="32"/>
  <c r="N16" i="32" s="1"/>
  <c r="AP210" i="20"/>
  <c r="AP100" i="20"/>
  <c r="AV75" i="3"/>
  <c r="AP76" i="20"/>
  <c r="R143" i="27" s="1"/>
  <c r="O101" i="27"/>
  <c r="O103" i="27" s="1"/>
  <c r="O104" i="27"/>
  <c r="AM300" i="20"/>
  <c r="AN297" i="20"/>
  <c r="AP86" i="29"/>
  <c r="AV40" i="3" s="1"/>
  <c r="AP83" i="29"/>
  <c r="AP90" i="29" s="1"/>
  <c r="AV199" i="3"/>
  <c r="AP49" i="20" s="1"/>
  <c r="AW37" i="18" s="1"/>
  <c r="AV62" i="3"/>
  <c r="AV48" i="5"/>
  <c r="AV49" i="5" s="1"/>
  <c r="AV38" i="5"/>
  <c r="AV39" i="5" s="1"/>
  <c r="AV42" i="5"/>
  <c r="AV43" i="5" s="1"/>
  <c r="AV179" i="3" l="1"/>
  <c r="AP31" i="20" s="1"/>
  <c r="AV42" i="3"/>
  <c r="AV79" i="3"/>
  <c r="AV90" i="3" s="1"/>
  <c r="AV211" i="3"/>
  <c r="O27" i="27"/>
  <c r="O25" i="27"/>
  <c r="AZ449" i="21"/>
  <c r="AN120" i="20" s="1"/>
  <c r="AT571" i="17"/>
  <c r="AV201" i="3"/>
  <c r="R36" i="27"/>
  <c r="AP174" i="20"/>
  <c r="AP116" i="20"/>
  <c r="AP257" i="20" l="1"/>
  <c r="AV181" i="3"/>
  <c r="AV43" i="3"/>
  <c r="AV63" i="3"/>
  <c r="AP336" i="20"/>
  <c r="AV99" i="3"/>
  <c r="AV229" i="3" s="1"/>
  <c r="R102" i="27"/>
  <c r="AP51" i="20"/>
  <c r="AN201" i="20"/>
  <c r="AT94" i="3"/>
  <c r="L18" i="32"/>
  <c r="L20" i="32" s="1"/>
  <c r="L23" i="32" s="1"/>
  <c r="AN337" i="20"/>
  <c r="P41" i="27"/>
  <c r="P42" i="27" s="1"/>
  <c r="AW20" i="18"/>
  <c r="AP62" i="20"/>
  <c r="R125" i="27" s="1"/>
  <c r="AV145" i="3" l="1"/>
  <c r="AV182" i="3"/>
  <c r="AP34" i="20" s="1"/>
  <c r="AW50" i="18"/>
  <c r="P176" i="27"/>
  <c r="P177" i="27" s="1"/>
  <c r="P180" i="27" s="1"/>
  <c r="P181" i="27" s="1"/>
  <c r="AN338" i="20"/>
  <c r="AN341" i="20" s="1"/>
  <c r="AN342" i="20" s="1"/>
  <c r="AT225" i="3"/>
  <c r="AT97" i="3"/>
  <c r="AT101" i="3" s="1"/>
  <c r="AT107" i="3" s="1"/>
  <c r="AT111" i="3" s="1"/>
  <c r="AT113" i="3" s="1"/>
  <c r="AT119" i="3" s="1"/>
  <c r="AT122" i="3" s="1"/>
  <c r="AT125" i="3" s="1"/>
  <c r="R175" i="27"/>
  <c r="AV202" i="3"/>
  <c r="AV65" i="3"/>
  <c r="AV89" i="3" s="1"/>
  <c r="AP33" i="20"/>
  <c r="AP64" i="20" s="1"/>
  <c r="AT134" i="3" l="1"/>
  <c r="AT136" i="3" s="1"/>
  <c r="AW23" i="18"/>
  <c r="AP52" i="20"/>
  <c r="AW40" i="18" s="1"/>
  <c r="AP246" i="20"/>
  <c r="AV95" i="3"/>
  <c r="AV149" i="3"/>
  <c r="AP65" i="20" l="1"/>
  <c r="R129" i="27" s="1"/>
  <c r="AT138" i="3"/>
  <c r="AT209" i="3" s="1"/>
  <c r="AT140" i="3"/>
  <c r="AV44" i="3"/>
  <c r="AW142" i="3"/>
  <c r="AP143" i="20"/>
  <c r="AW144" i="3"/>
  <c r="AW53" i="18"/>
  <c r="AT131" i="3"/>
  <c r="AT203" i="3" s="1"/>
  <c r="AT240" i="3"/>
  <c r="AT130" i="3"/>
  <c r="AT184" i="3" s="1"/>
  <c r="AT127" i="3"/>
  <c r="AT214" i="3" s="1"/>
  <c r="AN78" i="20" s="1"/>
  <c r="P145" i="27" s="1"/>
  <c r="AN307" i="20"/>
  <c r="AN36" i="20" l="1"/>
  <c r="AT185" i="3"/>
  <c r="AN53" i="20"/>
  <c r="AV39" i="18" s="1"/>
  <c r="AV41" i="18" s="1"/>
  <c r="AV42" i="18" s="1"/>
  <c r="AO194" i="20" s="1"/>
  <c r="AT204" i="3"/>
  <c r="AW146" i="3"/>
  <c r="AW147" i="3"/>
  <c r="AP183" i="20"/>
  <c r="R10" i="27"/>
  <c r="AV183" i="3"/>
  <c r="AV155" i="3"/>
  <c r="AV46" i="3"/>
  <c r="AV88" i="3" s="1"/>
  <c r="AT210" i="3"/>
  <c r="AN72" i="20"/>
  <c r="P140" i="27" s="1"/>
  <c r="P146" i="27" s="1"/>
  <c r="AP35" i="20" l="1"/>
  <c r="AT220" i="3"/>
  <c r="AN54" i="20"/>
  <c r="AT265" i="3"/>
  <c r="AT465" i="3" s="1"/>
  <c r="AZ465" i="21" s="1"/>
  <c r="AT219" i="3"/>
  <c r="AT264" i="3"/>
  <c r="AT464" i="3" s="1"/>
  <c r="AN37" i="20"/>
  <c r="AN73" i="20"/>
  <c r="AT215" i="3"/>
  <c r="AV96" i="3"/>
  <c r="AP245" i="20"/>
  <c r="AV159" i="3"/>
  <c r="AV226" i="3"/>
  <c r="AN67" i="20"/>
  <c r="P127" i="27" s="1"/>
  <c r="P131" i="27" s="1"/>
  <c r="AV22" i="18"/>
  <c r="AX115" i="8" l="1"/>
  <c r="AV52" i="18"/>
  <c r="AV54" i="18" s="1"/>
  <c r="AV55" i="18" s="1"/>
  <c r="AV25" i="18"/>
  <c r="AV26" i="18" s="1"/>
  <c r="AO193" i="20" s="1"/>
  <c r="AW152" i="3"/>
  <c r="AW154" i="3"/>
  <c r="AP144" i="20"/>
  <c r="AZ464" i="21"/>
  <c r="AW24" i="18"/>
  <c r="AP66" i="20"/>
  <c r="R130" i="27" s="1"/>
  <c r="AX100" i="8"/>
  <c r="AP247" i="20"/>
  <c r="R169" i="27" s="1"/>
  <c r="AP272" i="20"/>
  <c r="AP286" i="20"/>
  <c r="AP287" i="20" s="1"/>
  <c r="AT221" i="3"/>
  <c r="AT227" i="3" s="1"/>
  <c r="AT231" i="3" s="1"/>
  <c r="AT237" i="3" s="1"/>
  <c r="AT242" i="3" s="1"/>
  <c r="AT244" i="3" s="1"/>
  <c r="AT250" i="3" s="1"/>
  <c r="AT266" i="3"/>
  <c r="AT466" i="3" s="1"/>
  <c r="AZ466" i="21" s="1"/>
  <c r="AN79" i="20"/>
  <c r="P159" i="27"/>
  <c r="P165" i="27" s="1"/>
  <c r="AN68" i="20"/>
  <c r="AU58" i="18"/>
  <c r="P160" i="27"/>
  <c r="P166" i="27" s="1"/>
  <c r="AU59" i="18"/>
  <c r="AX101" i="8"/>
  <c r="AX99" i="8"/>
  <c r="AX113" i="8" l="1"/>
  <c r="AX108" i="8"/>
  <c r="AX111" i="8"/>
  <c r="AX106" i="8"/>
  <c r="AU60" i="18"/>
  <c r="AN175" i="20" s="1"/>
  <c r="AX112" i="8"/>
  <c r="AX107" i="8"/>
  <c r="AZ572" i="21"/>
  <c r="AX116" i="8"/>
  <c r="AN85" i="20"/>
  <c r="AN195" i="20"/>
  <c r="AN202" i="20" s="1"/>
  <c r="P161" i="27"/>
  <c r="P167" i="27" s="1"/>
  <c r="P170" i="27" s="1"/>
  <c r="AT572" i="3"/>
  <c r="R11" i="27"/>
  <c r="AP184" i="20"/>
  <c r="R18" i="27" s="1"/>
  <c r="R111" i="27"/>
  <c r="AP145" i="20"/>
  <c r="AX71" i="8" l="1"/>
  <c r="AX140" i="8" s="1"/>
  <c r="P49" i="27"/>
  <c r="AX139" i="8"/>
  <c r="AX70" i="8"/>
  <c r="AX117" i="8"/>
  <c r="AQ154" i="20"/>
  <c r="P32" i="27"/>
  <c r="P34" i="27" s="1"/>
  <c r="P44" i="27" s="1"/>
  <c r="AN151" i="20"/>
  <c r="AN88" i="20"/>
  <c r="AN118" i="20" s="1"/>
  <c r="AN127" i="20" s="1"/>
  <c r="AN279" i="20"/>
  <c r="AN180" i="20"/>
  <c r="P20" i="27" s="1"/>
  <c r="AX142" i="8" l="1"/>
  <c r="AX575" i="8" s="1"/>
  <c r="AX501" i="8"/>
  <c r="AX73" i="8"/>
  <c r="AQ67" i="29" s="1"/>
  <c r="AQ69" i="29" s="1"/>
  <c r="BC501" i="21"/>
  <c r="AQ90" i="20" s="1"/>
  <c r="AX571" i="8"/>
  <c r="AX576" i="8" s="1"/>
  <c r="AN304" i="20"/>
  <c r="P77" i="27"/>
  <c r="P79" i="27" s="1"/>
  <c r="P81" i="27" s="1"/>
  <c r="AN266" i="20"/>
  <c r="AN320" i="20"/>
  <c r="AN323" i="20" s="1"/>
  <c r="AN325" i="20" s="1"/>
  <c r="AN331" i="20" s="1"/>
  <c r="P86" i="27"/>
  <c r="P89" i="27" s="1"/>
  <c r="P93" i="27" s="1"/>
  <c r="AN167" i="20"/>
  <c r="AQ254" i="20"/>
  <c r="AQ276" i="20" s="1"/>
  <c r="AW27" i="5"/>
  <c r="AW29" i="5" s="1"/>
  <c r="AW31" i="5" s="1"/>
  <c r="AQ81" i="29"/>
  <c r="AQ88" i="29" s="1"/>
  <c r="AQ79" i="29"/>
  <c r="AQ80" i="29"/>
  <c r="AQ87" i="29" s="1"/>
  <c r="AW60" i="3" s="1"/>
  <c r="AQ82" i="29"/>
  <c r="AQ89" i="29" s="1"/>
  <c r="AN253" i="20"/>
  <c r="P12" i="27"/>
  <c r="AZ574" i="21"/>
  <c r="AN260" i="20" l="1"/>
  <c r="AN213" i="20" s="1"/>
  <c r="AN215" i="20" s="1"/>
  <c r="AN275" i="20"/>
  <c r="AN282" i="20" s="1"/>
  <c r="AN295" i="20" s="1"/>
  <c r="AN298" i="20" s="1"/>
  <c r="AW199" i="3"/>
  <c r="AQ49" i="20" s="1"/>
  <c r="AX37" i="18" s="1"/>
  <c r="AW62" i="3"/>
  <c r="AW75" i="3"/>
  <c r="AQ76" i="20"/>
  <c r="S143" i="27" s="1"/>
  <c r="AN188" i="20"/>
  <c r="P16" i="27"/>
  <c r="AQ86" i="29"/>
  <c r="AW40" i="3" s="1"/>
  <c r="AQ83" i="29"/>
  <c r="AQ90" i="29" s="1"/>
  <c r="AW38" i="5"/>
  <c r="AW39" i="5" s="1"/>
  <c r="AW42" i="5"/>
  <c r="AW43" i="5" s="1"/>
  <c r="AW48" i="5"/>
  <c r="AW49" i="5" s="1"/>
  <c r="P69" i="27"/>
  <c r="P72" i="27" s="1"/>
  <c r="P74" i="27" s="1"/>
  <c r="AN309" i="20"/>
  <c r="AN311" i="20" s="1"/>
  <c r="AN317" i="20" s="1"/>
  <c r="O8" i="32"/>
  <c r="O16" i="32" s="1"/>
  <c r="AQ210" i="20"/>
  <c r="AQ100" i="20"/>
  <c r="AQ116" i="20" l="1"/>
  <c r="AQ174" i="20"/>
  <c r="AQ257" i="20" s="1"/>
  <c r="S36" i="27"/>
  <c r="AW179" i="3"/>
  <c r="AQ31" i="20" s="1"/>
  <c r="AW42" i="3"/>
  <c r="P21" i="27"/>
  <c r="P23" i="27"/>
  <c r="AW201" i="3"/>
  <c r="AW79" i="3"/>
  <c r="AW90" i="3" s="1"/>
  <c r="AW211" i="3"/>
  <c r="P50" i="27"/>
  <c r="P51" i="27" s="1"/>
  <c r="P61" i="27" s="1"/>
  <c r="P63" i="27" s="1"/>
  <c r="Q62" i="27" s="1"/>
  <c r="AN217" i="20"/>
  <c r="AN228" i="20" s="1"/>
  <c r="AN237" i="20" s="1"/>
  <c r="AN249" i="20" s="1"/>
  <c r="AN250" i="20" l="1"/>
  <c r="AN150" i="20"/>
  <c r="P98" i="27"/>
  <c r="AQ62" i="20"/>
  <c r="S125" i="27" s="1"/>
  <c r="AX20" i="18"/>
  <c r="AQ51" i="20"/>
  <c r="AW181" i="3"/>
  <c r="AW43" i="3"/>
  <c r="AW63" i="3"/>
  <c r="AW99" i="3"/>
  <c r="AW229" i="3" s="1"/>
  <c r="AQ336" i="20"/>
  <c r="S102" i="27"/>
  <c r="AW202" i="3" l="1"/>
  <c r="AW65" i="3"/>
  <c r="AW89" i="3" s="1"/>
  <c r="AQ33" i="20"/>
  <c r="AQ64" i="20" s="1"/>
  <c r="AX50" i="18"/>
  <c r="P101" i="27"/>
  <c r="P103" i="27" s="1"/>
  <c r="P104" i="27"/>
  <c r="P113" i="27"/>
  <c r="P114" i="27" s="1"/>
  <c r="P116" i="27" s="1"/>
  <c r="P8" i="27"/>
  <c r="P13" i="27" s="1"/>
  <c r="AU31" i="17"/>
  <c r="AU38" i="17" s="1"/>
  <c r="AU449" i="17" s="1"/>
  <c r="AN157" i="20"/>
  <c r="AN164" i="20" s="1"/>
  <c r="AN190" i="20" s="1"/>
  <c r="S175" i="27"/>
  <c r="AW145" i="3"/>
  <c r="AW182" i="3"/>
  <c r="AQ34" i="20" s="1"/>
  <c r="AN300" i="20"/>
  <c r="AO297" i="20"/>
  <c r="AX23" i="18" l="1"/>
  <c r="P27" i="27"/>
  <c r="P25" i="27"/>
  <c r="AW95" i="3"/>
  <c r="AQ246" i="20"/>
  <c r="AW149" i="3"/>
  <c r="BA449" i="21"/>
  <c r="AU571" i="17"/>
  <c r="AQ52" i="20"/>
  <c r="AX40" i="18" s="1"/>
  <c r="AO120" i="20" l="1"/>
  <c r="AQ65" i="20"/>
  <c r="S129" i="27" s="1"/>
  <c r="AQ143" i="20"/>
  <c r="AW44" i="3"/>
  <c r="AX53" i="18"/>
  <c r="AW183" i="3" l="1"/>
  <c r="AW155" i="3"/>
  <c r="AW46" i="3"/>
  <c r="AW88" i="3" s="1"/>
  <c r="S10" i="27"/>
  <c r="AQ183" i="20"/>
  <c r="AO201" i="20"/>
  <c r="AU94" i="3"/>
  <c r="M18" i="32"/>
  <c r="M20" i="32" s="1"/>
  <c r="M23" i="32" s="1"/>
  <c r="AO337" i="20"/>
  <c r="Q41" i="27"/>
  <c r="Q42" i="27" s="1"/>
  <c r="Q176" i="27" l="1"/>
  <c r="Q177" i="27" s="1"/>
  <c r="Q180" i="27" s="1"/>
  <c r="Q181" i="27" s="1"/>
  <c r="AO338" i="20"/>
  <c r="AO341" i="20" s="1"/>
  <c r="AO342" i="20" s="1"/>
  <c r="AU225" i="3"/>
  <c r="AU97" i="3"/>
  <c r="AU101" i="3" s="1"/>
  <c r="AU107" i="3" s="1"/>
  <c r="AU111" i="3" s="1"/>
  <c r="AU113" i="3" s="1"/>
  <c r="AU119" i="3" s="1"/>
  <c r="AU122" i="3" s="1"/>
  <c r="AU125" i="3" s="1"/>
  <c r="AW96" i="3"/>
  <c r="AQ245" i="20"/>
  <c r="AW159" i="3"/>
  <c r="AW226" i="3"/>
  <c r="AQ35" i="20"/>
  <c r="AX24" i="18" l="1"/>
  <c r="AQ66" i="20"/>
  <c r="S130" i="27" s="1"/>
  <c r="AQ247" i="20"/>
  <c r="S169" i="27" s="1"/>
  <c r="AQ286" i="20"/>
  <c r="AQ287" i="20" s="1"/>
  <c r="AQ272" i="20"/>
  <c r="AU134" i="3"/>
  <c r="AU136" i="3" s="1"/>
  <c r="AQ144" i="20"/>
  <c r="AU131" i="3" l="1"/>
  <c r="AU203" i="3" s="1"/>
  <c r="AO307" i="20"/>
  <c r="AU127" i="3"/>
  <c r="AU214" i="3" s="1"/>
  <c r="AO78" i="20" s="1"/>
  <c r="Q145" i="27" s="1"/>
  <c r="AU130" i="3"/>
  <c r="AU184" i="3" s="1"/>
  <c r="AU240" i="3"/>
  <c r="AQ184" i="20"/>
  <c r="S18" i="27" s="1"/>
  <c r="S11" i="27"/>
  <c r="AQ145" i="20"/>
  <c r="S111" i="27"/>
  <c r="AU138" i="3"/>
  <c r="AU209" i="3" s="1"/>
  <c r="AU140" i="3"/>
  <c r="AO72" i="20" l="1"/>
  <c r="Q140" i="27" s="1"/>
  <c r="Q146" i="27" s="1"/>
  <c r="AU210" i="3"/>
  <c r="AO36" i="20"/>
  <c r="AU185" i="3"/>
  <c r="AO53" i="20"/>
  <c r="AW39" i="18" s="1"/>
  <c r="AW41" i="18" s="1"/>
  <c r="AW42" i="18" s="1"/>
  <c r="AP194" i="20" s="1"/>
  <c r="AU204" i="3"/>
  <c r="AU265" i="3" l="1"/>
  <c r="AU465" i="3" s="1"/>
  <c r="BA465" i="21" s="1"/>
  <c r="AU220" i="3"/>
  <c r="AO54" i="20"/>
  <c r="AU264" i="3"/>
  <c r="AU464" i="3" s="1"/>
  <c r="AO37" i="20"/>
  <c r="AU219" i="3"/>
  <c r="AO73" i="20"/>
  <c r="AU215" i="3"/>
  <c r="AO67" i="20"/>
  <c r="Q127" i="27" s="1"/>
  <c r="Q131" i="27" s="1"/>
  <c r="AW22" i="18"/>
  <c r="AW52" i="18" l="1"/>
  <c r="AW54" i="18" s="1"/>
  <c r="AW55" i="18" s="1"/>
  <c r="AW25" i="18"/>
  <c r="AW26" i="18" s="1"/>
  <c r="AP193" i="20" s="1"/>
  <c r="AU266" i="3"/>
  <c r="AU466" i="3" s="1"/>
  <c r="BA466" i="21" s="1"/>
  <c r="AO79" i="20"/>
  <c r="AU221" i="3"/>
  <c r="AU227" i="3" s="1"/>
  <c r="AU231" i="3" s="1"/>
  <c r="AU237" i="3" s="1"/>
  <c r="AU242" i="3" s="1"/>
  <c r="AU244" i="3" s="1"/>
  <c r="AU250" i="3" s="1"/>
  <c r="BA464" i="21"/>
  <c r="AU572" i="3"/>
  <c r="Q160" i="27"/>
  <c r="Q166" i="27" s="1"/>
  <c r="AV59" i="18"/>
  <c r="AO68" i="20"/>
  <c r="Q159" i="27"/>
  <c r="Q165" i="27" s="1"/>
  <c r="AO85" i="20"/>
  <c r="AV58" i="18"/>
  <c r="AV60" i="18" l="1"/>
  <c r="AO175" i="20" s="1"/>
  <c r="BA572" i="21"/>
  <c r="Q161" i="27"/>
  <c r="Q167" i="27" s="1"/>
  <c r="Q170" i="27" s="1"/>
  <c r="AO195" i="20"/>
  <c r="AO202" i="20" s="1"/>
  <c r="AO88" i="20"/>
  <c r="AO118" i="20" s="1"/>
  <c r="AO127" i="20" s="1"/>
  <c r="AO151" i="20"/>
  <c r="Q32" i="27"/>
  <c r="Q34" i="27" s="1"/>
  <c r="Q44" i="27" s="1"/>
  <c r="Q86" i="27" l="1"/>
  <c r="Q89" i="27" s="1"/>
  <c r="Q93" i="27" s="1"/>
  <c r="AO266" i="20"/>
  <c r="Q77" i="27"/>
  <c r="Q79" i="27" s="1"/>
  <c r="Q81" i="27" s="1"/>
  <c r="AO320" i="20"/>
  <c r="AO323" i="20" s="1"/>
  <c r="AO325" i="20" s="1"/>
  <c r="AO331" i="20" s="1"/>
  <c r="AO304" i="20"/>
  <c r="AO167" i="20"/>
  <c r="Q12" i="27"/>
  <c r="AO253" i="20"/>
  <c r="Q49" i="27"/>
  <c r="BA574" i="21"/>
  <c r="AO180" i="20"/>
  <c r="Q20" i="27" s="1"/>
  <c r="AO279" i="20"/>
  <c r="AO260" i="20" l="1"/>
  <c r="AO213" i="20" s="1"/>
  <c r="AO215" i="20" s="1"/>
  <c r="AO275" i="20"/>
  <c r="AO282" i="20" s="1"/>
  <c r="AO295" i="20" s="1"/>
  <c r="AO298" i="20" s="1"/>
  <c r="AO188" i="20"/>
  <c r="Q16" i="27"/>
  <c r="Q69" i="27"/>
  <c r="Q72" i="27" s="1"/>
  <c r="Q74" i="27" s="1"/>
  <c r="AO309" i="20"/>
  <c r="AO311" i="20" s="1"/>
  <c r="AO317" i="20" s="1"/>
  <c r="Q21" i="27" l="1"/>
  <c r="Q23" i="27"/>
  <c r="Q50" i="27"/>
  <c r="Q51" i="27" s="1"/>
  <c r="Q61" i="27" s="1"/>
  <c r="Q63" i="27" s="1"/>
  <c r="R62" i="27" s="1"/>
  <c r="AO217" i="20"/>
  <c r="AO228" i="20" s="1"/>
  <c r="AO237" i="20" s="1"/>
  <c r="AO249" i="20" s="1"/>
  <c r="AO250" i="20" l="1"/>
  <c r="AO150" i="20"/>
  <c r="Q98" i="27"/>
  <c r="AP297" i="20" l="1"/>
  <c r="AO300" i="20"/>
  <c r="Q104" i="27"/>
  <c r="Q101" i="27"/>
  <c r="Q103" i="27" s="1"/>
  <c r="AV31" i="17"/>
  <c r="AV38" i="17" s="1"/>
  <c r="AV449" i="17" s="1"/>
  <c r="Q113" i="27"/>
  <c r="Q114" i="27" s="1"/>
  <c r="Q116" i="27" s="1"/>
  <c r="Q8" i="27"/>
  <c r="Q13" i="27" s="1"/>
  <c r="AO157" i="20"/>
  <c r="AO164" i="20" s="1"/>
  <c r="AO190" i="20" s="1"/>
  <c r="Q27" i="27" l="1"/>
  <c r="Q25" i="27"/>
  <c r="AV571" i="17"/>
  <c r="BB449" i="21"/>
  <c r="AP120" i="20" l="1"/>
  <c r="AP201" i="20" l="1"/>
  <c r="N18" i="32"/>
  <c r="N20" i="32" s="1"/>
  <c r="N23" i="32" s="1"/>
  <c r="AV94" i="3"/>
  <c r="AP337" i="20"/>
  <c r="R41" i="27"/>
  <c r="R42" i="27" s="1"/>
  <c r="R176" i="27" l="1"/>
  <c r="R177" i="27" s="1"/>
  <c r="R180" i="27" s="1"/>
  <c r="R181" i="27" s="1"/>
  <c r="AP338" i="20"/>
  <c r="AP341" i="20" s="1"/>
  <c r="AP342" i="20" s="1"/>
  <c r="AV225" i="3"/>
  <c r="AV97" i="3"/>
  <c r="AV101" i="3" s="1"/>
  <c r="AV107" i="3" s="1"/>
  <c r="AV111" i="3" s="1"/>
  <c r="AV113" i="3" s="1"/>
  <c r="AV119" i="3" s="1"/>
  <c r="AV122" i="3" s="1"/>
  <c r="AV125" i="3" s="1"/>
  <c r="AV134" i="3" l="1"/>
  <c r="AV136" i="3" s="1"/>
  <c r="AV140" i="3" l="1"/>
  <c r="AV138" i="3"/>
  <c r="AV209" i="3" s="1"/>
  <c r="AP307" i="20"/>
  <c r="AV130" i="3"/>
  <c r="AV184" i="3" s="1"/>
  <c r="AV240" i="3"/>
  <c r="AV131" i="3"/>
  <c r="AV203" i="3" s="1"/>
  <c r="AV127" i="3"/>
  <c r="AV214" i="3" s="1"/>
  <c r="AP78" i="20" s="1"/>
  <c r="R145" i="27" s="1"/>
  <c r="AP53" i="20" l="1"/>
  <c r="AX39" i="18" s="1"/>
  <c r="AX41" i="18" s="1"/>
  <c r="AX42" i="18" s="1"/>
  <c r="AQ194" i="20" s="1"/>
  <c r="AV204" i="3"/>
  <c r="AP36" i="20"/>
  <c r="AV185" i="3"/>
  <c r="AP72" i="20"/>
  <c r="R140" i="27" s="1"/>
  <c r="R146" i="27" s="1"/>
  <c r="AV210" i="3"/>
  <c r="AV264" i="3" l="1"/>
  <c r="AV464" i="3" s="1"/>
  <c r="AP37" i="20"/>
  <c r="AV219" i="3"/>
  <c r="AV265" i="3"/>
  <c r="AV465" i="3" s="1"/>
  <c r="BB465" i="21" s="1"/>
  <c r="AV220" i="3"/>
  <c r="AP54" i="20"/>
  <c r="AV215" i="3"/>
  <c r="AP73" i="20"/>
  <c r="AP67" i="20"/>
  <c r="R127" i="27" s="1"/>
  <c r="R131" i="27" s="1"/>
  <c r="AX22" i="18"/>
  <c r="AP79" i="20" l="1"/>
  <c r="AV266" i="3"/>
  <c r="AV466" i="3" s="1"/>
  <c r="BB466" i="21" s="1"/>
  <c r="AV221" i="3"/>
  <c r="AV227" i="3" s="1"/>
  <c r="AV231" i="3" s="1"/>
  <c r="AV237" i="3" s="1"/>
  <c r="AV242" i="3" s="1"/>
  <c r="AV244" i="3" s="1"/>
  <c r="AV250" i="3" s="1"/>
  <c r="R160" i="27"/>
  <c r="R166" i="27" s="1"/>
  <c r="AW59" i="18"/>
  <c r="R159" i="27"/>
  <c r="R165" i="27" s="1"/>
  <c r="AP68" i="20"/>
  <c r="AW58" i="18"/>
  <c r="AX52" i="18"/>
  <c r="AX54" i="18" s="1"/>
  <c r="AX55" i="18" s="1"/>
  <c r="AX25" i="18"/>
  <c r="AX26" i="18" s="1"/>
  <c r="AQ193" i="20" s="1"/>
  <c r="BB464" i="21"/>
  <c r="BB572" i="21" s="1"/>
  <c r="AV572" i="3" l="1"/>
  <c r="AW60" i="18"/>
  <c r="AP175" i="20" s="1"/>
  <c r="AP180" i="20" s="1"/>
  <c r="R20" i="27" s="1"/>
  <c r="AP85" i="20"/>
  <c r="AP195" i="20"/>
  <c r="AP202" i="20" s="1"/>
  <c r="R161" i="27"/>
  <c r="R167" i="27" s="1"/>
  <c r="R170" i="27" s="1"/>
  <c r="AP279" i="20" l="1"/>
  <c r="AP88" i="20"/>
  <c r="AP118" i="20" s="1"/>
  <c r="AP127" i="20" s="1"/>
  <c r="AP151" i="20"/>
  <c r="R32" i="27"/>
  <c r="R34" i="27" s="1"/>
  <c r="R44" i="27" s="1"/>
  <c r="R49" i="27"/>
  <c r="AP253" i="20" l="1"/>
  <c r="R12" i="27"/>
  <c r="AP304" i="20"/>
  <c r="R86" i="27"/>
  <c r="R89" i="27" s="1"/>
  <c r="R93" i="27" s="1"/>
  <c r="R77" i="27"/>
  <c r="R79" i="27" s="1"/>
  <c r="R81" i="27" s="1"/>
  <c r="AP266" i="20"/>
  <c r="AP320" i="20"/>
  <c r="AP323" i="20" s="1"/>
  <c r="AP325" i="20" s="1"/>
  <c r="AP331" i="20" s="1"/>
  <c r="AP167" i="20"/>
  <c r="BB574" i="21"/>
  <c r="R16" i="27" l="1"/>
  <c r="AP188" i="20"/>
  <c r="R69" i="27"/>
  <c r="R72" i="27" s="1"/>
  <c r="R74" i="27" s="1"/>
  <c r="AP309" i="20"/>
  <c r="AP311" i="20" s="1"/>
  <c r="AP317" i="20" s="1"/>
  <c r="AP275" i="20"/>
  <c r="AP282" i="20" s="1"/>
  <c r="AP295" i="20" s="1"/>
  <c r="AP298" i="20" s="1"/>
  <c r="AP260" i="20"/>
  <c r="AP213" i="20" s="1"/>
  <c r="AP215" i="20" s="1"/>
  <c r="R50" i="27" l="1"/>
  <c r="R51" i="27" s="1"/>
  <c r="R61" i="27" s="1"/>
  <c r="R63" i="27" s="1"/>
  <c r="S62" i="27" s="1"/>
  <c r="AP217" i="20"/>
  <c r="AP228" i="20" s="1"/>
  <c r="AP237" i="20" s="1"/>
  <c r="AP249" i="20" s="1"/>
  <c r="R21" i="27"/>
  <c r="R23" i="27"/>
  <c r="AP150" i="20" l="1"/>
  <c r="AP250" i="20"/>
  <c r="R98" i="27"/>
  <c r="R8" i="27" l="1"/>
  <c r="R13" i="27" s="1"/>
  <c r="R113" i="27"/>
  <c r="R114" i="27" s="1"/>
  <c r="R116" i="27" s="1"/>
  <c r="AW31" i="17"/>
  <c r="AW38" i="17" s="1"/>
  <c r="AW449" i="17" s="1"/>
  <c r="AP157" i="20"/>
  <c r="AP164" i="20" s="1"/>
  <c r="AP190" i="20" s="1"/>
  <c r="R104" i="27"/>
  <c r="R101" i="27"/>
  <c r="R103" i="27" s="1"/>
  <c r="AP300" i="20"/>
  <c r="AQ297" i="20"/>
  <c r="BC449" i="21" l="1"/>
  <c r="AW571" i="17"/>
  <c r="R27" i="27"/>
  <c r="R25" i="27"/>
  <c r="AQ120" i="20" l="1"/>
  <c r="AW94" i="3" l="1"/>
  <c r="O18" i="32"/>
  <c r="O20" i="32" s="1"/>
  <c r="O23" i="32" s="1"/>
  <c r="AQ201" i="20"/>
  <c r="AQ337" i="20"/>
  <c r="S41" i="27"/>
  <c r="S42" i="27" s="1"/>
  <c r="S176" i="27" l="1"/>
  <c r="S177" i="27" s="1"/>
  <c r="S180" i="27" s="1"/>
  <c r="S181" i="27" s="1"/>
  <c r="AQ338" i="20"/>
  <c r="AQ341" i="20" s="1"/>
  <c r="AQ342" i="20" s="1"/>
  <c r="AW225" i="3"/>
  <c r="AW97" i="3"/>
  <c r="AW101" i="3" s="1"/>
  <c r="AW107" i="3" s="1"/>
  <c r="AW111" i="3" s="1"/>
  <c r="AW113" i="3" s="1"/>
  <c r="AW119" i="3" s="1"/>
  <c r="AW122" i="3" s="1"/>
  <c r="AW125" i="3" s="1"/>
  <c r="AW134" i="3" l="1"/>
  <c r="AW136" i="3" s="1"/>
  <c r="AW127" i="3" l="1"/>
  <c r="AW214" i="3" s="1"/>
  <c r="AQ78" i="20" s="1"/>
  <c r="S145" i="27" s="1"/>
  <c r="AW131" i="3"/>
  <c r="AW203" i="3" s="1"/>
  <c r="AW130" i="3"/>
  <c r="AW184" i="3" s="1"/>
  <c r="AW240" i="3"/>
  <c r="AQ307" i="20"/>
  <c r="AW140" i="3"/>
  <c r="AW138" i="3"/>
  <c r="AW209" i="3" s="1"/>
  <c r="AQ72" i="20" l="1"/>
  <c r="S140" i="27" s="1"/>
  <c r="S146" i="27" s="1"/>
  <c r="AW210" i="3"/>
  <c r="AQ53" i="20"/>
  <c r="AW204" i="3"/>
  <c r="AQ36" i="20"/>
  <c r="AW185" i="3"/>
  <c r="AW219" i="3" l="1"/>
  <c r="AW264" i="3"/>
  <c r="AW464" i="3" s="1"/>
  <c r="AQ37" i="20"/>
  <c r="AW265" i="3"/>
  <c r="AW465" i="3" s="1"/>
  <c r="BC465" i="21" s="1"/>
  <c r="AW220" i="3"/>
  <c r="AQ54" i="20"/>
  <c r="AQ73" i="20"/>
  <c r="AW215" i="3"/>
  <c r="AQ67" i="20"/>
  <c r="S127" i="27" s="1"/>
  <c r="S131" i="27" s="1"/>
  <c r="S159" i="27" l="1"/>
  <c r="S165" i="27" s="1"/>
  <c r="AQ68" i="20"/>
  <c r="AX58" i="18"/>
  <c r="AW221" i="3"/>
  <c r="AW227" i="3" s="1"/>
  <c r="AW231" i="3" s="1"/>
  <c r="AW237" i="3" s="1"/>
  <c r="AW242" i="3" s="1"/>
  <c r="AW244" i="3" s="1"/>
  <c r="AW250" i="3" s="1"/>
  <c r="AW266" i="3"/>
  <c r="AW466" i="3" s="1"/>
  <c r="BC466" i="21" s="1"/>
  <c r="AQ79" i="20"/>
  <c r="S160" i="27"/>
  <c r="S166" i="27" s="1"/>
  <c r="AX59" i="18"/>
  <c r="BC464" i="21"/>
  <c r="BC572" i="21" s="1"/>
  <c r="AW572" i="3" l="1"/>
  <c r="AQ85" i="20"/>
  <c r="AQ195" i="20"/>
  <c r="AQ202" i="20" s="1"/>
  <c r="S161" i="27"/>
  <c r="S167" i="27" s="1"/>
  <c r="S170" i="27" s="1"/>
  <c r="AX60" i="18"/>
  <c r="AQ175" i="20" s="1"/>
  <c r="AQ180" i="20" l="1"/>
  <c r="S20" i="27" s="1"/>
  <c r="AQ279" i="20"/>
  <c r="S49" i="27"/>
  <c r="AQ88" i="20"/>
  <c r="AQ118" i="20" s="1"/>
  <c r="AQ127" i="20" s="1"/>
  <c r="AQ151" i="20"/>
  <c r="S32" i="27"/>
  <c r="S34" i="27" s="1"/>
  <c r="S44" i="27" s="1"/>
  <c r="AQ253" i="20" l="1"/>
  <c r="S12" i="27"/>
  <c r="S77" i="27"/>
  <c r="S79" i="27" s="1"/>
  <c r="S81" i="27" s="1"/>
  <c r="AQ266" i="20"/>
  <c r="S86" i="27"/>
  <c r="S89" i="27" s="1"/>
  <c r="S93" i="27" s="1"/>
  <c r="AQ304" i="20"/>
  <c r="AQ320" i="20"/>
  <c r="AQ323" i="20" s="1"/>
  <c r="AQ325" i="20" s="1"/>
  <c r="AQ331" i="20" s="1"/>
  <c r="AQ167" i="20"/>
  <c r="BC574" i="21"/>
  <c r="AQ188" i="20" l="1"/>
  <c r="S16" i="27"/>
  <c r="S69" i="27"/>
  <c r="S72" i="27" s="1"/>
  <c r="S74" i="27" s="1"/>
  <c r="AQ309" i="20"/>
  <c r="AQ311" i="20" s="1"/>
  <c r="AQ317" i="20" s="1"/>
  <c r="AQ260" i="20"/>
  <c r="AQ213" i="20" s="1"/>
  <c r="AQ215" i="20" s="1"/>
  <c r="AQ275" i="20"/>
  <c r="AQ282" i="20" s="1"/>
  <c r="AQ295" i="20" s="1"/>
  <c r="AQ298" i="20" s="1"/>
  <c r="S50" i="27" l="1"/>
  <c r="S51" i="27" s="1"/>
  <c r="S61" i="27" s="1"/>
  <c r="S63" i="27" s="1"/>
  <c r="AQ217" i="20"/>
  <c r="AQ228" i="20" s="1"/>
  <c r="AQ237" i="20" s="1"/>
  <c r="AQ249" i="20" s="1"/>
  <c r="S21" i="27"/>
  <c r="S23" i="27"/>
  <c r="AQ250" i="20" l="1"/>
  <c r="AQ150" i="20"/>
  <c r="S98" i="27"/>
  <c r="S101" i="27" l="1"/>
  <c r="S103" i="27" s="1"/>
  <c r="S104" i="27"/>
  <c r="S113" i="27"/>
  <c r="S114" i="27" s="1"/>
  <c r="S116" i="27" s="1"/>
  <c r="S8" i="27"/>
  <c r="S13" i="27" s="1"/>
  <c r="AQ157" i="20"/>
  <c r="AQ164" i="20" s="1"/>
  <c r="AQ190" i="20" s="1"/>
  <c r="AQ300" i="20"/>
  <c r="S27" i="27" l="1"/>
  <c r="S25" i="27"/>
</calcChain>
</file>

<file path=xl/comments1.xml><?xml version="1.0" encoding="utf-8"?>
<comments xmlns="http://schemas.openxmlformats.org/spreadsheetml/2006/main">
  <authors>
    <author>Travis Siewert</author>
  </authors>
  <commentList>
    <comment ref="E337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Adjusted for the difference in Smelter Surplus Sales and the Avoidable Base.</t>
        </r>
      </text>
    </comment>
  </commentList>
</comments>
</file>

<file path=xl/comments2.xml><?xml version="1.0" encoding="utf-8"?>
<comments xmlns="http://schemas.openxmlformats.org/spreadsheetml/2006/main">
  <authors>
    <author>Travis Siewert</author>
  </authors>
  <commentList>
    <comment ref="B175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Put DB Pension expense  (included in labor above) in accounts payable until funded in December of each year.</t>
        </r>
      </text>
    </comment>
  </commentList>
</comments>
</file>

<file path=xl/comments3.xml><?xml version="1.0" encoding="utf-8"?>
<comments xmlns="http://schemas.openxmlformats.org/spreadsheetml/2006/main">
  <authors>
    <author>Travis Siewert</author>
  </authors>
  <commentList>
    <comment ref="E69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Subtracted Interest Expense Savings on $35 million Transition Reserve Prepayment</t>
        </r>
      </text>
    </comment>
    <comment ref="E70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Added Interest Expense Savings on $35 million Transition Reserve Prepayment</t>
        </r>
      </text>
    </comment>
    <comment ref="Q91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Adjusted for addl. Borrowing when RUS Series B Note is refinanced</t>
        </r>
      </text>
    </comment>
    <comment ref="D98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Includes Transition Reserve</t>
        </r>
      </text>
    </comment>
    <comment ref="D102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Cost of Electric Service                   523,067,936.42
- Capitalized Interest                            -683,534.88
- Power Supply Transmission             12,128,920.38
- Depreciation Expense                      36,264,224.35
- Amortization Debt Exp                          102,603.23
- Ambac Amortization                           1,282,714.82
- Interest Exp RUS Series B Note         6,498,749.92</t>
        </r>
      </text>
    </comment>
    <comment ref="E102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Cost of Electric Service                   556,657,192.15
- Capitalized Interest                            -548,206.00
- Depreciation Expense                      37,462,358.53
- Amortization Debt Exp                          137,560.03
- Ambac Amortization                              207,794.50
- Interest Exp RUS Series B Note         6,883,862.60</t>
        </r>
      </text>
    </comment>
    <comment ref="F102" authorId="0">
      <text>
        <r>
          <rPr>
            <b/>
            <sz val="8"/>
            <color indexed="81"/>
            <rFont val="Tahoma"/>
            <family val="2"/>
          </rPr>
          <t>Travis Siewert:</t>
        </r>
        <r>
          <rPr>
            <sz val="8"/>
            <color indexed="81"/>
            <rFont val="Tahoma"/>
            <family val="2"/>
          </rPr>
          <t xml:space="preserve">
Cost of Electric Service                   558,089,760.08
- Capitalized Interest                            -766,677.00
- Depreciation Expense                      44,285,610.07
- Amortization Debt Exp                          238,621.24
- Ambac Amortization                              208,363.80
- Interest Exp RUS Series B Note         7,291,799.68</t>
        </r>
      </text>
    </comment>
  </commentList>
</comments>
</file>

<file path=xl/sharedStrings.xml><?xml version="1.0" encoding="utf-8"?>
<sst xmlns="http://schemas.openxmlformats.org/spreadsheetml/2006/main" count="3687" uniqueCount="1035">
  <si>
    <t>454.000</t>
  </si>
  <si>
    <t>RENT FROM ELECTRIC PROPERTY</t>
  </si>
  <si>
    <t>456.000</t>
  </si>
  <si>
    <t>Bank</t>
  </si>
  <si>
    <t>Purchased Allowances</t>
  </si>
  <si>
    <t>Balance Sheet ($mm)</t>
  </si>
  <si>
    <t>Net Utility Plant</t>
  </si>
  <si>
    <t>Cash &amp; Investments</t>
  </si>
  <si>
    <t>Receivables, Inventories, &amp; Other</t>
  </si>
  <si>
    <t>Equities &amp; Liabilities</t>
  </si>
  <si>
    <t>Equities</t>
  </si>
  <si>
    <t>Deferred Revenue - Economic Reserves</t>
  </si>
  <si>
    <t>Payables &amp; Other</t>
  </si>
  <si>
    <t>Equities / Total Capitalization</t>
  </si>
  <si>
    <t>TIER ($mm)</t>
  </si>
  <si>
    <t>Margins</t>
  </si>
  <si>
    <t>Adjustment per Smelter Agreement</t>
  </si>
  <si>
    <t>Numerator for Contract TIER</t>
  </si>
  <si>
    <t>Numerator for Conventional TIER</t>
  </si>
  <si>
    <t>Plus: Interest Expense</t>
  </si>
  <si>
    <t>Denominator - Interest Expense</t>
  </si>
  <si>
    <t>Debt Issuance Cost</t>
  </si>
  <si>
    <t>Days Cash on Hand ($mm)</t>
  </si>
  <si>
    <t>Average Cash Balance</t>
  </si>
  <si>
    <t>Lines of Credit</t>
  </si>
  <si>
    <t>Days Liquidity, including Lines of Credit</t>
  </si>
  <si>
    <t>Days of Liquidity, excluding Lines of Credit</t>
  </si>
  <si>
    <t>Rate Derivation * ($/MWh)</t>
  </si>
  <si>
    <t>Non-Smelter Members</t>
  </si>
  <si>
    <t>Surcredits</t>
  </si>
  <si>
    <t>Rebate (Accrual)</t>
  </si>
  <si>
    <t>Blended Rate</t>
  </si>
  <si>
    <t>Additional Smelter Charge</t>
  </si>
  <si>
    <t>Rebate (accrued)</t>
  </si>
  <si>
    <t>Non-FAC PPA</t>
  </si>
  <si>
    <t>Rate Stabilization</t>
  </si>
  <si>
    <t xml:space="preserve">Large Industrial Rate @ 98% </t>
  </si>
  <si>
    <t>OTHER ELECTRIC REVENUES</t>
  </si>
  <si>
    <t>456.100</t>
  </si>
  <si>
    <t>OTHER ELEC REV-POWER SUPPLY</t>
  </si>
  <si>
    <t>VIII.  Debt Service - Cash Flow (M$)</t>
  </si>
  <si>
    <t>RUS Series A Note (GAAP)</t>
  </si>
  <si>
    <t>RUS Series B Note (GAAP)</t>
  </si>
  <si>
    <t>.</t>
  </si>
  <si>
    <t>500.110</t>
  </si>
  <si>
    <t>501.110</t>
  </si>
  <si>
    <t>FUEL-COAL-REID</t>
  </si>
  <si>
    <t>501.130</t>
  </si>
  <si>
    <t>FUEL-OIL-REID</t>
  </si>
  <si>
    <t>501.140</t>
  </si>
  <si>
    <t>FUEL-NATURAL GAS-REID</t>
  </si>
  <si>
    <t>501.210</t>
  </si>
  <si>
    <t>FUEL-COAL-COLEMAN</t>
  </si>
  <si>
    <t>501.240</t>
  </si>
  <si>
    <t>FUEL-NATURAL GAS-COLEMAN</t>
  </si>
  <si>
    <t>Other Operating Revenue</t>
  </si>
  <si>
    <t>501.310</t>
  </si>
  <si>
    <t>FUEL-COAL-GREEN</t>
  </si>
  <si>
    <t>501.330</t>
  </si>
  <si>
    <t>FUEL-OIL-GREEN</t>
  </si>
  <si>
    <t>501.410</t>
  </si>
  <si>
    <t>FUEL-COAL-WILSON</t>
  </si>
  <si>
    <t>501.430</t>
  </si>
  <si>
    <t>FUEL-OIL-WILSON</t>
  </si>
  <si>
    <t>Ending Cash Balances excl. Transition Reserve)</t>
  </si>
  <si>
    <t>Base Rate ($/ MWH)</t>
  </si>
  <si>
    <t>Member Revenue (Charge to Members)</t>
  </si>
  <si>
    <t>Statement of Operations ($mm)</t>
  </si>
  <si>
    <t>Other - Net</t>
  </si>
  <si>
    <t>NRUCFC</t>
  </si>
  <si>
    <t>509.100</t>
  </si>
  <si>
    <t>SEPA Demand Component &amp; Reliant Fee</t>
  </si>
  <si>
    <t>SEPA Demand (M$)</t>
  </si>
  <si>
    <t>SEPA Energy (M$)</t>
  </si>
  <si>
    <t>Purchased Power Costs Includable in FAC ($M)</t>
  </si>
  <si>
    <t>check</t>
  </si>
  <si>
    <t>Sale Excess Allowances = 1, Bank = 0</t>
  </si>
  <si>
    <t>Interest Expense Savings (Tran. Res. Funds)</t>
  </si>
  <si>
    <t>Interest Expense Reduction Transition Res. Funds</t>
  </si>
  <si>
    <t>Plus: Interest Expense plus Tran. Res Interest Savings</t>
  </si>
  <si>
    <t>Interest Expense plus Tran. Res Interest Savings</t>
  </si>
  <si>
    <t>Denominator for Conventional TIER</t>
  </si>
  <si>
    <t>514.100</t>
  </si>
  <si>
    <t>555.110</t>
  </si>
  <si>
    <t>PURCHASED POWER-SEPA</t>
  </si>
  <si>
    <t>Days - Year</t>
  </si>
  <si>
    <t>Days - Month</t>
  </si>
  <si>
    <t>Days-year</t>
  </si>
  <si>
    <t>Days-Month</t>
  </si>
  <si>
    <t>PURCHASED POWER-HMP&amp;L STATION TWO</t>
  </si>
  <si>
    <t>PURCHASED POWER-HMP&amp;L-STATION TWO-ENVIRON COMPL</t>
  </si>
  <si>
    <t>PURCHASED POWER-RELIANT/ACES</t>
  </si>
  <si>
    <t>555.193</t>
  </si>
  <si>
    <t>PURCHASED POWER-DOMTAR GREEN</t>
  </si>
  <si>
    <t>OTHER EXP--POWER SUPPLY-ARBITRAGE</t>
  </si>
  <si>
    <t>Pasture Rent/Crop Income/Oil Income</t>
  </si>
  <si>
    <t>SO2 Inventory Weighted Average Price</t>
  </si>
  <si>
    <t>SO2 Allowance Inventory Expensed</t>
  </si>
  <si>
    <t>Allowances Expensed</t>
  </si>
  <si>
    <t>TRANSMISSION OF ELECTRICITY BY OTHERS</t>
  </si>
  <si>
    <t>567.200</t>
  </si>
  <si>
    <t>RENTS-STATIONS</t>
  </si>
  <si>
    <t>569.100</t>
  </si>
  <si>
    <t>MAINT STRUCTURES-LABOR</t>
  </si>
  <si>
    <t>MAINT STRUCTURES-EXPENSE</t>
  </si>
  <si>
    <t>INFORMATION &amp; INSTRUCTION ADV EXP</t>
  </si>
  <si>
    <t>ADVERTISING EXPENSE</t>
  </si>
  <si>
    <t>ADMINISTRATIVE AND GENERAL SALARIES</t>
  </si>
  <si>
    <t>OFFICE SUPPLIES AND EXPENSES</t>
  </si>
  <si>
    <t>OFFICE SUPPLIES AND EXPENSES--POWER SUPPLY</t>
  </si>
  <si>
    <t>JE For Allowances</t>
  </si>
  <si>
    <t>Insurance - Cash Payment</t>
  </si>
  <si>
    <t>Prepaid Balance</t>
  </si>
  <si>
    <t>OUTSIDE SERVICES EMPLOYED</t>
  </si>
  <si>
    <t>925.100</t>
  </si>
  <si>
    <t>926.100</t>
  </si>
  <si>
    <t>Deferred Debit-Hanson Site Lease</t>
  </si>
  <si>
    <t>186.700</t>
  </si>
  <si>
    <t>Hanson Site Lease Expense</t>
  </si>
  <si>
    <t>Budget / Financial Plan Adjustments</t>
  </si>
  <si>
    <t>REGULATORY COMMISSION EXPENSES</t>
  </si>
  <si>
    <t>MISO Charges</t>
  </si>
  <si>
    <t>931.100</t>
  </si>
  <si>
    <t>RENTS-ADMINISTRATIVE &amp; GENERAL</t>
  </si>
  <si>
    <t>Total Costs for Passthrough ($/ MWh Sold) Adjusted for Economic PPA</t>
  </si>
  <si>
    <t>CoBank</t>
  </si>
  <si>
    <t>CFC</t>
  </si>
  <si>
    <t>Line of Credit (Upfront Fee)</t>
  </si>
  <si>
    <t>NOx Reagents - Green</t>
  </si>
  <si>
    <t>Interest Income</t>
  </si>
  <si>
    <t>Income Statement</t>
  </si>
  <si>
    <t>Total</t>
  </si>
  <si>
    <t>I.  Sales (TWH)</t>
  </si>
  <si>
    <t>Rural</t>
  </si>
  <si>
    <t>Large Industrial</t>
  </si>
  <si>
    <t>Century</t>
  </si>
  <si>
    <t>Alcan</t>
  </si>
  <si>
    <t>Market</t>
  </si>
  <si>
    <t>Total Sales</t>
  </si>
  <si>
    <t>II.  Rates ($/ MWH Sold, unless otherwise noted)</t>
  </si>
  <si>
    <t>Load Factor (%)</t>
  </si>
  <si>
    <t>Demand ($/ KW-mo.)</t>
  </si>
  <si>
    <t>Energy ($/ MWH)</t>
  </si>
  <si>
    <t>MRDA</t>
  </si>
  <si>
    <t>Net Rate ($/ MWH)</t>
  </si>
  <si>
    <t>PCA - Net</t>
  </si>
  <si>
    <t>Economic Reserve</t>
  </si>
  <si>
    <t>Interest compounded - RUS Series A Note</t>
  </si>
  <si>
    <t>Inventories</t>
  </si>
  <si>
    <t>Net principal payments on debt obligations</t>
  </si>
  <si>
    <t>Net proceeds from restricted investments</t>
  </si>
  <si>
    <t>Cash and Cash Equivalents - Beginning of Period</t>
  </si>
  <si>
    <t>Cash and Cash Equivalents - End of Period</t>
  </si>
  <si>
    <t>Other property</t>
  </si>
  <si>
    <t>Accounts receivable</t>
  </si>
  <si>
    <t>Other current assets</t>
  </si>
  <si>
    <t>Accounts payable</t>
  </si>
  <si>
    <t>Taxes accrued</t>
  </si>
  <si>
    <t>Other accruals</t>
  </si>
  <si>
    <t>Debt issuance cost</t>
  </si>
  <si>
    <t>TIER Related Rebate</t>
  </si>
  <si>
    <t>Effective Rate ($/ MWH)</t>
  </si>
  <si>
    <t xml:space="preserve">Power Factor Penalty/ Demand Cr. (Lrg. Ind.) </t>
  </si>
  <si>
    <t>Effective Rate</t>
  </si>
  <si>
    <t>Smelters</t>
  </si>
  <si>
    <t>Base Rate</t>
  </si>
  <si>
    <t>TIER Adjustment</t>
  </si>
  <si>
    <t>Smelter Rate Subject to Price Cap</t>
  </si>
  <si>
    <t>PCA</t>
  </si>
  <si>
    <t>Total Expenses</t>
  </si>
  <si>
    <t>Total Revenue</t>
  </si>
  <si>
    <t>Net Income</t>
  </si>
  <si>
    <t>Interest Expense</t>
  </si>
  <si>
    <t>TIER</t>
  </si>
  <si>
    <t>Earnings</t>
  </si>
  <si>
    <t>Plus: Interest Expense, Financing Fees, and Restucturing</t>
  </si>
  <si>
    <t>Less: Interest on Sequestered Funds</t>
  </si>
  <si>
    <t>Plus Sale-Leaseback Interest</t>
  </si>
  <si>
    <t>Divided by</t>
  </si>
  <si>
    <t>Interest Expense, Financing Fees, and Restructuring</t>
  </si>
  <si>
    <t>Target TIER</t>
  </si>
  <si>
    <t>Restructuring</t>
  </si>
  <si>
    <t>TIER Adjustment Rebate</t>
  </si>
  <si>
    <t>Amount over TIER Target ($M)</t>
  </si>
  <si>
    <t>Total Sales (TWh) - excluding Market</t>
  </si>
  <si>
    <t>TIER Adjustment Increase</t>
  </si>
  <si>
    <t>Amount under TIER Target ($M)</t>
  </si>
  <si>
    <t>Total Smelter (TWh)</t>
  </si>
  <si>
    <t>TIER Increase Rate $/MWh</t>
  </si>
  <si>
    <t>Maximum Rate Increase $/MWh</t>
  </si>
  <si>
    <t>Effective TIER Rate Increase $/MWh</t>
  </si>
  <si>
    <t>Amount Left for GRC ($M) prior to RMF</t>
  </si>
  <si>
    <t>Interest Rate</t>
  </si>
  <si>
    <t>Additional Funding from Interest</t>
  </si>
  <si>
    <t>Use of Fund - PCA</t>
  </si>
  <si>
    <t>Use of Fund - GRC</t>
  </si>
  <si>
    <t>Non-Smelter Economic Reserve</t>
  </si>
  <si>
    <t>A.  FAC</t>
  </si>
  <si>
    <t>Fuel Costs ($M)</t>
  </si>
  <si>
    <t>Total Costs for Passthrough ($/ MWh Sold)</t>
  </si>
  <si>
    <t>Fuel Cost Base ($/MWh)</t>
  </si>
  <si>
    <t>FAC ($/MWh)</t>
  </si>
  <si>
    <t>B.  PPA</t>
  </si>
  <si>
    <t>Operating Expenditures</t>
  </si>
  <si>
    <t>Debt Service Coverage</t>
  </si>
  <si>
    <t>Depreciation &amp; Amortization</t>
  </si>
  <si>
    <t>Numerator for DSCR</t>
  </si>
  <si>
    <t>Denominator for DSCR</t>
  </si>
  <si>
    <t>Debt Service Coverage Ratio</t>
  </si>
  <si>
    <t>Principal Due on Long-Term Debt</t>
  </si>
  <si>
    <t>RUS Series A Note Prepaid Status</t>
  </si>
  <si>
    <t>Purchased Power Cost Base ($/MWh)</t>
  </si>
  <si>
    <t>Purchase Power Passthrough ($/MWh)</t>
  </si>
  <si>
    <t>HMPL</t>
  </si>
  <si>
    <t>CSAPR Capital Spend (Net of City)</t>
  </si>
  <si>
    <t>MATS Capital Spend (Net of City)</t>
  </si>
  <si>
    <t>Cumulative CSAPR Capital In-Service (Net of City)</t>
  </si>
  <si>
    <t>Cumulative MATS Capital In-Service (Net of City)</t>
  </si>
  <si>
    <t>Capitalized Interest CSAPR</t>
  </si>
  <si>
    <t>Capitalized Interest MATS</t>
  </si>
  <si>
    <t>Total Capital In-Service(Including Cap. Int.)</t>
  </si>
  <si>
    <t>Cost Allocation</t>
  </si>
  <si>
    <t>ES Rate ($/MWh)</t>
  </si>
  <si>
    <t>Smelter</t>
  </si>
  <si>
    <t>Average</t>
  </si>
  <si>
    <t>C.  Environmental Surcharge</t>
  </si>
  <si>
    <t>Eligible Cost ($M)</t>
  </si>
  <si>
    <t>Env. Surcharge Cost Base ($/MWh)</t>
  </si>
  <si>
    <t>Environmental Surcharge Passthrough ($/MWh)</t>
  </si>
  <si>
    <t>1 - FAC + Environmental Surcharge to Members</t>
  </si>
  <si>
    <t>Rurals</t>
  </si>
  <si>
    <t>FAC</t>
  </si>
  <si>
    <t>Environmental Surcharge</t>
  </si>
  <si>
    <t>Large Industrials</t>
  </si>
  <si>
    <t>2 - FAC + PPA + Environmental Surcharge  to Smelters</t>
  </si>
  <si>
    <t>PPA</t>
  </si>
  <si>
    <t>Surcredit</t>
  </si>
  <si>
    <t>unwind allocation</t>
  </si>
  <si>
    <t>Rural Revenue</t>
  </si>
  <si>
    <t>Large Industrial Revenue</t>
  </si>
  <si>
    <t>Smelter Revenue</t>
  </si>
  <si>
    <t>Market Revenue</t>
  </si>
  <si>
    <t>TIER Rebate Rate $/MWh     (Smelter)</t>
  </si>
  <si>
    <t>TIER Rebate Rate $/MWh     (Rural)</t>
  </si>
  <si>
    <t>TIER Rebate Rate $/MWh     (Large Industrial)</t>
  </si>
  <si>
    <t>Rural Base Rate Revenue</t>
  </si>
  <si>
    <t>$/kWh</t>
  </si>
  <si>
    <t>Large Industrial Base Rate Revenue</t>
  </si>
  <si>
    <t>Add Back Prior YR Tier Rebate Rural</t>
  </si>
  <si>
    <t>Add Back Prior YR Tier Rebate Large Industrial</t>
  </si>
  <si>
    <t>Purchased Power Cost not Included in Member Rates ($M)</t>
  </si>
  <si>
    <t>EXPENSE DEFERRAL METHOD</t>
  </si>
  <si>
    <t>Income Statement (Change in Regulatory Account)</t>
  </si>
  <si>
    <t>1.  Deferral</t>
  </si>
  <si>
    <t>Power Purchase Expense</t>
  </si>
  <si>
    <t>Debit</t>
  </si>
  <si>
    <t>Credit</t>
  </si>
  <si>
    <t>2.  Recognition of Prior Year Balance (Set to Start in 2013)</t>
  </si>
  <si>
    <t>Total Sales (TWh)</t>
  </si>
  <si>
    <t xml:space="preserve">Balance Sheet </t>
  </si>
  <si>
    <t>Donations</t>
  </si>
  <si>
    <t>Assets</t>
  </si>
  <si>
    <t>Cash</t>
  </si>
  <si>
    <t>Regulatory Asset</t>
  </si>
  <si>
    <t>Liabilities &amp; Equity</t>
  </si>
  <si>
    <t>Equity</t>
  </si>
  <si>
    <t>Regulatory Liability</t>
  </si>
  <si>
    <t>Rural Load</t>
  </si>
  <si>
    <t>Large Industrial Load</t>
  </si>
  <si>
    <t>Total non smelter member load</t>
  </si>
  <si>
    <t>Implied Contractual Rate Increase</t>
  </si>
  <si>
    <t>Implied Contractual Increases  - GRA</t>
  </si>
  <si>
    <t>Contractual Tier Adjustment</t>
  </si>
  <si>
    <t>Plus: Imputed Contractual Rate Increase</t>
  </si>
  <si>
    <t>Non-Smelter Member Blend</t>
  </si>
  <si>
    <t>Base Rate after GRA's</t>
  </si>
  <si>
    <t>Smelter Surcharge 1                   $MM</t>
  </si>
  <si>
    <t>Smelter Surcharge 2                   $MM</t>
  </si>
  <si>
    <t>Contractual Fuel Cost Smelter Agreement</t>
  </si>
  <si>
    <t>Actual Minus Contractual</t>
  </si>
  <si>
    <t>Smelter Contractual Fixed $/MWh</t>
  </si>
  <si>
    <t>Contract Min. Max (Must be Between 0 and .6) $/MWh</t>
  </si>
  <si>
    <t>II.  Rates, Accrual Based ($/ MWH Sold, unless otherwise noted)</t>
  </si>
  <si>
    <t>Net</t>
  </si>
  <si>
    <t>Operating Receipts</t>
  </si>
  <si>
    <t>Offsystem</t>
  </si>
  <si>
    <t>Transmission</t>
  </si>
  <si>
    <t>Gain on Sale of Allowances</t>
  </si>
  <si>
    <t>Interest Earnings</t>
  </si>
  <si>
    <t>Total Receipts</t>
  </si>
  <si>
    <t>Interest Compounded to Principal</t>
  </si>
  <si>
    <t>Operating Disbursements</t>
  </si>
  <si>
    <t>Fuel Costs</t>
  </si>
  <si>
    <t>Transmission O&amp;M</t>
  </si>
  <si>
    <t>A&amp;G</t>
  </si>
  <si>
    <t>Working Capital</t>
  </si>
  <si>
    <t>Other</t>
  </si>
  <si>
    <t>Total Disbursements</t>
  </si>
  <si>
    <t>Operating Receipts less Disbursements</t>
  </si>
  <si>
    <t>Capital Expenditures</t>
  </si>
  <si>
    <t>Generation</t>
  </si>
  <si>
    <t>Total Capital Expenditures</t>
  </si>
  <si>
    <t>Income Taxes from Operations</t>
  </si>
  <si>
    <t>Net Pre-Finance Cash Flow</t>
  </si>
  <si>
    <t>Financing</t>
  </si>
  <si>
    <t>Principal</t>
  </si>
  <si>
    <t>Interest</t>
  </si>
  <si>
    <t>Line of Credit</t>
  </si>
  <si>
    <t>Aggregate Debt Service (incl. Line of Credit)</t>
  </si>
  <si>
    <t>Post-Finance Cash Flow</t>
  </si>
  <si>
    <t>Unwind Transaction</t>
  </si>
  <si>
    <t>Cash Proceeds</t>
  </si>
  <si>
    <t>Debt Reduction</t>
  </si>
  <si>
    <t>Misc. Transaction</t>
  </si>
  <si>
    <t>Net Before Member Reserves</t>
  </si>
  <si>
    <t>Net Before Transition Reserve</t>
  </si>
  <si>
    <t>Ending Cash Balances (Incl. Transition Reserve)</t>
  </si>
  <si>
    <t>Total Utility Plant in Service</t>
  </si>
  <si>
    <t>Other Property</t>
  </si>
  <si>
    <t>Transition Reserve</t>
  </si>
  <si>
    <t>Accounts Receivable</t>
  </si>
  <si>
    <t>Other Current Assets</t>
  </si>
  <si>
    <t>Accounts Payable</t>
  </si>
  <si>
    <t>Taxes Accrued</t>
  </si>
  <si>
    <t>Interest Accrued</t>
  </si>
  <si>
    <t>Change in Working Capital</t>
  </si>
  <si>
    <t>Materials, Supplies &amp; Other</t>
  </si>
  <si>
    <t>Other Accruals</t>
  </si>
  <si>
    <t>Contract TIER</t>
  </si>
  <si>
    <t>Plus: Imputed Rate Increase in 2010</t>
  </si>
  <si>
    <t>Less: Offset to Imputed Rate Increase in 2010</t>
  </si>
  <si>
    <t>Conventional TIER</t>
  </si>
  <si>
    <t>Plus Income Tax</t>
  </si>
  <si>
    <t>Taxes</t>
  </si>
  <si>
    <t>Beginning Principal</t>
  </si>
  <si>
    <t>Debt Service</t>
  </si>
  <si>
    <t>Accretion Rate</t>
  </si>
  <si>
    <t>PCB</t>
  </si>
  <si>
    <t>Line of Credit Fee</t>
  </si>
  <si>
    <t>Maximum Addl. Smelter Charge $/MWh   (Contract)</t>
  </si>
  <si>
    <t>Amount added to arrive at Base Rate   (Contract)</t>
  </si>
  <si>
    <t>Environmental Eligible Cost ($M)</t>
  </si>
  <si>
    <t>VOM ($/M)</t>
  </si>
  <si>
    <t>Gain on Sale of Allowances ($/M)</t>
  </si>
  <si>
    <t>Contract Amount added to LI @ 98% Load Facter</t>
  </si>
  <si>
    <t>Purch. Power - SEPA + MKT ($M)</t>
  </si>
  <si>
    <t>Purch. Power - HMPL ($M)</t>
  </si>
  <si>
    <t>($M)</t>
  </si>
  <si>
    <t>Labor</t>
  </si>
  <si>
    <t>Property Insurance</t>
  </si>
  <si>
    <t>Property Tax</t>
  </si>
  <si>
    <t>Baseline</t>
  </si>
  <si>
    <t>Coleman</t>
  </si>
  <si>
    <t>Green</t>
  </si>
  <si>
    <t>HMP&amp;L</t>
  </si>
  <si>
    <t>Reid</t>
  </si>
  <si>
    <t>Wilson</t>
  </si>
  <si>
    <t>Inflation</t>
  </si>
  <si>
    <t>Phase I</t>
  </si>
  <si>
    <t>Phase II</t>
  </si>
  <si>
    <t xml:space="preserve">Generation </t>
  </si>
  <si>
    <t>BigRivers Capex</t>
  </si>
  <si>
    <t>BigRivers Generation</t>
  </si>
  <si>
    <t>HMP&amp;L Station Two</t>
  </si>
  <si>
    <t>Domtar Revenue</t>
  </si>
  <si>
    <t>CWIP</t>
  </si>
  <si>
    <t>Capitalized Interest</t>
  </si>
  <si>
    <t>Beginning Balance</t>
  </si>
  <si>
    <t>Balance</t>
  </si>
  <si>
    <t>Ending Balance</t>
  </si>
  <si>
    <t>Extraordinary Items</t>
  </si>
  <si>
    <t>General Rate Adjustment - Rural</t>
  </si>
  <si>
    <t>General Rate Adjustment - Large Industrial</t>
  </si>
  <si>
    <t>General Rate Adjustment - Rural (%)</t>
  </si>
  <si>
    <t>General Rate Adjustment - Large Industrial (%)</t>
  </si>
  <si>
    <t>Patronage</t>
  </si>
  <si>
    <t>Debt</t>
  </si>
  <si>
    <t>Coupon</t>
  </si>
  <si>
    <t>Principal (%)</t>
  </si>
  <si>
    <t>SEPA Power Purchases</t>
  </si>
  <si>
    <t>Station Two Purchases</t>
  </si>
  <si>
    <t>Market Purchases</t>
  </si>
  <si>
    <t>Purch. Power - SEPA</t>
  </si>
  <si>
    <t>Purch. Power - MKT ($M)</t>
  </si>
  <si>
    <t>JE For Purchase Power</t>
  </si>
  <si>
    <t>JE Off-System Sales</t>
  </si>
  <si>
    <t>Sales For Resale-Other-ACES</t>
  </si>
  <si>
    <t>Cobank Patronage</t>
  </si>
  <si>
    <t>Total Coal Purchased ($M)</t>
  </si>
  <si>
    <t>Coal Purchased per Plant</t>
  </si>
  <si>
    <t>Interest+Remarketing</t>
  </si>
  <si>
    <t>Accretion</t>
  </si>
  <si>
    <t>Beginning  Balance</t>
  </si>
  <si>
    <t>Amortization</t>
  </si>
  <si>
    <t>Total Interest</t>
  </si>
  <si>
    <t>ARVP Accretion</t>
  </si>
  <si>
    <t>AMBAC Amortization (PCB) A/C 165</t>
  </si>
  <si>
    <t>Total Entries Above</t>
  </si>
  <si>
    <t>Equities / Total Assets</t>
  </si>
  <si>
    <t>Line of Credit Advances</t>
  </si>
  <si>
    <t>Check</t>
  </si>
  <si>
    <t>JE's</t>
  </si>
  <si>
    <t>Interest Exp</t>
  </si>
  <si>
    <t>Income Tax Payments</t>
  </si>
  <si>
    <t>Property Tax Payments</t>
  </si>
  <si>
    <t>Sequestered Cash - Member Transition Reserve</t>
  </si>
  <si>
    <t>Beginning Bal</t>
  </si>
  <si>
    <t>Ending Bal</t>
  </si>
  <si>
    <t>Member Sales (TWh)</t>
  </si>
  <si>
    <t>Rates (Cash Method)</t>
  </si>
  <si>
    <t>Base</t>
  </si>
  <si>
    <t>Regulatory Account Charge</t>
  </si>
  <si>
    <t>GRA</t>
  </si>
  <si>
    <t xml:space="preserve">FAC </t>
  </si>
  <si>
    <t>Env. Surcharge</t>
  </si>
  <si>
    <t>Surcharge Rebate</t>
  </si>
  <si>
    <t>Revenues Delta($M)</t>
  </si>
  <si>
    <t>LI</t>
  </si>
  <si>
    <t>Fuel ($/ MMBtu)</t>
  </si>
  <si>
    <t>Coal used (ktons)</t>
  </si>
  <si>
    <t>Fuel Consumption (MMBtu)</t>
  </si>
  <si>
    <t>Startup Costs (M$)</t>
  </si>
  <si>
    <t>Total Fee</t>
  </si>
  <si>
    <t>Electric Energy Revenues</t>
  </si>
  <si>
    <t>Income From Leased Property Net</t>
  </si>
  <si>
    <t>Other Operating Revenue and Income</t>
  </si>
  <si>
    <t>Operating Expense-Production-Excluding Fuel</t>
  </si>
  <si>
    <t>Operating Expense-Production-Fuel</t>
  </si>
  <si>
    <t>Operating Expense-Other Power Supply</t>
  </si>
  <si>
    <t>Operating Expense-Transmission</t>
  </si>
  <si>
    <t>Operating Expense-Distribution</t>
  </si>
  <si>
    <t>Operating Expense-Customer Accounts</t>
  </si>
  <si>
    <t>Operating Expense-Customer Service and Information</t>
  </si>
  <si>
    <t>Operating Expense-Sales</t>
  </si>
  <si>
    <t>Operating Expense-Administrative and General</t>
  </si>
  <si>
    <t>Maintenance Expense-Production</t>
  </si>
  <si>
    <t>Maintenance Expense-Transmission</t>
  </si>
  <si>
    <t>Maintenance Expense-Distribution</t>
  </si>
  <si>
    <t>Maintenance Expense-General Plant</t>
  </si>
  <si>
    <t>Depreciation and Amortization Expense</t>
  </si>
  <si>
    <t>Interest on Long-Term Debt</t>
  </si>
  <si>
    <t>Interest Charged to Construction - Credit</t>
  </si>
  <si>
    <t>Debt / Total Assets</t>
  </si>
  <si>
    <t>Other Interest Expense</t>
  </si>
  <si>
    <t>Asset Retirement Obligation</t>
  </si>
  <si>
    <t>Hanson Site Lease</t>
  </si>
  <si>
    <t>Other Deductions</t>
  </si>
  <si>
    <t>Allowance For Funds Used During Construction</t>
  </si>
  <si>
    <t>North Star</t>
  </si>
  <si>
    <t>Total Cost of Electric Service (millions of $)</t>
  </si>
  <si>
    <t>Non-Member Revenues (millions of $)</t>
  </si>
  <si>
    <t>Smelter and Non-Smelter Member Sales (TWh)</t>
  </si>
  <si>
    <t>$/MWh</t>
  </si>
  <si>
    <t>Income (Loss) From Equity Investments</t>
  </si>
  <si>
    <t>Other Non-Operating Income (Net)</t>
  </si>
  <si>
    <t>Generation and Transmission Capital Credits</t>
  </si>
  <si>
    <t>Other Capital Credits and Patronage Dividends</t>
  </si>
  <si>
    <t>IV. Balance Sheet</t>
  </si>
  <si>
    <t>Construction Work in Progress</t>
  </si>
  <si>
    <t>TOTAL OPER. REVENUES &amp; PATRONAGE CAPITAL</t>
  </si>
  <si>
    <t>TOTAL OPERATION EXPENSE</t>
  </si>
  <si>
    <t>TOTAL MAINTENANCE EXPENSE</t>
  </si>
  <si>
    <t>TOTAL COST OF ELECTRIC SERVICE</t>
  </si>
  <si>
    <t>OPERATING MARGINS</t>
  </si>
  <si>
    <t>NET PATRONAGE CAPITAL OR MARGIN</t>
  </si>
  <si>
    <t>Accum. Provision for Depreciation and Amort.</t>
  </si>
  <si>
    <t>NET UTILITY PLANT</t>
  </si>
  <si>
    <t>Non-Utility Property (Net)</t>
  </si>
  <si>
    <t>Invest. In Assoc. Org - Patronage Capital</t>
  </si>
  <si>
    <t>Invest. In Assoc. - Other - General Funds</t>
  </si>
  <si>
    <t>Other Investments</t>
  </si>
  <si>
    <t>Special Funds</t>
  </si>
  <si>
    <t>TOTAL OTHER PROPERTY AND INVESTMENTS</t>
  </si>
  <si>
    <t>Cash - General Funds</t>
  </si>
  <si>
    <t>Cash - Construction Funds - Trustee</t>
  </si>
  <si>
    <t>Special Deposits</t>
  </si>
  <si>
    <t>Temporary Investments</t>
  </si>
  <si>
    <t>Other / IT</t>
  </si>
  <si>
    <t>Accounts Receivable - Other (Net)</t>
  </si>
  <si>
    <t>Fuel Stock</t>
  </si>
  <si>
    <t>Materials and Supplies - Other</t>
  </si>
  <si>
    <t>Prepayments</t>
  </si>
  <si>
    <t>Other Current and Accrued Assets</t>
  </si>
  <si>
    <t>Unamortized Debt Discount &amp; Extraor. Prop. Losses</t>
  </si>
  <si>
    <t>Reid CT</t>
  </si>
  <si>
    <t>Natural Gas Purchased / Fuel Oil</t>
  </si>
  <si>
    <t>Total Natural Gas / Fuel Oil - Reid</t>
  </si>
  <si>
    <t>Regulatory Assets</t>
  </si>
  <si>
    <t>Other Deferred Debits</t>
  </si>
  <si>
    <t>Accumulated Deferred Income Taxes</t>
  </si>
  <si>
    <t>TOTAL ASSETS AND OTHER DEBITS</t>
  </si>
  <si>
    <t>TOTAL MARGINS &amp; EQUITY</t>
  </si>
  <si>
    <t>Long-Term Debt - RUS</t>
  </si>
  <si>
    <t>Long-Term Debt - Other</t>
  </si>
  <si>
    <t>TOTAL LONG-TERM DEBT</t>
  </si>
  <si>
    <t>Notes Payable</t>
  </si>
  <si>
    <t>Other Current and Accrued Liabilities</t>
  </si>
  <si>
    <t>TOTAL CURRENT AND ACCRUED LIABILITIES</t>
  </si>
  <si>
    <t>Deferred Credits</t>
  </si>
  <si>
    <t>Obligation under Capital Leases - Noncurrent</t>
  </si>
  <si>
    <t>TOTAL LIABILITIES AND OTHER CREDITS</t>
  </si>
  <si>
    <t>Total Utility Plant</t>
  </si>
  <si>
    <t>TOTAL CURRENT AND ACCRUED ASSETS</t>
  </si>
  <si>
    <t>Accumulated Operating Provisions</t>
  </si>
  <si>
    <t>Other Current and Accrued Liabilities (Purchased Power)</t>
  </si>
  <si>
    <t>Accounts Payable (TIER Rebate)</t>
  </si>
  <si>
    <t>V. Cash Flow Statement</t>
  </si>
  <si>
    <t>Power Supply (Purch. Power, APM, Cogen, &amp; TVA Tran)</t>
  </si>
  <si>
    <t>Production O&amp;M</t>
  </si>
  <si>
    <t>Emissions</t>
  </si>
  <si>
    <t>SO2</t>
  </si>
  <si>
    <t>Emitted (Tons)</t>
  </si>
  <si>
    <t>Allocation (Tons)</t>
  </si>
  <si>
    <t>SO2 Allowances ($/ Ton)</t>
  </si>
  <si>
    <t>Emissions Price per Ton</t>
  </si>
  <si>
    <t>Allowances Purchased ($/M)</t>
  </si>
  <si>
    <t>May</t>
  </si>
  <si>
    <t>June</t>
  </si>
  <si>
    <t>July</t>
  </si>
  <si>
    <t>August</t>
  </si>
  <si>
    <t>September</t>
  </si>
  <si>
    <t>October</t>
  </si>
  <si>
    <t>November</t>
  </si>
  <si>
    <t>January</t>
  </si>
  <si>
    <t>February</t>
  </si>
  <si>
    <t>March</t>
  </si>
  <si>
    <t>April</t>
  </si>
  <si>
    <t>December</t>
  </si>
  <si>
    <t>Total Cost of Electric Service</t>
  </si>
  <si>
    <t>Beg. Bal Economic Reserve</t>
  </si>
  <si>
    <t>Ending Balancing of Economic Reserve</t>
  </si>
  <si>
    <t>Beg. Bal Rural Economic Reserve</t>
  </si>
  <si>
    <t>Ending Balancing of Rural Economic Reserve</t>
  </si>
  <si>
    <t>Other Non-Operating Income / Exp</t>
  </si>
  <si>
    <t>Days</t>
  </si>
  <si>
    <t>Coal Purchased ($M)</t>
  </si>
  <si>
    <t>Market Price of Power - Sales</t>
  </si>
  <si>
    <t>502.110</t>
  </si>
  <si>
    <t>Employee Pension &amp; Benefits</t>
  </si>
  <si>
    <t>Steam Expenses-Expense-Reid</t>
  </si>
  <si>
    <t>Steam Expenses-Expense-Environ Compl-Reid</t>
  </si>
  <si>
    <t>502.211</t>
  </si>
  <si>
    <t>NOX - Seasonal</t>
  </si>
  <si>
    <t>NOX - Annual</t>
  </si>
  <si>
    <t>NOX Allowances Seasonal($/ Ton)</t>
  </si>
  <si>
    <t>NOX Allowances Annual($/ Ton)</t>
  </si>
  <si>
    <t>555.150</t>
  </si>
  <si>
    <t>Purchased Power-HMP&amp;L Station Two</t>
  </si>
  <si>
    <t>555.152</t>
  </si>
  <si>
    <t>VOM JE From Budget $ Million</t>
  </si>
  <si>
    <t>Deferred Debit - A/C 180</t>
  </si>
  <si>
    <t>Amortization 2010 Refinance</t>
  </si>
  <si>
    <t>Amortization 2012 Refinance</t>
  </si>
  <si>
    <t>Amortization 2013 Refinance</t>
  </si>
  <si>
    <t>Interest Exp - Line of Credit</t>
  </si>
  <si>
    <t>501.350</t>
  </si>
  <si>
    <t>Bottom Ash Disposal - Reid</t>
  </si>
  <si>
    <t>Fly Ash Disposal-Coleman</t>
  </si>
  <si>
    <t>Bottom Ash Disposal - Coleman</t>
  </si>
  <si>
    <t>SO2 Reagents - Coleman</t>
  </si>
  <si>
    <t>Bottom Ash Disposal - Green</t>
  </si>
  <si>
    <t>Fly Ash Disposal-Green</t>
  </si>
  <si>
    <t>SO2 Reagents - Green</t>
  </si>
  <si>
    <t>Bottom Ash Disposal - Wilson</t>
  </si>
  <si>
    <t>Fly Ash Disposal - Wilson</t>
  </si>
  <si>
    <t>SO2 Reagents - Wilson</t>
  </si>
  <si>
    <t>NOx Reagents - Wilson</t>
  </si>
  <si>
    <t>HMPL Steam Expenses Clean Air</t>
  </si>
  <si>
    <t>Energy (TWH)</t>
  </si>
  <si>
    <t>Total Energy Sales</t>
  </si>
  <si>
    <t>Demand (MW)</t>
  </si>
  <si>
    <t>I.  Sales</t>
  </si>
  <si>
    <t>Emission Fees</t>
  </si>
  <si>
    <t>Ending Bal. ktons</t>
  </si>
  <si>
    <t>Ending Bal. $ Million</t>
  </si>
  <si>
    <t>$ Million</t>
  </si>
  <si>
    <t>ktons</t>
  </si>
  <si>
    <t>Beginning Bal.</t>
  </si>
  <si>
    <t>Fuel Purchased  ktons</t>
  </si>
  <si>
    <t>kton burned</t>
  </si>
  <si>
    <t>Fuel Expensed $ Million</t>
  </si>
  <si>
    <t>Fuel Purchased $ Million</t>
  </si>
  <si>
    <t>Weighted Average Cost Per kton</t>
  </si>
  <si>
    <t>Interest Compounded</t>
  </si>
  <si>
    <t>Balance Check</t>
  </si>
  <si>
    <t>Depreciation JE From Budget</t>
  </si>
  <si>
    <t>403.700</t>
  </si>
  <si>
    <t>VI. Cash Flow Statement (Indirect Method)</t>
  </si>
  <si>
    <t>VII.  Credit Measures</t>
  </si>
  <si>
    <t>Net Margin</t>
  </si>
  <si>
    <t xml:space="preserve">Adjustments to reconcile net margin to net cash </t>
  </si>
  <si>
    <t>provided by operating activities:</t>
  </si>
  <si>
    <t>Depreciation and amortization</t>
  </si>
  <si>
    <t>Interest compounded - RUS Series B Note</t>
  </si>
  <si>
    <t>Noncash member rate mitigation revenue</t>
  </si>
  <si>
    <t>Feathering of MRSM - (FUEL Roll-In)</t>
  </si>
  <si>
    <t>Feathering</t>
  </si>
  <si>
    <t>Fuel cost Rolled Into Base Rates - Post Unwind</t>
  </si>
  <si>
    <t>Changes in certain assets and liabilities:</t>
  </si>
  <si>
    <t>Net cash provided by operating activities</t>
  </si>
  <si>
    <t>Cash Flows From Operating Activities:</t>
  </si>
  <si>
    <t>Cash Flows From Investing Activities:</t>
  </si>
  <si>
    <t>Capital expenditures</t>
  </si>
  <si>
    <t>Net cash provided by (used in) investing activities</t>
  </si>
  <si>
    <t>Cash Flows From Financing Activities:</t>
  </si>
  <si>
    <t>Net cash provided by (used in) financing activities</t>
  </si>
  <si>
    <t>Net increase (decrease) in cash and cash equivalents</t>
  </si>
  <si>
    <t>403.110</t>
  </si>
  <si>
    <t>Reid Envir. Compl.</t>
  </si>
  <si>
    <t>Coleman Envir. Compl.</t>
  </si>
  <si>
    <t>Green Envir. Compl.</t>
  </si>
  <si>
    <t>Wilson Envir. Compl.</t>
  </si>
  <si>
    <t>403.400</t>
  </si>
  <si>
    <t>Gas Turbine</t>
  </si>
  <si>
    <t>Substations</t>
  </si>
  <si>
    <t>Lines</t>
  </si>
  <si>
    <t>General Plant</t>
  </si>
  <si>
    <t>KU 345kv Switching Station Amortization</t>
  </si>
  <si>
    <t>HMP&amp;L Station Two Envir. Compl.</t>
  </si>
  <si>
    <t>Total Depreciation</t>
  </si>
  <si>
    <t>CONSUMER SERVICE &amp; INFORMATIONAL EXPENSE:</t>
  </si>
  <si>
    <t>Customer Assistance Expenses</t>
  </si>
  <si>
    <t>Information &amp; Instruction Advertising Expense</t>
  </si>
  <si>
    <t>OPERATION EXPENSE-SALES</t>
  </si>
  <si>
    <t>Advertising Expense</t>
  </si>
  <si>
    <t>OPERATION EXPENSE-ADMINISTRATIVE &amp; GENERAL:</t>
  </si>
  <si>
    <t>921.100</t>
  </si>
  <si>
    <t>Office Supplies &amp; Expenses</t>
  </si>
  <si>
    <t>921.101</t>
  </si>
  <si>
    <t>926.200</t>
  </si>
  <si>
    <t>928.100</t>
  </si>
  <si>
    <t>Fuel Costs (Labor &amp; Exp)</t>
  </si>
  <si>
    <t>Domtar</t>
  </si>
  <si>
    <t>Accrued Int</t>
  </si>
  <si>
    <t>Regulatory Commission Expenses</t>
  </si>
  <si>
    <t>930.210</t>
  </si>
  <si>
    <t>Miscellaneous General Expense-Expenses</t>
  </si>
  <si>
    <t>923.100</t>
  </si>
  <si>
    <t>Outside Services Employed</t>
  </si>
  <si>
    <t>Rural Economic Reserve</t>
  </si>
  <si>
    <t>Maintenance of General Plant-Expense</t>
  </si>
  <si>
    <t>O&amp;M JE's From Budget</t>
  </si>
  <si>
    <t>A&amp;G Non-Labor</t>
  </si>
  <si>
    <t>Total A&amp;G Non-Labor</t>
  </si>
  <si>
    <t>APM, L/C, Cogen etc.</t>
  </si>
  <si>
    <t>447.193</t>
  </si>
  <si>
    <t>555.188</t>
  </si>
  <si>
    <t>557.110</t>
  </si>
  <si>
    <t>Other Exp-Power Supply-Arbitrage</t>
  </si>
  <si>
    <t>565.100</t>
  </si>
  <si>
    <t>Transmission of Electricity by Others</t>
  </si>
  <si>
    <t>Total APM, L/C, Cogen etc.</t>
  </si>
  <si>
    <t>501.120</t>
  </si>
  <si>
    <t>Reid-Fuel Expense</t>
  </si>
  <si>
    <t>501.220</t>
  </si>
  <si>
    <t>Reid-Steam Expense</t>
  </si>
  <si>
    <t>502.210</t>
  </si>
  <si>
    <t>502.310</t>
  </si>
  <si>
    <t>505.110</t>
  </si>
  <si>
    <t>Reid-Electric Expense</t>
  </si>
  <si>
    <t>Surcharge</t>
  </si>
  <si>
    <t>505.210</t>
  </si>
  <si>
    <t>Coleman-Electric Expense</t>
  </si>
  <si>
    <t>505.310</t>
  </si>
  <si>
    <t>Green-Electric Expense</t>
  </si>
  <si>
    <t>512.210</t>
  </si>
  <si>
    <t>513.210</t>
  </si>
  <si>
    <t>548.110</t>
  </si>
  <si>
    <t>Gas Turbine-Generation Expense</t>
  </si>
  <si>
    <t>HMP&amp;L Station Two-Purchased Power</t>
  </si>
  <si>
    <t>HQ Building</t>
  </si>
  <si>
    <t>562.110</t>
  </si>
  <si>
    <t>Station Expense</t>
  </si>
  <si>
    <t>563.110</t>
  </si>
  <si>
    <t>Deferred Credits (Economic Reserve)</t>
  </si>
  <si>
    <t>Deferred Credits (Rural Economic Reserve)</t>
  </si>
  <si>
    <t>Special Funds (Transition Reserve)</t>
  </si>
  <si>
    <t>Special Funds (Economic Reserve)</t>
  </si>
  <si>
    <t>III. Statement of Operations</t>
  </si>
  <si>
    <t>Special Funds (Rural Economic Reserve)</t>
  </si>
  <si>
    <t>Station Two O&amp;M Fund</t>
  </si>
  <si>
    <t>Overhead Line Expense</t>
  </si>
  <si>
    <t>Miscellaneous General Expense</t>
  </si>
  <si>
    <t>Total Property Insurance</t>
  </si>
  <si>
    <t>Operating Funds Interest Income</t>
  </si>
  <si>
    <t>HMP&amp;L Station Two Purchased Power</t>
  </si>
  <si>
    <t>561.110</t>
  </si>
  <si>
    <t>Load Dispatching-Expense</t>
  </si>
  <si>
    <t>Station Expenses-Expense</t>
  </si>
  <si>
    <t>Overhead Line Expenses-Expense</t>
  </si>
  <si>
    <t>Misc. General Expenses-Expense</t>
  </si>
  <si>
    <t>Total Property Tax</t>
  </si>
  <si>
    <t>Transmission O&amp;M Non-Labor</t>
  </si>
  <si>
    <t>Oper. Supervision &amp; Eng.-Lines-Expense</t>
  </si>
  <si>
    <t>Misc. Transmission Exp.-Lines-Expense</t>
  </si>
  <si>
    <t>Misc. Transmission Exp.-Stations-Expense</t>
  </si>
  <si>
    <t>MAINTENANCE</t>
  </si>
  <si>
    <t>Maint.. Supervision &amp; Eng.-Lines-Expense</t>
  </si>
  <si>
    <t>Maint. Structures-Expense</t>
  </si>
  <si>
    <t>Maint. Station Equipment-Expense</t>
  </si>
  <si>
    <t>Maint. Overhead Lines-Expense</t>
  </si>
  <si>
    <t>Maint. Misc. Transmission Plt.-Lines-Expense</t>
  </si>
  <si>
    <t>Total Transmission O&amp;M Non-Labor</t>
  </si>
  <si>
    <t>Production O&amp;M Non-Labor</t>
  </si>
  <si>
    <t>Fuel Handling</t>
  </si>
  <si>
    <t xml:space="preserve">Operations Boiler (steam expenses) </t>
  </si>
  <si>
    <t>Operations Boiler (FGD) (environ compl)</t>
  </si>
  <si>
    <t>Turbine Ops (electric expenses)</t>
  </si>
  <si>
    <t>506.210</t>
  </si>
  <si>
    <t>Operations Misc (misc steam power expenses)</t>
  </si>
  <si>
    <t>511.210</t>
  </si>
  <si>
    <t>Maintenance Structures</t>
  </si>
  <si>
    <t xml:space="preserve">Maintenance Boiler </t>
  </si>
  <si>
    <t>512.212</t>
  </si>
  <si>
    <t>Maintenance Boiler (FGD) (environ compl)</t>
  </si>
  <si>
    <t>Turbine Maintenance (maint electric plant)</t>
  </si>
  <si>
    <t>514.210</t>
  </si>
  <si>
    <t>Maintenance Misc (misc steam plant expense)</t>
  </si>
  <si>
    <t>STATION TWO</t>
  </si>
  <si>
    <t>Total Production O&amp;M Non-Labor</t>
  </si>
  <si>
    <t>500.100</t>
  </si>
  <si>
    <t>Oper Supervision &amp; Eng-Labor-Reid</t>
  </si>
  <si>
    <t>501.200</t>
  </si>
  <si>
    <t>Fuel-Labor-Coleman</t>
  </si>
  <si>
    <t>501.300</t>
  </si>
  <si>
    <t>502.100</t>
  </si>
  <si>
    <t>Steam Expenses-Labor-Reid</t>
  </si>
  <si>
    <t>502.200</t>
  </si>
  <si>
    <t>Steam Expenses-Labor-Coleman</t>
  </si>
  <si>
    <t>502.300</t>
  </si>
  <si>
    <t>505.100</t>
  </si>
  <si>
    <t>Electric Expenses-Labor-Reid</t>
  </si>
  <si>
    <t>506.100</t>
  </si>
  <si>
    <t>Misc Steam Power Expense-Labor-Reid</t>
  </si>
  <si>
    <t>506.300</t>
  </si>
  <si>
    <t>510.100</t>
  </si>
  <si>
    <t>Maint Supervision &amp; Eng-Labor-Reid</t>
  </si>
  <si>
    <t>512.100</t>
  </si>
  <si>
    <t>Maint Boiler Plant-Labor-Reid</t>
  </si>
  <si>
    <t>512.200</t>
  </si>
  <si>
    <t>Maint Boiler Plant-Labor-Coleman</t>
  </si>
  <si>
    <t>513.100</t>
  </si>
  <si>
    <t>Maint Electric Plant-Labor-Reid</t>
  </si>
  <si>
    <t>Purchased Power-HMP&amp;L Station Two-Labor</t>
  </si>
  <si>
    <t>560.100</t>
  </si>
  <si>
    <t>Oper Supervision &amp; Eng-Lines-Labor</t>
  </si>
  <si>
    <t>560.200</t>
  </si>
  <si>
    <t>Generation (TWh)</t>
  </si>
  <si>
    <t>Purchased (TWh)</t>
  </si>
  <si>
    <t>Losses (TWh)</t>
  </si>
  <si>
    <t>Oper Supervision &amp; Eng-Stations-Labor</t>
  </si>
  <si>
    <t>561.100</t>
  </si>
  <si>
    <t>Load Dispatching-Labor</t>
  </si>
  <si>
    <t>562.100</t>
  </si>
  <si>
    <t>Station Expenses-Labor</t>
  </si>
  <si>
    <t>563.100</t>
  </si>
  <si>
    <t>Overhead Line Expenses-Labor</t>
  </si>
  <si>
    <t>566.100</t>
  </si>
  <si>
    <t>Allowance Purchased</t>
  </si>
  <si>
    <t>Allowance Sales</t>
  </si>
  <si>
    <t>Coal Burned (ktons)</t>
  </si>
  <si>
    <t>HMPL 1</t>
  </si>
  <si>
    <t>HMPL 2</t>
  </si>
  <si>
    <t>Coleman 1</t>
  </si>
  <si>
    <t>Coleman 2</t>
  </si>
  <si>
    <t>Coleman 3</t>
  </si>
  <si>
    <t>Green 1</t>
  </si>
  <si>
    <t>Green 2</t>
  </si>
  <si>
    <t>JE Fuel Exp</t>
  </si>
  <si>
    <t>HMPL 1 &amp; 2</t>
  </si>
  <si>
    <t>Start Up Costs</t>
  </si>
  <si>
    <t>Reid Station</t>
  </si>
  <si>
    <t>Total Fuel Purchased</t>
  </si>
  <si>
    <t>FUEL-Start Up-REID</t>
  </si>
  <si>
    <t>FUEL-Start Up-COLEMAN</t>
  </si>
  <si>
    <t>FUEL-Start Up-GREEN</t>
  </si>
  <si>
    <t>FUEL-Start Up-WILSON</t>
  </si>
  <si>
    <t>Total Patronage Capital &amp; Other (Cash)</t>
  </si>
  <si>
    <t>Total Patronage Capital &amp; Other (Assigned)</t>
  </si>
  <si>
    <t>CoBank Patronage Assigned</t>
  </si>
  <si>
    <t>CFC Patronage Assigned</t>
  </si>
  <si>
    <t>Other Patronage Assigned</t>
  </si>
  <si>
    <t>Patronage Balance Sheet</t>
  </si>
  <si>
    <t>Other Patronage - Cash</t>
  </si>
  <si>
    <t>CFC Patronage - Cash</t>
  </si>
  <si>
    <t>Cobank Patronage - Cash</t>
  </si>
  <si>
    <t>RUS Note A Amortization</t>
  </si>
  <si>
    <t>RUS A Note Stated vs. GAAP Diff.</t>
  </si>
  <si>
    <t>Amortize Loss on Reacquisition of Debt</t>
  </si>
  <si>
    <t>2010 PCB's</t>
  </si>
  <si>
    <t>Fuel-Coal/Expense-HMP&amp;L Station Two</t>
  </si>
  <si>
    <t>Fuel-Oil-HMP&amp;L Station Two</t>
  </si>
  <si>
    <t>JE for Regulatory Account</t>
  </si>
  <si>
    <t>Misc Transmission Exp-Lines-Labor</t>
  </si>
  <si>
    <t>566.200</t>
  </si>
  <si>
    <t>Misc Transmission Exp-Stations-Labor</t>
  </si>
  <si>
    <t>568.100</t>
  </si>
  <si>
    <t>Maint Supervision &amp; Eng-Lines-Labor</t>
  </si>
  <si>
    <t>568.200</t>
  </si>
  <si>
    <t>Maint Supervision &amp; Eng-Stations-Labor</t>
  </si>
  <si>
    <t>570.100</t>
  </si>
  <si>
    <t>Maint Station Equipment-Labor</t>
  </si>
  <si>
    <t>571.100</t>
  </si>
  <si>
    <t>Maint Overhead Lines-Labor</t>
  </si>
  <si>
    <t>573.100</t>
  </si>
  <si>
    <t>Maint Misc Transmission Plt-Line-Labor</t>
  </si>
  <si>
    <t>573.200</t>
  </si>
  <si>
    <t>Maint Misc Transmission Plt-Stations-Labor</t>
  </si>
  <si>
    <t>908.100</t>
  </si>
  <si>
    <t>Customer Assistance Expenses-Labor</t>
  </si>
  <si>
    <t>920.100</t>
  </si>
  <si>
    <t>Administrative &amp; General Salaries</t>
  </si>
  <si>
    <t>935.100</t>
  </si>
  <si>
    <t>511.200</t>
  </si>
  <si>
    <t>Maint Structures-Labor-Coleman</t>
  </si>
  <si>
    <t>514.200</t>
  </si>
  <si>
    <t>Maint Misc Steam Plant-Labor-Coleman</t>
  </si>
  <si>
    <t>Trial Balance</t>
  </si>
  <si>
    <t>403.111</t>
  </si>
  <si>
    <t>DEPR EXPENSE-GAS TURBINE</t>
  </si>
  <si>
    <t>DEPR EXPENSE-TRANSMISSION-STATIONS</t>
  </si>
  <si>
    <t>DEPR EXPENSE-TRANSMISSION-LINES</t>
  </si>
  <si>
    <t>DEPR EXPENSE-GENERAL PLANT</t>
  </si>
  <si>
    <t>409.100</t>
  </si>
  <si>
    <t>TAXES-FEDERAL INCOME</t>
  </si>
  <si>
    <t>409.200</t>
  </si>
  <si>
    <t>TAXES-STATE INCOME/FRANCHISE</t>
  </si>
  <si>
    <t>411.800</t>
  </si>
  <si>
    <t>GAIN FROM DISPOSITION OF ALLOWANCES</t>
  </si>
  <si>
    <t>PPA included in FAC</t>
  </si>
  <si>
    <t>419.000</t>
  </si>
  <si>
    <t>INTEREST &amp; DIVIDEND INCOME</t>
  </si>
  <si>
    <t>Total Operating Revenues</t>
  </si>
  <si>
    <t>Operating Expense - Excluding Fuel</t>
  </si>
  <si>
    <t>Operating Expense Fuel</t>
  </si>
  <si>
    <t>Maintenance Expense</t>
  </si>
  <si>
    <t>Depreciation and Amortization</t>
  </si>
  <si>
    <t>Net Margins</t>
  </si>
  <si>
    <t>Statement of Cash Flows ($mm)</t>
  </si>
  <si>
    <t>Debt Issuance Costs</t>
  </si>
  <si>
    <t>Cash Flow From Operations</t>
  </si>
  <si>
    <t>Cash Flow from Financing</t>
  </si>
  <si>
    <t>Net Increase (Decrease) in Cash</t>
  </si>
  <si>
    <t>Beginning Cash Including Transition Res.</t>
  </si>
  <si>
    <t>Ending Cash Including Transition Res.</t>
  </si>
  <si>
    <t>Sales (MWh)</t>
  </si>
  <si>
    <t>Off-System</t>
  </si>
  <si>
    <t>Economic Reserves</t>
  </si>
  <si>
    <t>Electric Energy Revenue</t>
  </si>
  <si>
    <t>Electric Energy Revenue ($mm)</t>
  </si>
  <si>
    <t>Total Electric Energy Revenue</t>
  </si>
  <si>
    <t>Effective Rates ($/MWh)</t>
  </si>
  <si>
    <t>Member Cost ($/MWh)</t>
  </si>
  <si>
    <t>Total Cost of Electric Service ($mm)</t>
  </si>
  <si>
    <t>Member Sales (MWh)</t>
  </si>
  <si>
    <t>Non-Member Revenues ($mm)</t>
  </si>
  <si>
    <t>Member Costs ($mm)</t>
  </si>
  <si>
    <t>Member Costs ($/MWh)</t>
  </si>
  <si>
    <t>Member Costs ($/kWh)</t>
  </si>
  <si>
    <t>421.200</t>
  </si>
  <si>
    <t>LOSS ON DISPOSITION OF PROPERTY</t>
  </si>
  <si>
    <t>424.000</t>
  </si>
  <si>
    <t>OTHER CAPITAL CREDITS &amp; PATRONAGE ALLOC</t>
  </si>
  <si>
    <t>426.000</t>
  </si>
  <si>
    <t>TAXES-FEDERAL UNEMPLOYMENT-GENERAL</t>
  </si>
  <si>
    <t>PBGC Retirement Plan Premiums</t>
  </si>
  <si>
    <t>Total Add'l Compensation -- President &amp; CEO</t>
  </si>
  <si>
    <t>Southeastern Federal Power Customers</t>
  </si>
  <si>
    <t>NRUCFC/CoBank Letter of Credit Fees</t>
  </si>
  <si>
    <t>LOAD DISPATCHING-MISO</t>
  </si>
  <si>
    <t>MARKET FACILITATION, MOINITORING - MISO</t>
  </si>
  <si>
    <t>Accounts Receivable - Sales of Energy (Net)</t>
  </si>
  <si>
    <t>CoBank/CFC Amortization of Upfront LOC Fees</t>
  </si>
  <si>
    <t>Taxes-State Income/Franchise</t>
  </si>
  <si>
    <t>Civic, Political, Related Activities Expense</t>
  </si>
  <si>
    <t>Oper Supervision &amp; Eng-Expense-Reid</t>
  </si>
  <si>
    <t>Steam Expense-Expense-Green</t>
  </si>
  <si>
    <t>Misc Steam Power Expense-Expense-Coleman</t>
  </si>
  <si>
    <t>Total O&amp;M Sheet Budget</t>
  </si>
  <si>
    <t>total sheet</t>
  </si>
  <si>
    <t>DONATIONS</t>
  </si>
  <si>
    <t>426.300</t>
  </si>
  <si>
    <t>PENALTIES</t>
  </si>
  <si>
    <t>CIVIC, POLITICAL, RELATED ACTIVITIES -- EXP</t>
  </si>
  <si>
    <t>426.500</t>
  </si>
  <si>
    <t>OTHER DEDUCTIONS</t>
  </si>
  <si>
    <t>427.310</t>
  </si>
  <si>
    <t>Track Allowances</t>
  </si>
  <si>
    <t>NOX Seasonal</t>
  </si>
  <si>
    <t>Non-Smelter Non-FAC PPA Rate</t>
  </si>
  <si>
    <t>Maintenance Boiler Plant</t>
  </si>
  <si>
    <t>Oper Supervision &amp; Eng-Lines</t>
  </si>
  <si>
    <t>Injuries &amp; Damages</t>
  </si>
  <si>
    <t>NOX Annual</t>
  </si>
  <si>
    <t>3 - Smelter Surcharge</t>
  </si>
  <si>
    <t>428.000</t>
  </si>
  <si>
    <t>AMORTIZATION--DEBT EXPENSE</t>
  </si>
  <si>
    <t>431.100</t>
  </si>
  <si>
    <t>INTEREST EXPENSE-NRUCFC</t>
  </si>
  <si>
    <t>431.300</t>
  </si>
  <si>
    <t>INTEREST EXPENSE-OTHER</t>
  </si>
  <si>
    <t>434.000</t>
  </si>
  <si>
    <t>EXTRAORDINARY INCOME</t>
  </si>
  <si>
    <t>435.000</t>
  </si>
  <si>
    <t>EXTRAORDINARY DEDUCTIONS</t>
  </si>
  <si>
    <t>447.101</t>
  </si>
  <si>
    <t>Lease Income</t>
  </si>
  <si>
    <t>Other Operating Revenues</t>
  </si>
  <si>
    <t>447.110</t>
  </si>
  <si>
    <t>Environmental</t>
  </si>
  <si>
    <t>447.191</t>
  </si>
  <si>
    <t>SALES FOR RESALE-RUS-KE-DOMTAR COGEN</t>
  </si>
  <si>
    <t>Defined Benefit Pension Expense</t>
  </si>
  <si>
    <t>Defined Benefit Pension Funding</t>
  </si>
  <si>
    <t>DB Pension for Cash Flow Purposes</t>
  </si>
  <si>
    <t>447.255</t>
  </si>
  <si>
    <t>SALES FOR RESALE-OTHER-ACES</t>
  </si>
  <si>
    <t>SO2 Allowance Inventory $</t>
  </si>
  <si>
    <t>Total Fixed Environmental Compliance Cost</t>
  </si>
  <si>
    <t>Fixed Environmental Compliance Cost</t>
  </si>
  <si>
    <t>Total Adjusted Revenue</t>
  </si>
  <si>
    <t>SO2 Allowance Sales</t>
  </si>
  <si>
    <t>Accumulated Depreciation</t>
  </si>
  <si>
    <t>Inventory</t>
  </si>
  <si>
    <t>Cash Working Capital (1/8 non-Fuel O&amp;M)</t>
  </si>
  <si>
    <t>Depreciation (OE)</t>
  </si>
  <si>
    <t>Property Tax (OE)</t>
  </si>
  <si>
    <t>Property Insurance (OE)</t>
  </si>
  <si>
    <t>Labor (OE)</t>
  </si>
  <si>
    <t>Return on Rate Base (RORB)</t>
  </si>
  <si>
    <t>Total Variable Costs PCM (OE - BAS)</t>
  </si>
  <si>
    <t>Total Cost Eligible for ES ( E(m) )</t>
  </si>
  <si>
    <t>Base Rate Asset Retirements</t>
  </si>
  <si>
    <t>Net Plant in Service</t>
  </si>
  <si>
    <t>Regulatory Asset Amortization (OE)</t>
  </si>
  <si>
    <t>ECP Regulatory Asset</t>
  </si>
  <si>
    <t>923.183</t>
  </si>
  <si>
    <t>ECP Case Spending</t>
  </si>
  <si>
    <t>CFC Equity Investment</t>
  </si>
  <si>
    <t>Total Debt Service</t>
  </si>
  <si>
    <t>Investment Maturity</t>
  </si>
  <si>
    <t>Accrued Interest</t>
  </si>
  <si>
    <t>JE</t>
  </si>
  <si>
    <t>CFC CTC Loan</t>
  </si>
  <si>
    <t>General Funds to Total Utility Plant %</t>
  </si>
  <si>
    <t>Big Rivers Long-Term Financial Forecast</t>
  </si>
  <si>
    <t>Key Credit Metrics</t>
  </si>
  <si>
    <t>Member Power Cost Projection</t>
  </si>
  <si>
    <t>Expenses ($ in Millions)</t>
  </si>
  <si>
    <t>Fuel</t>
  </si>
  <si>
    <t>Operation</t>
  </si>
  <si>
    <t>Maintenance</t>
  </si>
  <si>
    <t>Production</t>
  </si>
  <si>
    <t>Other Power Supply</t>
  </si>
  <si>
    <t>Depreciation</t>
  </si>
  <si>
    <t>Net Expenses</t>
  </si>
  <si>
    <t>Member Power Cost ($/MWh)</t>
  </si>
  <si>
    <t>Weighted Average ($/MWh)</t>
  </si>
  <si>
    <t>Historical</t>
  </si>
  <si>
    <r>
      <t>Other Expenses</t>
    </r>
    <r>
      <rPr>
        <vertAlign val="superscript"/>
        <sz val="10"/>
        <rFont val="Arial"/>
        <family val="2"/>
      </rPr>
      <t>(1)</t>
    </r>
  </si>
  <si>
    <r>
      <t>Other Revenues</t>
    </r>
    <r>
      <rPr>
        <vertAlign val="superscript"/>
        <sz val="10"/>
        <rFont val="Arial"/>
        <family val="2"/>
      </rPr>
      <t>(2)</t>
    </r>
  </si>
  <si>
    <t>2) Includes revenues from non-member sales</t>
  </si>
  <si>
    <r>
      <t>Member Energy Requirements (TWh)</t>
    </r>
    <r>
      <rPr>
        <vertAlign val="superscript"/>
        <sz val="10"/>
        <rFont val="Arial"/>
        <family val="2"/>
      </rPr>
      <t>(3)</t>
    </r>
  </si>
  <si>
    <t>3) Member energy requirements at delivery point</t>
  </si>
  <si>
    <t>Operating Expense-RTO/ISO</t>
  </si>
  <si>
    <t>BREC Share of HMP&amp;L G&amp;A</t>
  </si>
  <si>
    <t>Other O&amp;M AND A&amp;G</t>
  </si>
  <si>
    <t>Maintenance Misc Steam Plant</t>
  </si>
  <si>
    <t>Maintenance of General Plant</t>
  </si>
  <si>
    <t>Rents-Stations</t>
  </si>
  <si>
    <t>INTEREST ON LONG-TERM DEBT</t>
  </si>
  <si>
    <t>INTEREST CHARGED TO CONST-CR</t>
  </si>
  <si>
    <t>ELECTRIC EXPENSES</t>
  </si>
  <si>
    <t>MISC STEAM POWER EXPENSE</t>
  </si>
  <si>
    <t>ALLOWANCES-ENVIRON COMPL</t>
  </si>
  <si>
    <t>MAINT SUPERVISION &amp; ENG</t>
  </si>
  <si>
    <t>MAINT BOILER PLANT</t>
  </si>
  <si>
    <t>MAINT ELECTRIC PLANT</t>
  </si>
  <si>
    <t>MAINT MISC STEAM PLANT</t>
  </si>
  <si>
    <t>GENERATION EXPENSES-GAS TURBINE</t>
  </si>
  <si>
    <t>OPER SUPERVISION &amp; ENG-LINES</t>
  </si>
  <si>
    <t>OPER SUPERVISION &amp; ENG-STATIONS</t>
  </si>
  <si>
    <t>LOAD DISPATCHING</t>
  </si>
  <si>
    <t>STATION EXPENSES</t>
  </si>
  <si>
    <t>OVERHEAD LINE EXPENSES</t>
  </si>
  <si>
    <t>MISC TRANSMISSION EXP-LINES</t>
  </si>
  <si>
    <t>MISC TRANSMISSION EXP-STATIONS</t>
  </si>
  <si>
    <t>MAINT SUPERVISION &amp; ENG-LINES</t>
  </si>
  <si>
    <t>MAINT SUPERVISION &amp; ENG-STATIONS</t>
  </si>
  <si>
    <t>MAINT STRUCTURES</t>
  </si>
  <si>
    <t>MAINT STATION EQUIPMENT</t>
  </si>
  <si>
    <t>MAINT OVERHEAD LINES</t>
  </si>
  <si>
    <t>MAINT MISC TRANSMISSION PLT-LINE</t>
  </si>
  <si>
    <t>MAINT MISC TRANSMISSION PLT-STA</t>
  </si>
  <si>
    <t>CUSTOMER ASSISTANCE EXPENSES</t>
  </si>
  <si>
    <t>OFFICE SUPPLIES AND EXPENSES--HMPL EXPENSES</t>
  </si>
  <si>
    <t>INJURIES &amp; DAMAGES</t>
  </si>
  <si>
    <t>EMPLOYEE PENSIONS &amp; BENEFITS-LTD</t>
  </si>
  <si>
    <t>EMPLOYEE PENSIONS &amp; BENEFITS</t>
  </si>
  <si>
    <t>MISCELLANEOUS GENERAL EXPENSES</t>
  </si>
  <si>
    <t>MAINTENANCE OF GENERAL PLANT</t>
  </si>
  <si>
    <t>AMORTIZATION EXPENSE</t>
  </si>
  <si>
    <t>426.100</t>
  </si>
  <si>
    <t>426.400</t>
  </si>
  <si>
    <t>OPER SUPERVISION &amp; ENG</t>
  </si>
  <si>
    <t>RUS Series A Note</t>
  </si>
  <si>
    <t>RUS Series B Note</t>
  </si>
  <si>
    <t>Cross Subsidy Elimination</t>
  </si>
  <si>
    <t>Rate Case Regulatory Asset</t>
  </si>
  <si>
    <t>Establish Account</t>
  </si>
  <si>
    <t>OTHER EXPENSE-NON-SMELTER-NONFAC-PPA</t>
  </si>
  <si>
    <t>557.350</t>
  </si>
  <si>
    <t>1) Includes gain on sale of allowances</t>
  </si>
  <si>
    <t>Amortization 2013 ECP Issue</t>
  </si>
  <si>
    <t>SALES FOR RESALE-RUS-RURAL</t>
  </si>
  <si>
    <t>SALES FOR RESALE-RUS-INDUSTRIALS</t>
  </si>
  <si>
    <t>SALES FOR RESALE-RUS-ALCAN/CENTURY</t>
  </si>
  <si>
    <t>Non-Smelter Non-FAC PPA</t>
  </si>
  <si>
    <t>Surcharge (Part 1)</t>
  </si>
  <si>
    <t>Surcharge (Part 2)</t>
  </si>
  <si>
    <t>Severance Regulatory Asset</t>
  </si>
  <si>
    <t>Market Purchases-Member Pass through</t>
  </si>
  <si>
    <t>STEAM EXPENSES</t>
  </si>
  <si>
    <t>ECP Borrowing</t>
  </si>
  <si>
    <t>Capital (Bring Wilson Back Online)</t>
  </si>
  <si>
    <t>Expense (Bring Wilson Back On-Line)</t>
  </si>
  <si>
    <t>DEPR EXPENSE</t>
  </si>
  <si>
    <t>DEPR EXPENSE-CLEAN AIR</t>
  </si>
  <si>
    <t>DEPR EXPENSECLEAN AIR</t>
  </si>
  <si>
    <t>FUEL HANDLING</t>
  </si>
  <si>
    <t>ASH DISPOSAL</t>
  </si>
  <si>
    <t>ECP</t>
  </si>
  <si>
    <t>Information Systems</t>
  </si>
  <si>
    <t>IS</t>
  </si>
  <si>
    <t>Amortize Debt Issuance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</si>
</sst>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.00_);_(* \(#,##0.00\);_(* &quot;-&quot;_);_(@_)"/>
    <numFmt numFmtId="166" formatCode="#,##0.0000_);\(#,##0.0000\)"/>
    <numFmt numFmtId="167" formatCode="0.0000"/>
    <numFmt numFmtId="168" formatCode="0.000%"/>
    <numFmt numFmtId="169" formatCode="0.0%"/>
    <numFmt numFmtId="170" formatCode="_(* #,##0.0_);_(* \(#,##0.0\);_(* &quot;-&quot;?_);_(@_)"/>
    <numFmt numFmtId="171" formatCode="_(* #,##0.00_);_(* \(#,##0.00\);_(* &quot;-&quot;?_);_(@_)"/>
    <numFmt numFmtId="172" formatCode="_(* #,##0.000_);_(* \(#,##0.000\);_(* &quot;-&quot;??_);_(@_)"/>
    <numFmt numFmtId="173" formatCode="_(* #,##0.0000_);_(* \(#,##0.0000\);_(* &quot;-&quot;??_);_(@_)"/>
    <numFmt numFmtId="174" formatCode="_(* #,##0.00000_);_(* \(#,##0.00000\);_(* &quot;-&quot;??_);_(@_)"/>
    <numFmt numFmtId="175" formatCode="#,##0.000"/>
    <numFmt numFmtId="176" formatCode="#,##0.0000"/>
    <numFmt numFmtId="177" formatCode="_(* #,##0_);_(* \(#,##0\);_(* &quot;-&quot;??_);_(@_)"/>
    <numFmt numFmtId="178" formatCode="_(* #,##0.000_);_(* \(#,##0.000\);_(* &quot;-&quot;???_);_(@_)"/>
    <numFmt numFmtId="179" formatCode="_(* #,##0.0_);_(* \(#,##0.0\);_(* &quot;-&quot;??_);_(@_)"/>
    <numFmt numFmtId="180" formatCode="#,##0.000_);\(#,##0.000\)"/>
    <numFmt numFmtId="181" formatCode="#,##0.00000_);\(#,##0.00000\)"/>
    <numFmt numFmtId="182" formatCode="#,##0.000000_);\(#,##0.000000\)"/>
    <numFmt numFmtId="183" formatCode="0.0000_);\(0.0000\)"/>
    <numFmt numFmtId="184" formatCode="_(&quot;$&quot;* #,##0.00000_);_(&quot;$&quot;* \(#,##0.00000\);_(&quot;$&quot;* &quot;-&quot;??_);_(@_)"/>
    <numFmt numFmtId="185" formatCode="#,##0.0_);\(#,##0.0\)"/>
    <numFmt numFmtId="186" formatCode="#,##0.00000000_);\(#,##0.00000000\)"/>
    <numFmt numFmtId="187" formatCode="0.0"/>
    <numFmt numFmtId="188" formatCode="#,##0.0000000_);\(#,##0.0000000\)"/>
    <numFmt numFmtId="189" formatCode="0\ 00\ 000\ 000"/>
    <numFmt numFmtId="190" formatCode="_(* #,##0.000_);_(* \(#,##0.000\);_(* &quot;-&quot;?_);_(@_)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SWISS"/>
    </font>
    <font>
      <sz val="10"/>
      <color indexed="8"/>
      <name val="Arial"/>
      <family val="2"/>
    </font>
    <font>
      <sz val="10"/>
      <color indexed="12"/>
      <name val="SWISS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color indexed="10"/>
      <name val="SWISS"/>
    </font>
    <font>
      <sz val="10"/>
      <color indexed="10"/>
      <name val="Arial"/>
      <family val="2"/>
    </font>
    <font>
      <sz val="8"/>
      <name val="Tahoma"/>
      <family val="2"/>
    </font>
    <font>
      <sz val="8"/>
      <color indexed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ahoma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8"/>
      <name val="Tahoma"/>
      <family val="2"/>
    </font>
    <font>
      <sz val="10"/>
      <name val="Sylfaen"/>
      <family val="1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sz val="10"/>
      <color indexed="8"/>
      <name val="SWISS"/>
    </font>
    <font>
      <sz val="12"/>
      <color indexed="10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57"/>
      <name val="SWISS"/>
    </font>
    <font>
      <sz val="12"/>
      <color indexed="10"/>
      <name val="Arial"/>
      <family val="2"/>
    </font>
    <font>
      <b/>
      <sz val="10"/>
      <name val="Arial"/>
      <family val="2"/>
    </font>
    <font>
      <sz val="10"/>
      <color theme="8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4"/>
      <name val="Arial"/>
      <family val="2"/>
    </font>
    <font>
      <sz val="10"/>
      <color theme="4"/>
      <name val="SWISS"/>
    </font>
    <font>
      <b/>
      <u/>
      <sz val="10"/>
      <name val="SWISS"/>
    </font>
    <font>
      <sz val="10"/>
      <color theme="6"/>
      <name val="Arial"/>
      <family val="2"/>
    </font>
    <font>
      <sz val="10"/>
      <color theme="6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0"/>
      <color theme="7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Tahoma"/>
      <family val="2"/>
    </font>
    <font>
      <b/>
      <sz val="10"/>
      <color theme="4"/>
      <name val="Arial"/>
      <family val="2"/>
    </font>
    <font>
      <sz val="12"/>
      <color theme="4"/>
      <name val="Arial"/>
      <family val="2"/>
    </font>
    <font>
      <b/>
      <sz val="10"/>
      <color theme="6" tint="0.3999755851924192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/>
      <top/>
      <bottom/>
      <diagonal/>
    </border>
  </borders>
  <cellStyleXfs count="229">
    <xf numFmtId="0" fontId="0" fillId="0" borderId="0"/>
    <xf numFmtId="0" fontId="4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43" fontId="4" fillId="0" borderId="0" applyFont="0" applyFill="0" applyBorder="0" applyAlignment="0" applyProtection="0"/>
    <xf numFmtId="4" fontId="56" fillId="0" borderId="0" applyFont="0" applyFill="0" applyBorder="0"/>
    <xf numFmtId="0" fontId="57" fillId="0" borderId="0">
      <alignment horizontal="left" vertical="center" indent="1"/>
    </xf>
    <xf numFmtId="44" fontId="4" fillId="0" borderId="0" applyFont="0" applyFill="0" applyBorder="0" applyAlignment="0" applyProtection="0"/>
    <xf numFmtId="0" fontId="56" fillId="0" borderId="3" applyBorder="0">
      <alignment horizontal="right"/>
    </xf>
    <xf numFmtId="0" fontId="56" fillId="0" borderId="4" applyFont="0" applyBorder="0">
      <alignment horizontal="right"/>
    </xf>
    <xf numFmtId="0" fontId="56" fillId="0" borderId="5" applyFont="0" applyFill="0" applyBorder="0" applyAlignment="0">
      <alignment horizontal="right"/>
    </xf>
    <xf numFmtId="0" fontId="56" fillId="0" borderId="5" applyBorder="0">
      <alignment horizontal="right"/>
    </xf>
    <xf numFmtId="0" fontId="5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43" fontId="59" fillId="0" borderId="6">
      <alignment horizontal="center" wrapText="1"/>
    </xf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8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56" fillId="0" borderId="10" applyBorder="0"/>
    <xf numFmtId="0" fontId="56" fillId="0" borderId="11" applyFill="0" applyBorder="0">
      <alignment horizontal="right"/>
    </xf>
    <xf numFmtId="0" fontId="49" fillId="7" borderId="1" applyNumberFormat="0" applyAlignment="0" applyProtection="0"/>
    <xf numFmtId="0" fontId="50" fillId="0" borderId="12" applyNumberFormat="0" applyFill="0" applyAlignment="0" applyProtection="0"/>
    <xf numFmtId="0" fontId="37" fillId="0" borderId="13" applyFont="0" applyBorder="0">
      <alignment horizontal="right"/>
    </xf>
    <xf numFmtId="0" fontId="56" fillId="0" borderId="11" applyFont="0" applyFill="0" applyBorder="0">
      <alignment horizontal="right"/>
    </xf>
    <xf numFmtId="0" fontId="56" fillId="22" borderId="3" applyFont="0" applyFill="0" applyBorder="0">
      <alignment horizontal="right"/>
    </xf>
    <xf numFmtId="0" fontId="60" fillId="0" borderId="0" applyFont="0" applyFill="0" applyBorder="0">
      <alignment horizontal="right"/>
    </xf>
    <xf numFmtId="0" fontId="56" fillId="0" borderId="4">
      <alignment horizontal="left"/>
    </xf>
    <xf numFmtId="0" fontId="51" fillId="2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4" fillId="24" borderId="14" applyNumberFormat="0" applyFont="0" applyAlignment="0" applyProtection="0"/>
    <xf numFmtId="0" fontId="52" fillId="20" borderId="15" applyNumberFormat="0" applyAlignment="0" applyProtection="0"/>
    <xf numFmtId="9" fontId="4" fillId="0" borderId="0" applyFont="0" applyFill="0" applyBorder="0" applyAlignment="0" applyProtection="0"/>
    <xf numFmtId="0" fontId="56" fillId="0" borderId="16">
      <alignment horizontal="center"/>
    </xf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56" fillId="0" borderId="4" applyFill="0" applyBorder="0">
      <alignment horizontal="right"/>
    </xf>
    <xf numFmtId="0" fontId="60" fillId="0" borderId="0" applyFont="0" applyBorder="0">
      <alignment horizontal="center"/>
    </xf>
    <xf numFmtId="0" fontId="60" fillId="0" borderId="0" applyFont="0" applyFill="0" applyBorder="0" applyAlignment="0" applyProtection="0"/>
    <xf numFmtId="0" fontId="60" fillId="0" borderId="17" applyNumberFormat="0" applyFont="0" applyFill="0" applyAlignment="0" applyProtection="0"/>
    <xf numFmtId="0" fontId="60" fillId="0" borderId="18" applyNumberFormat="0" applyFont="0" applyFill="0" applyAlignment="0" applyProtection="0"/>
    <xf numFmtId="0" fontId="60" fillId="0" borderId="19" applyNumberFormat="0" applyFont="0" applyFill="0" applyAlignment="0" applyProtection="0"/>
    <xf numFmtId="0" fontId="60" fillId="0" borderId="20" applyNumberFormat="0" applyFont="0" applyFill="0" applyAlignment="0" applyProtection="0"/>
    <xf numFmtId="0" fontId="60" fillId="0" borderId="21" applyNumberFormat="0" applyFont="0" applyFill="0" applyAlignment="0" applyProtection="0"/>
    <xf numFmtId="0" fontId="60" fillId="25" borderId="0" applyNumberFormat="0" applyFont="0" applyBorder="0" applyAlignment="0" applyProtection="0"/>
    <xf numFmtId="0" fontId="60" fillId="0" borderId="22" applyNumberFormat="0" applyFont="0" applyFill="0" applyAlignment="0" applyProtection="0"/>
    <xf numFmtId="0" fontId="60" fillId="0" borderId="23" applyNumberFormat="0" applyFont="0" applyFill="0" applyAlignment="0" applyProtection="0"/>
    <xf numFmtId="46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24" applyNumberFormat="0" applyFont="0" applyFill="0" applyAlignment="0" applyProtection="0"/>
    <xf numFmtId="0" fontId="60" fillId="0" borderId="25" applyNumberFormat="0" applyFont="0" applyFill="0" applyAlignment="0" applyProtection="0"/>
    <xf numFmtId="0" fontId="60" fillId="0" borderId="14" applyNumberFormat="0" applyFont="0" applyFill="0" applyAlignment="0" applyProtection="0"/>
    <xf numFmtId="0" fontId="60" fillId="0" borderId="26" applyNumberFormat="0" applyFont="0" applyFill="0" applyAlignment="0" applyProtection="0"/>
    <xf numFmtId="0" fontId="60" fillId="0" borderId="14" applyNumberFormat="0" applyFont="0" applyFill="0" applyAlignment="0" applyProtection="0"/>
    <xf numFmtId="0" fontId="60" fillId="0" borderId="0" applyNumberFormat="0" applyFont="0" applyFill="0" applyBorder="0" applyProtection="0">
      <alignment horizontal="center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/>
    </xf>
    <xf numFmtId="0" fontId="60" fillId="25" borderId="0" applyNumberFormat="0" applyFont="0" applyBorder="0" applyAlignment="0" applyProtection="0"/>
    <xf numFmtId="0" fontId="6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27" applyNumberFormat="0" applyFont="0" applyFill="0" applyAlignment="0" applyProtection="0"/>
    <xf numFmtId="0" fontId="60" fillId="0" borderId="28" applyNumberFormat="0" applyFont="0" applyFill="0" applyAlignment="0" applyProtection="0"/>
    <xf numFmtId="0" fontId="60" fillId="0" borderId="0" applyFont="0" applyFill="0" applyBorder="0" applyAlignment="0" applyProtection="0"/>
    <xf numFmtId="0" fontId="60" fillId="0" borderId="29" applyNumberFormat="0" applyFont="0" applyFill="0" applyAlignment="0" applyProtection="0"/>
    <xf numFmtId="0" fontId="60" fillId="0" borderId="30" applyNumberFormat="0" applyFont="0" applyFill="0" applyAlignment="0" applyProtection="0"/>
    <xf numFmtId="0" fontId="60" fillId="0" borderId="31" applyNumberFormat="0" applyFont="0" applyFill="0" applyAlignment="0" applyProtection="0"/>
    <xf numFmtId="0" fontId="60" fillId="0" borderId="32" applyNumberFormat="0" applyFont="0" applyFill="0" applyAlignment="0" applyProtection="0"/>
    <xf numFmtId="0" fontId="60" fillId="0" borderId="33" applyNumberFormat="0" applyFont="0" applyFill="0" applyAlignment="0" applyProtection="0"/>
    <xf numFmtId="0" fontId="53" fillId="0" borderId="0" applyNumberFormat="0" applyFill="0" applyBorder="0" applyAlignment="0" applyProtection="0"/>
    <xf numFmtId="43" fontId="56" fillId="0" borderId="0">
      <alignment horizontal="left"/>
    </xf>
    <xf numFmtId="0" fontId="54" fillId="0" borderId="34" applyNumberFormat="0" applyFill="0" applyAlignment="0" applyProtection="0"/>
    <xf numFmtId="0" fontId="55" fillId="0" borderId="0" applyNumberFormat="0" applyFill="0" applyBorder="0" applyAlignment="0" applyProtection="0"/>
    <xf numFmtId="9" fontId="4" fillId="0" borderId="0" applyFont="0" applyFill="0" applyBorder="0" applyAlignment="0" applyProtection="0"/>
    <xf numFmtId="189" fontId="26" fillId="0" borderId="11" applyBorder="0">
      <alignment horizontal="center" vertical="center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82" fillId="0" borderId="0" applyNumberFormat="0" applyFont="0" applyFill="0" applyBorder="0" applyAlignment="0" applyProtection="0">
      <alignment horizontal="left"/>
    </xf>
    <xf numFmtId="0" fontId="83" fillId="33" borderId="43" applyNumberFormat="0" applyProtection="0">
      <alignment horizontal="left" vertical="center" indent="1"/>
    </xf>
    <xf numFmtId="4" fontId="4" fillId="19" borderId="43" applyNumberFormat="0" applyProtection="0">
      <alignment horizontal="left" vertical="center" indent="1"/>
    </xf>
    <xf numFmtId="0" fontId="4" fillId="0" borderId="32" applyNumberFormat="0" applyFont="0" applyFill="0" applyBorder="0" applyAlignment="0" applyProtection="0"/>
    <xf numFmtId="0" fontId="4" fillId="0" borderId="0"/>
    <xf numFmtId="4" fontId="37" fillId="0" borderId="0" applyFont="0" applyFill="0" applyBorder="0"/>
    <xf numFmtId="0" fontId="37" fillId="0" borderId="3" applyBorder="0">
      <alignment horizontal="right"/>
    </xf>
    <xf numFmtId="0" fontId="37" fillId="0" borderId="4" applyFont="0" applyBorder="0">
      <alignment horizontal="right"/>
    </xf>
    <xf numFmtId="0" fontId="37" fillId="0" borderId="5" applyFont="0" applyFill="0" applyBorder="0" applyAlignment="0">
      <alignment horizontal="right"/>
    </xf>
    <xf numFmtId="0" fontId="37" fillId="0" borderId="5" applyBorder="0">
      <alignment horizontal="right"/>
    </xf>
    <xf numFmtId="0" fontId="37" fillId="0" borderId="10" applyBorder="0"/>
    <xf numFmtId="0" fontId="37" fillId="0" borderId="11" applyFill="0" applyBorder="0">
      <alignment horizontal="right"/>
    </xf>
    <xf numFmtId="0" fontId="37" fillId="0" borderId="11" applyFont="0" applyFill="0" applyBorder="0">
      <alignment horizontal="right"/>
    </xf>
    <xf numFmtId="0" fontId="37" fillId="22" borderId="3" applyFont="0" applyFill="0" applyBorder="0">
      <alignment horizontal="right"/>
    </xf>
    <xf numFmtId="0" fontId="37" fillId="0" borderId="4">
      <alignment horizontal="left"/>
    </xf>
    <xf numFmtId="0" fontId="37" fillId="0" borderId="16">
      <alignment horizontal="center"/>
    </xf>
    <xf numFmtId="0" fontId="37" fillId="0" borderId="4" applyFill="0" applyBorder="0">
      <alignment horizontal="right"/>
    </xf>
    <xf numFmtId="43" fontId="37" fillId="0" borderId="0">
      <alignment horizontal="left"/>
    </xf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3" borderId="0" applyNumberFormat="0" applyBorder="0" applyAlignment="0" applyProtection="0"/>
    <xf numFmtId="0" fontId="42" fillId="20" borderId="1" applyNumberFormat="0" applyAlignment="0" applyProtection="0"/>
    <xf numFmtId="0" fontId="43" fillId="21" borderId="2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8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1" applyNumberFormat="0" applyAlignment="0" applyProtection="0"/>
    <xf numFmtId="0" fontId="50" fillId="0" borderId="12" applyNumberFormat="0" applyFill="0" applyAlignment="0" applyProtection="0"/>
    <xf numFmtId="0" fontId="51" fillId="23" borderId="0" applyNumberFormat="0" applyBorder="0" applyAlignment="0" applyProtection="0"/>
    <xf numFmtId="0" fontId="4" fillId="24" borderId="14" applyNumberFormat="0" applyFont="0" applyAlignment="0" applyProtection="0"/>
    <xf numFmtId="0" fontId="52" fillId="20" borderId="15" applyNumberFormat="0" applyAlignment="0" applyProtection="0"/>
    <xf numFmtId="0" fontId="53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55" fillId="0" borderId="0" applyNumberFormat="0" applyFill="0" applyBorder="0" applyAlignment="0" applyProtection="0"/>
    <xf numFmtId="0" fontId="84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37" fillId="0" borderId="0" applyFont="0" applyFill="0" applyBorder="0"/>
    <xf numFmtId="44" fontId="4" fillId="0" borderId="0" applyFont="0" applyFill="0" applyBorder="0" applyAlignment="0" applyProtection="0"/>
    <xf numFmtId="0" fontId="37" fillId="0" borderId="3" applyBorder="0">
      <alignment horizontal="right"/>
    </xf>
    <xf numFmtId="0" fontId="37" fillId="0" borderId="4" applyFont="0" applyBorder="0">
      <alignment horizontal="right"/>
    </xf>
    <xf numFmtId="0" fontId="37" fillId="0" borderId="5" applyFont="0" applyFill="0" applyBorder="0" applyAlignment="0">
      <alignment horizontal="right"/>
    </xf>
    <xf numFmtId="0" fontId="37" fillId="0" borderId="5" applyBorder="0">
      <alignment horizontal="right"/>
    </xf>
    <xf numFmtId="0" fontId="37" fillId="0" borderId="10" applyBorder="0"/>
    <xf numFmtId="0" fontId="37" fillId="0" borderId="11" applyFill="0" applyBorder="0">
      <alignment horizontal="right"/>
    </xf>
    <xf numFmtId="0" fontId="37" fillId="0" borderId="13" applyFont="0" applyBorder="0">
      <alignment horizontal="right"/>
    </xf>
    <xf numFmtId="0" fontId="37" fillId="0" borderId="11" applyFont="0" applyFill="0" applyBorder="0">
      <alignment horizontal="right"/>
    </xf>
    <xf numFmtId="0" fontId="37" fillId="22" borderId="3" applyFont="0" applyFill="0" applyBorder="0">
      <alignment horizontal="right"/>
    </xf>
    <xf numFmtId="0" fontId="37" fillId="0" borderId="4">
      <alignment horizontal="left"/>
    </xf>
    <xf numFmtId="9" fontId="4" fillId="0" borderId="0" applyFont="0" applyFill="0" applyBorder="0" applyAlignment="0" applyProtection="0"/>
    <xf numFmtId="0" fontId="37" fillId="0" borderId="16">
      <alignment horizontal="center"/>
    </xf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7" fillId="0" borderId="4" applyFill="0" applyBorder="0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>
      <alignment horizontal="left"/>
    </xf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37" fillId="0" borderId="44" applyFont="0" applyFill="0" applyBorder="0" applyAlignment="0">
      <alignment horizontal="right"/>
    </xf>
    <xf numFmtId="0" fontId="37" fillId="0" borderId="44" applyBorder="0">
      <alignment horizontal="right"/>
    </xf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7" fillId="0" borderId="44" applyFont="0" applyFill="0" applyBorder="0" applyAlignment="0">
      <alignment horizontal="right"/>
    </xf>
    <xf numFmtId="0" fontId="37" fillId="0" borderId="44" applyBorder="0">
      <alignment horizontal="right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44" applyFont="0" applyFill="0" applyBorder="0" applyAlignment="0">
      <alignment horizontal="right"/>
    </xf>
    <xf numFmtId="0" fontId="37" fillId="0" borderId="44" applyBorder="0">
      <alignment horizontal="right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44" applyFont="0" applyFill="0" applyBorder="0" applyAlignment="0">
      <alignment horizontal="right"/>
    </xf>
    <xf numFmtId="0" fontId="37" fillId="0" borderId="44" applyBorder="0">
      <alignment horizontal="right"/>
    </xf>
    <xf numFmtId="0" fontId="37" fillId="0" borderId="44" applyFont="0" applyFill="0" applyBorder="0" applyAlignment="0">
      <alignment horizontal="right"/>
    </xf>
    <xf numFmtId="0" fontId="37" fillId="0" borderId="44" applyBorder="0">
      <alignment horizontal="right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" fontId="0" fillId="0" borderId="0" xfId="0" applyNumberFormat="1"/>
    <xf numFmtId="43" fontId="0" fillId="0" borderId="0" xfId="0" applyNumberFormat="1"/>
    <xf numFmtId="2" fontId="0" fillId="0" borderId="0" xfId="0" applyNumberFormat="1"/>
    <xf numFmtId="41" fontId="0" fillId="0" borderId="0" xfId="0" applyNumberFormat="1"/>
    <xf numFmtId="10" fontId="0" fillId="0" borderId="0" xfId="0" applyNumberFormat="1"/>
    <xf numFmtId="43" fontId="0" fillId="0" borderId="35" xfId="0" applyNumberFormat="1" applyBorder="1"/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1" fontId="0" fillId="0" borderId="0" xfId="0" applyNumberFormat="1" applyFill="1"/>
    <xf numFmtId="0" fontId="0" fillId="0" borderId="0" xfId="0" applyFill="1"/>
    <xf numFmtId="2" fontId="0" fillId="0" borderId="0" xfId="0" applyNumberFormat="1" applyFill="1"/>
    <xf numFmtId="0" fontId="5" fillId="0" borderId="0" xfId="0" applyFont="1"/>
    <xf numFmtId="170" fontId="0" fillId="0" borderId="0" xfId="0" applyNumberFormat="1"/>
    <xf numFmtId="0" fontId="7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2"/>
    </xf>
    <xf numFmtId="0" fontId="8" fillId="0" borderId="0" xfId="0" applyNumberFormat="1" applyFont="1" applyAlignment="1">
      <alignment horizontal="left" indent="2"/>
    </xf>
    <xf numFmtId="0" fontId="8" fillId="0" borderId="0" xfId="0" applyFont="1" applyFill="1" applyBorder="1" applyAlignment="1">
      <alignment horizontal="left" indent="3"/>
    </xf>
    <xf numFmtId="0" fontId="8" fillId="0" borderId="0" xfId="0" applyFont="1" applyFill="1" applyBorder="1" applyAlignment="1">
      <alignment horizontal="left" indent="4"/>
    </xf>
    <xf numFmtId="170" fontId="0" fillId="0" borderId="35" xfId="0" applyNumberFormat="1" applyBorder="1"/>
    <xf numFmtId="43" fontId="0" fillId="0" borderId="0" xfId="0" applyNumberFormat="1" applyFill="1"/>
    <xf numFmtId="3" fontId="0" fillId="0" borderId="0" xfId="0" applyNumberFormat="1" applyFill="1"/>
    <xf numFmtId="0" fontId="5" fillId="0" borderId="0" xfId="0" applyFont="1" applyFill="1"/>
    <xf numFmtId="169" fontId="0" fillId="0" borderId="0" xfId="0" applyNumberFormat="1"/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Fill="1" applyAlignment="1">
      <alignment horizontal="center"/>
    </xf>
    <xf numFmtId="4" fontId="0" fillId="0" borderId="0" xfId="0" applyNumberFormat="1"/>
    <xf numFmtId="43" fontId="0" fillId="0" borderId="0" xfId="0" applyNumberFormat="1" applyFill="1" applyBorder="1"/>
    <xf numFmtId="43" fontId="4" fillId="0" borderId="0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0" borderId="36" xfId="0" applyBorder="1" applyAlignment="1">
      <alignment horizontal="center"/>
    </xf>
    <xf numFmtId="0" fontId="10" fillId="0" borderId="3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43" fontId="4" fillId="0" borderId="0" xfId="0" applyNumberFormat="1" applyFont="1"/>
    <xf numFmtId="43" fontId="4" fillId="0" borderId="0" xfId="0" applyNumberFormat="1" applyFont="1" applyBorder="1"/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/>
    <xf numFmtId="0" fontId="0" fillId="0" borderId="0" xfId="0" applyAlignment="1">
      <alignment horizontal="left" indent="2"/>
    </xf>
    <xf numFmtId="0" fontId="9" fillId="0" borderId="0" xfId="0" applyFont="1" applyFill="1"/>
    <xf numFmtId="0" fontId="8" fillId="0" borderId="0" xfId="0" applyFont="1"/>
    <xf numFmtId="0" fontId="15" fillId="0" borderId="0" xfId="0" applyFont="1"/>
    <xf numFmtId="43" fontId="0" fillId="0" borderId="37" xfId="0" applyNumberFormat="1" applyBorder="1"/>
    <xf numFmtId="0" fontId="16" fillId="0" borderId="0" xfId="0" applyFont="1"/>
    <xf numFmtId="176" fontId="0" fillId="0" borderId="0" xfId="0" applyNumberFormat="1"/>
    <xf numFmtId="0" fontId="13" fillId="0" borderId="0" xfId="0" applyFont="1"/>
    <xf numFmtId="41" fontId="0" fillId="0" borderId="0" xfId="0" applyNumberFormat="1" applyFill="1"/>
    <xf numFmtId="165" fontId="0" fillId="0" borderId="0" xfId="0" applyNumberFormat="1" applyFill="1"/>
    <xf numFmtId="0" fontId="15" fillId="0" borderId="0" xfId="0" applyFont="1" applyFill="1"/>
    <xf numFmtId="43" fontId="17" fillId="0" borderId="0" xfId="0" applyNumberFormat="1" applyFont="1" applyFill="1"/>
    <xf numFmtId="0" fontId="17" fillId="0" borderId="0" xfId="0" applyFont="1" applyFill="1"/>
    <xf numFmtId="170" fontId="17" fillId="0" borderId="0" xfId="0" applyNumberFormat="1" applyFont="1" applyFill="1"/>
    <xf numFmtId="0" fontId="17" fillId="0" borderId="0" xfId="0" applyFont="1"/>
    <xf numFmtId="43" fontId="4" fillId="0" borderId="37" xfId="0" applyNumberFormat="1" applyFont="1" applyFill="1" applyBorder="1"/>
    <xf numFmtId="39" fontId="0" fillId="0" borderId="0" xfId="0" applyNumberFormat="1"/>
    <xf numFmtId="39" fontId="0" fillId="0" borderId="35" xfId="0" applyNumberFormat="1" applyBorder="1"/>
    <xf numFmtId="0" fontId="8" fillId="0" borderId="0" xfId="0" applyFont="1" applyFill="1"/>
    <xf numFmtId="10" fontId="17" fillId="0" borderId="0" xfId="0" applyNumberFormat="1" applyFont="1" applyFill="1"/>
    <xf numFmtId="169" fontId="17" fillId="0" borderId="0" xfId="0" applyNumberFormat="1" applyFont="1" applyFill="1"/>
    <xf numFmtId="43" fontId="17" fillId="0" borderId="0" xfId="0" applyNumberFormat="1" applyFont="1" applyFill="1" applyBorder="1"/>
    <xf numFmtId="164" fontId="17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13" fillId="0" borderId="0" xfId="0" applyFont="1" applyFill="1"/>
    <xf numFmtId="9" fontId="18" fillId="0" borderId="16" xfId="0" applyNumberFormat="1" applyFont="1" applyFill="1" applyBorder="1"/>
    <xf numFmtId="164" fontId="0" fillId="0" borderId="0" xfId="0" applyNumberFormat="1" applyFill="1"/>
    <xf numFmtId="0" fontId="10" fillId="0" borderId="0" xfId="0" applyFont="1" applyFill="1"/>
    <xf numFmtId="0" fontId="10" fillId="0" borderId="0" xfId="0" applyFont="1" applyFill="1" applyBorder="1"/>
    <xf numFmtId="43" fontId="0" fillId="0" borderId="37" xfId="0" applyNumberFormat="1" applyFill="1" applyBorder="1"/>
    <xf numFmtId="164" fontId="0" fillId="0" borderId="0" xfId="0" applyNumberFormat="1"/>
    <xf numFmtId="177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43" fontId="17" fillId="0" borderId="0" xfId="0" applyNumberFormat="1" applyFont="1"/>
    <xf numFmtId="43" fontId="17" fillId="0" borderId="35" xfId="0" applyNumberFormat="1" applyFont="1" applyBorder="1"/>
    <xf numFmtId="43" fontId="17" fillId="0" borderId="0" xfId="0" applyNumberFormat="1" applyFont="1" applyBorder="1"/>
    <xf numFmtId="0" fontId="0" fillId="0" borderId="0" xfId="0" quotePrefix="1" applyAlignment="1">
      <alignment horizontal="right"/>
    </xf>
    <xf numFmtId="177" fontId="0" fillId="26" borderId="0" xfId="0" applyNumberFormat="1" applyFill="1"/>
    <xf numFmtId="0" fontId="0" fillId="26" borderId="0" xfId="0" applyFill="1"/>
    <xf numFmtId="43" fontId="0" fillId="26" borderId="0" xfId="0" applyNumberFormat="1" applyFill="1"/>
    <xf numFmtId="10" fontId="4" fillId="0" borderId="0" xfId="0" applyNumberFormat="1" applyFont="1"/>
    <xf numFmtId="0" fontId="0" fillId="26" borderId="0" xfId="0" applyFill="1" applyAlignment="1">
      <alignment horizontal="right"/>
    </xf>
    <xf numFmtId="179" fontId="0" fillId="0" borderId="0" xfId="0" applyNumberFormat="1"/>
    <xf numFmtId="10" fontId="17" fillId="0" borderId="0" xfId="0" applyNumberFormat="1" applyFont="1"/>
    <xf numFmtId="172" fontId="17" fillId="0" borderId="0" xfId="0" applyNumberFormat="1" applyFont="1"/>
    <xf numFmtId="14" fontId="0" fillId="0" borderId="0" xfId="0" applyNumberFormat="1"/>
    <xf numFmtId="172" fontId="0" fillId="0" borderId="37" xfId="0" applyNumberFormat="1" applyBorder="1"/>
    <xf numFmtId="3" fontId="10" fillId="0" borderId="0" xfId="0" applyNumberFormat="1" applyFont="1"/>
    <xf numFmtId="0" fontId="0" fillId="0" borderId="35" xfId="0" applyBorder="1"/>
    <xf numFmtId="170" fontId="17" fillId="0" borderId="0" xfId="0" applyNumberFormat="1" applyFont="1"/>
    <xf numFmtId="170" fontId="17" fillId="0" borderId="35" xfId="0" applyNumberFormat="1" applyFont="1" applyBorder="1"/>
    <xf numFmtId="10" fontId="17" fillId="0" borderId="16" xfId="0" applyNumberFormat="1" applyFont="1" applyBorder="1"/>
    <xf numFmtId="10" fontId="17" fillId="0" borderId="0" xfId="0" applyNumberFormat="1" applyFont="1" applyBorder="1"/>
    <xf numFmtId="43" fontId="17" fillId="26" borderId="0" xfId="0" applyNumberFormat="1" applyFont="1" applyFill="1"/>
    <xf numFmtId="170" fontId="17" fillId="26" borderId="0" xfId="0" applyNumberFormat="1" applyFont="1" applyFill="1"/>
    <xf numFmtId="37" fontId="0" fillId="0" borderId="0" xfId="0" applyNumberFormat="1"/>
    <xf numFmtId="180" fontId="0" fillId="0" borderId="0" xfId="0" applyNumberFormat="1"/>
    <xf numFmtId="0" fontId="13" fillId="0" borderId="0" xfId="0" applyFont="1" applyFill="1" applyBorder="1"/>
    <xf numFmtId="0" fontId="4" fillId="0" borderId="0" xfId="0" applyFont="1" applyFill="1" applyBorder="1"/>
    <xf numFmtId="170" fontId="4" fillId="0" borderId="0" xfId="0" applyNumberFormat="1" applyFont="1"/>
    <xf numFmtId="0" fontId="4" fillId="0" borderId="0" xfId="0" applyFont="1" applyFill="1" applyBorder="1" applyAlignment="1">
      <alignment horizontal="left" indent="1"/>
    </xf>
    <xf numFmtId="166" fontId="0" fillId="0" borderId="0" xfId="0" applyNumberFormat="1"/>
    <xf numFmtId="172" fontId="19" fillId="0" borderId="37" xfId="0" applyNumberFormat="1" applyFont="1" applyBorder="1"/>
    <xf numFmtId="43" fontId="4" fillId="0" borderId="0" xfId="0" applyNumberFormat="1" applyFont="1" applyFill="1"/>
    <xf numFmtId="0" fontId="20" fillId="0" borderId="0" xfId="0" applyFont="1"/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1"/>
    </xf>
    <xf numFmtId="0" fontId="20" fillId="0" borderId="0" xfId="0" applyFont="1" applyAlignment="1">
      <alignment horizontal="left"/>
    </xf>
    <xf numFmtId="10" fontId="20" fillId="0" borderId="0" xfId="0" applyNumberFormat="1" applyFont="1"/>
    <xf numFmtId="0" fontId="20" fillId="0" borderId="0" xfId="0" applyFont="1" applyFill="1" applyAlignment="1">
      <alignment horizontal="left" indent="2"/>
    </xf>
    <xf numFmtId="3" fontId="20" fillId="0" borderId="0" xfId="0" applyNumberFormat="1" applyFont="1" applyFill="1" applyAlignment="1">
      <alignment horizontal="left" indent="2"/>
    </xf>
    <xf numFmtId="39" fontId="20" fillId="0" borderId="0" xfId="0" applyNumberFormat="1" applyFont="1"/>
    <xf numFmtId="39" fontId="20" fillId="0" borderId="37" xfId="0" applyNumberFormat="1" applyFont="1" applyBorder="1"/>
    <xf numFmtId="0" fontId="20" fillId="0" borderId="0" xfId="0" applyFont="1" applyAlignment="1">
      <alignment horizontal="left" indent="2"/>
    </xf>
    <xf numFmtId="39" fontId="20" fillId="0" borderId="35" xfId="0" applyNumberFormat="1" applyFont="1" applyBorder="1"/>
    <xf numFmtId="0" fontId="20" fillId="0" borderId="0" xfId="0" applyFont="1" applyFill="1"/>
    <xf numFmtId="0" fontId="21" fillId="0" borderId="0" xfId="0" applyFont="1" applyFill="1"/>
    <xf numFmtId="39" fontId="20" fillId="0" borderId="0" xfId="0" applyNumberFormat="1" applyFont="1" applyBorder="1"/>
    <xf numFmtId="0" fontId="21" fillId="0" borderId="0" xfId="0" applyFont="1" applyFill="1" applyBorder="1"/>
    <xf numFmtId="0" fontId="20" fillId="0" borderId="0" xfId="0" applyFont="1" applyFill="1" applyBorder="1" applyAlignment="1">
      <alignment horizontal="left" indent="1"/>
    </xf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 indent="1"/>
    </xf>
    <xf numFmtId="0" fontId="23" fillId="0" borderId="0" xfId="0" applyNumberFormat="1" applyFont="1" applyAlignment="1">
      <alignment horizontal="left" indent="1"/>
    </xf>
    <xf numFmtId="0" fontId="20" fillId="0" borderId="0" xfId="0" applyNumberFormat="1" applyFont="1" applyAlignment="1">
      <alignment horizontal="left" vertical="top" indent="2"/>
    </xf>
    <xf numFmtId="0" fontId="20" fillId="0" borderId="0" xfId="0" applyNumberFormat="1" applyFont="1" applyAlignment="1">
      <alignment horizontal="left" vertical="top" indent="3"/>
    </xf>
    <xf numFmtId="0" fontId="23" fillId="0" borderId="0" xfId="0" applyNumberFormat="1" applyFont="1" applyAlignment="1">
      <alignment horizontal="left" vertical="top" indent="1"/>
    </xf>
    <xf numFmtId="0" fontId="23" fillId="0" borderId="0" xfId="0" applyNumberFormat="1" applyFont="1" applyFill="1" applyAlignment="1">
      <alignment horizontal="left" vertical="top" indent="1"/>
    </xf>
    <xf numFmtId="0" fontId="20" fillId="0" borderId="0" xfId="0" applyNumberFormat="1" applyFont="1" applyAlignment="1">
      <alignment horizontal="left" vertical="top" indent="1"/>
    </xf>
    <xf numFmtId="39" fontId="20" fillId="0" borderId="0" xfId="0" applyNumberFormat="1" applyFont="1" applyFill="1"/>
    <xf numFmtId="0" fontId="20" fillId="0" borderId="0" xfId="0" applyNumberFormat="1" applyFont="1" applyAlignment="1">
      <alignment horizontal="left" indent="2"/>
    </xf>
    <xf numFmtId="0" fontId="23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indent="2"/>
    </xf>
    <xf numFmtId="0" fontId="20" fillId="0" borderId="0" xfId="0" applyFont="1" applyFill="1" applyBorder="1" applyAlignment="1">
      <alignment horizontal="left" indent="3"/>
    </xf>
    <xf numFmtId="0" fontId="20" fillId="0" borderId="0" xfId="0" applyFont="1" applyFill="1" applyBorder="1" applyAlignment="1">
      <alignment horizontal="left" indent="4"/>
    </xf>
    <xf numFmtId="0" fontId="25" fillId="0" borderId="0" xfId="0" applyFont="1" applyFill="1" applyBorder="1" applyAlignment="1">
      <alignment horizontal="left" indent="2"/>
    </xf>
    <xf numFmtId="0" fontId="20" fillId="0" borderId="0" xfId="0" applyFont="1" applyFill="1" applyBorder="1"/>
    <xf numFmtId="39" fontId="20" fillId="0" borderId="0" xfId="0" applyNumberFormat="1" applyFont="1" applyFill="1" applyBorder="1"/>
    <xf numFmtId="2" fontId="20" fillId="0" borderId="0" xfId="0" applyNumberFormat="1" applyFont="1" applyFill="1" applyBorder="1"/>
    <xf numFmtId="0" fontId="23" fillId="0" borderId="0" xfId="0" applyFont="1" applyAlignment="1">
      <alignment vertical="top" wrapText="1"/>
    </xf>
    <xf numFmtId="39" fontId="20" fillId="0" borderId="37" xfId="0" applyNumberFormat="1" applyFont="1" applyFill="1" applyBorder="1"/>
    <xf numFmtId="166" fontId="20" fillId="0" borderId="0" xfId="0" applyNumberFormat="1" applyFont="1" applyFill="1" applyBorder="1"/>
    <xf numFmtId="0" fontId="13" fillId="0" borderId="0" xfId="0" applyFont="1" applyFill="1" applyBorder="1" applyAlignment="1"/>
    <xf numFmtId="39" fontId="4" fillId="0" borderId="0" xfId="0" applyNumberFormat="1" applyFont="1" applyFill="1"/>
    <xf numFmtId="39" fontId="20" fillId="0" borderId="35" xfId="0" applyNumberFormat="1" applyFont="1" applyFill="1" applyBorder="1"/>
    <xf numFmtId="0" fontId="22" fillId="0" borderId="0" xfId="0" applyFont="1" applyFill="1" applyBorder="1"/>
    <xf numFmtId="2" fontId="21" fillId="0" borderId="0" xfId="0" applyNumberFormat="1" applyFont="1" applyFill="1" applyBorder="1"/>
    <xf numFmtId="2" fontId="22" fillId="0" borderId="0" xfId="0" applyNumberFormat="1" applyFont="1" applyFill="1" applyBorder="1"/>
    <xf numFmtId="0" fontId="21" fillId="0" borderId="0" xfId="0" applyFont="1" applyFill="1" applyBorder="1" applyAlignment="1">
      <alignment horizontal="center" wrapText="1"/>
    </xf>
    <xf numFmtId="14" fontId="21" fillId="0" borderId="0" xfId="0" applyNumberFormat="1" applyFont="1" applyFill="1" applyBorder="1" applyAlignment="1">
      <alignment horizontal="center" wrapText="1"/>
    </xf>
    <xf numFmtId="1" fontId="20" fillId="0" borderId="0" xfId="0" applyNumberFormat="1" applyFont="1"/>
    <xf numFmtId="1" fontId="5" fillId="0" borderId="0" xfId="0" applyNumberFormat="1" applyFont="1" applyBorder="1" applyAlignment="1">
      <alignment horizontal="center"/>
    </xf>
    <xf numFmtId="39" fontId="5" fillId="0" borderId="0" xfId="0" applyNumberFormat="1" applyFont="1" applyFill="1" applyBorder="1"/>
    <xf numFmtId="0" fontId="0" fillId="27" borderId="0" xfId="0" applyFill="1"/>
    <xf numFmtId="0" fontId="9" fillId="27" borderId="0" xfId="0" applyFont="1" applyFill="1"/>
    <xf numFmtId="0" fontId="10" fillId="27" borderId="0" xfId="0" applyFont="1" applyFill="1"/>
    <xf numFmtId="0" fontId="0" fillId="27" borderId="0" xfId="0" applyFill="1" applyAlignment="1">
      <alignment horizontal="center"/>
    </xf>
    <xf numFmtId="0" fontId="0" fillId="26" borderId="0" xfId="0" applyFill="1" applyAlignment="1">
      <alignment horizontal="center"/>
    </xf>
    <xf numFmtId="170" fontId="0" fillId="26" borderId="0" xfId="0" applyNumberFormat="1" applyFill="1"/>
    <xf numFmtId="2" fontId="0" fillId="26" borderId="0" xfId="0" applyNumberFormat="1" applyFill="1"/>
    <xf numFmtId="43" fontId="0" fillId="26" borderId="0" xfId="0" applyNumberFormat="1" applyFill="1" applyBorder="1"/>
    <xf numFmtId="165" fontId="0" fillId="26" borderId="0" xfId="0" applyNumberFormat="1" applyFill="1"/>
    <xf numFmtId="10" fontId="0" fillId="26" borderId="0" xfId="0" applyNumberFormat="1" applyFill="1"/>
    <xf numFmtId="43" fontId="4" fillId="26" borderId="0" xfId="0" applyNumberFormat="1" applyFont="1" applyFill="1" applyBorder="1"/>
    <xf numFmtId="43" fontId="0" fillId="26" borderId="37" xfId="0" applyNumberFormat="1" applyFill="1" applyBorder="1"/>
    <xf numFmtId="43" fontId="17" fillId="26" borderId="0" xfId="0" applyNumberFormat="1" applyFont="1" applyFill="1" applyBorder="1"/>
    <xf numFmtId="164" fontId="17" fillId="26" borderId="0" xfId="0" applyNumberFormat="1" applyFont="1" applyFill="1" applyBorder="1"/>
    <xf numFmtId="43" fontId="4" fillId="26" borderId="0" xfId="0" applyNumberFormat="1" applyFont="1" applyFill="1"/>
    <xf numFmtId="1" fontId="0" fillId="0" borderId="0" xfId="0" applyNumberFormat="1" applyAlignment="1">
      <alignment horizontal="center"/>
    </xf>
    <xf numFmtId="1" fontId="0" fillId="26" borderId="0" xfId="0" applyNumberFormat="1" applyFill="1" applyAlignment="1">
      <alignment horizontal="center"/>
    </xf>
    <xf numFmtId="43" fontId="0" fillId="0" borderId="0" xfId="0" applyNumberFormat="1" applyFill="1" applyAlignment="1">
      <alignment horizontal="right"/>
    </xf>
    <xf numFmtId="43" fontId="14" fillId="0" borderId="0" xfId="0" applyNumberFormat="1" applyFont="1" applyFill="1"/>
    <xf numFmtId="0" fontId="9" fillId="0" borderId="0" xfId="0" applyFont="1" applyAlignment="1">
      <alignment horizontal="center"/>
    </xf>
    <xf numFmtId="41" fontId="0" fillId="26" borderId="0" xfId="0" applyNumberFormat="1" applyFill="1"/>
    <xf numFmtId="170" fontId="0" fillId="26" borderId="35" xfId="0" applyNumberFormat="1" applyFill="1" applyBorder="1"/>
    <xf numFmtId="1" fontId="0" fillId="27" borderId="0" xfId="0" applyNumberFormat="1" applyFill="1" applyAlignment="1">
      <alignment horizontal="center"/>
    </xf>
    <xf numFmtId="43" fontId="4" fillId="26" borderId="37" xfId="0" applyNumberFormat="1" applyFont="1" applyFill="1" applyBorder="1"/>
    <xf numFmtId="0" fontId="17" fillId="26" borderId="0" xfId="0" applyFont="1" applyFill="1"/>
    <xf numFmtId="39" fontId="4" fillId="26" borderId="0" xfId="0" applyNumberFormat="1" applyFont="1" applyFill="1"/>
    <xf numFmtId="43" fontId="0" fillId="27" borderId="0" xfId="0" applyNumberFormat="1" applyFill="1"/>
    <xf numFmtId="0" fontId="8" fillId="27" borderId="0" xfId="0" applyFont="1" applyFill="1"/>
    <xf numFmtId="0" fontId="9" fillId="27" borderId="0" xfId="0" applyFont="1" applyFill="1" applyAlignment="1">
      <alignment vertical="top" wrapText="1"/>
    </xf>
    <xf numFmtId="0" fontId="10" fillId="27" borderId="36" xfId="0" applyFont="1" applyFill="1" applyBorder="1" applyAlignment="1">
      <alignment horizontal="left"/>
    </xf>
    <xf numFmtId="0" fontId="10" fillId="27" borderId="0" xfId="0" applyFont="1" applyFill="1" applyAlignment="1">
      <alignment horizontal="left"/>
    </xf>
    <xf numFmtId="0" fontId="13" fillId="27" borderId="0" xfId="0" applyFont="1" applyFill="1" applyAlignment="1">
      <alignment horizontal="left" indent="1"/>
    </xf>
    <xf numFmtId="0" fontId="0" fillId="27" borderId="0" xfId="0" applyFill="1" applyAlignment="1">
      <alignment horizontal="left" indent="3"/>
    </xf>
    <xf numFmtId="0" fontId="0" fillId="27" borderId="0" xfId="0" applyFill="1" applyAlignment="1">
      <alignment horizontal="left" indent="4"/>
    </xf>
    <xf numFmtId="0" fontId="4" fillId="27" borderId="0" xfId="0" applyFont="1" applyFill="1" applyAlignment="1">
      <alignment horizontal="left" indent="1"/>
    </xf>
    <xf numFmtId="0" fontId="0" fillId="27" borderId="0" xfId="0" applyFill="1" applyAlignment="1">
      <alignment horizontal="left" indent="1"/>
    </xf>
    <xf numFmtId="0" fontId="0" fillId="27" borderId="0" xfId="0" applyFill="1" applyAlignment="1">
      <alignment horizontal="left" indent="2"/>
    </xf>
    <xf numFmtId="167" fontId="0" fillId="27" borderId="0" xfId="0" applyNumberFormat="1" applyFill="1"/>
    <xf numFmtId="39" fontId="0" fillId="27" borderId="0" xfId="0" applyNumberFormat="1" applyFill="1"/>
    <xf numFmtId="170" fontId="17" fillId="27" borderId="0" xfId="0" applyNumberFormat="1" applyFont="1" applyFill="1"/>
    <xf numFmtId="167" fontId="0" fillId="26" borderId="0" xfId="0" applyNumberFormat="1" applyFill="1"/>
    <xf numFmtId="39" fontId="0" fillId="26" borderId="0" xfId="0" applyNumberFormat="1" applyFill="1"/>
    <xf numFmtId="170" fontId="4" fillId="26" borderId="0" xfId="0" applyNumberFormat="1" applyFont="1" applyFill="1"/>
    <xf numFmtId="1" fontId="0" fillId="0" borderId="0" xfId="0" applyNumberFormat="1" applyFill="1" applyAlignment="1">
      <alignment horizontal="center"/>
    </xf>
    <xf numFmtId="43" fontId="0" fillId="27" borderId="37" xfId="0" applyNumberFormat="1" applyFill="1" applyBorder="1"/>
    <xf numFmtId="43" fontId="0" fillId="27" borderId="35" xfId="0" applyNumberFormat="1" applyFill="1" applyBorder="1"/>
    <xf numFmtId="164" fontId="0" fillId="26" borderId="0" xfId="0" applyNumberFormat="1" applyFill="1"/>
    <xf numFmtId="43" fontId="17" fillId="27" borderId="0" xfId="0" applyNumberFormat="1" applyFont="1" applyFill="1"/>
    <xf numFmtId="43" fontId="17" fillId="27" borderId="35" xfId="0" applyNumberFormat="1" applyFont="1" applyFill="1" applyBorder="1"/>
    <xf numFmtId="43" fontId="17" fillId="27" borderId="0" xfId="0" applyNumberFormat="1" applyFont="1" applyFill="1" applyBorder="1"/>
    <xf numFmtId="10" fontId="0" fillId="27" borderId="0" xfId="0" applyNumberFormat="1" applyFill="1"/>
    <xf numFmtId="43" fontId="0" fillId="26" borderId="35" xfId="0" applyNumberFormat="1" applyFill="1" applyBorder="1"/>
    <xf numFmtId="10" fontId="17" fillId="26" borderId="0" xfId="0" applyNumberFormat="1" applyFont="1" applyFill="1"/>
    <xf numFmtId="174" fontId="0" fillId="26" borderId="0" xfId="0" applyNumberFormat="1" applyFill="1"/>
    <xf numFmtId="14" fontId="0" fillId="26" borderId="0" xfId="0" applyNumberFormat="1" applyFill="1"/>
    <xf numFmtId="179" fontId="0" fillId="26" borderId="0" xfId="0" applyNumberFormat="1" applyFill="1"/>
    <xf numFmtId="10" fontId="4" fillId="26" borderId="0" xfId="0" applyNumberFormat="1" applyFont="1" applyFill="1"/>
    <xf numFmtId="172" fontId="0" fillId="26" borderId="37" xfId="0" applyNumberFormat="1" applyFill="1" applyBorder="1"/>
    <xf numFmtId="3" fontId="0" fillId="0" borderId="0" xfId="0" applyNumberFormat="1" applyAlignment="1">
      <alignment horizontal="center"/>
    </xf>
    <xf numFmtId="180" fontId="0" fillId="26" borderId="0" xfId="0" applyNumberFormat="1" applyFill="1"/>
    <xf numFmtId="3" fontId="0" fillId="26" borderId="0" xfId="0" applyNumberFormat="1" applyFill="1"/>
    <xf numFmtId="37" fontId="0" fillId="26" borderId="0" xfId="0" applyNumberFormat="1" applyFill="1"/>
    <xf numFmtId="4" fontId="0" fillId="26" borderId="0" xfId="0" applyNumberFormat="1" applyFill="1"/>
    <xf numFmtId="4" fontId="0" fillId="0" borderId="35" xfId="0" applyNumberFormat="1" applyBorder="1"/>
    <xf numFmtId="4" fontId="0" fillId="0" borderId="0" xfId="0" applyNumberFormat="1" applyBorder="1"/>
    <xf numFmtId="2" fontId="17" fillId="0" borderId="0" xfId="0" applyNumberFormat="1" applyFont="1" applyFill="1"/>
    <xf numFmtId="0" fontId="0" fillId="0" borderId="0" xfId="0" applyAlignment="1">
      <alignment horizontal="right"/>
    </xf>
    <xf numFmtId="39" fontId="0" fillId="0" borderId="0" xfId="0" applyNumberFormat="1" applyFill="1"/>
    <xf numFmtId="2" fontId="17" fillId="0" borderId="0" xfId="0" applyNumberFormat="1" applyFont="1"/>
    <xf numFmtId="39" fontId="0" fillId="0" borderId="37" xfId="0" applyNumberFormat="1" applyFill="1" applyBorder="1"/>
    <xf numFmtId="3" fontId="27" fillId="0" borderId="0" xfId="0" quotePrefix="1" applyNumberFormat="1" applyFont="1" applyAlignment="1">
      <alignment horizontal="left"/>
    </xf>
    <xf numFmtId="3" fontId="27" fillId="0" borderId="0" xfId="0" applyNumberFormat="1" applyFont="1" applyAlignment="1">
      <alignment horizontal="left"/>
    </xf>
    <xf numFmtId="3" fontId="28" fillId="0" borderId="0" xfId="0" applyNumberFormat="1" applyFont="1" applyAlignment="1"/>
    <xf numFmtId="3" fontId="28" fillId="0" borderId="0" xfId="0" quotePrefix="1" applyNumberFormat="1" applyFont="1" applyAlignment="1">
      <alignment horizontal="left"/>
    </xf>
    <xf numFmtId="180" fontId="30" fillId="0" borderId="0" xfId="0" applyNumberFormat="1" applyFont="1" applyBorder="1" applyAlignment="1"/>
    <xf numFmtId="180" fontId="30" fillId="0" borderId="0" xfId="0" applyNumberFormat="1" applyFont="1" applyAlignment="1"/>
    <xf numFmtId="39" fontId="0" fillId="0" borderId="37" xfId="0" applyNumberFormat="1" applyBorder="1"/>
    <xf numFmtId="164" fontId="0" fillId="0" borderId="37" xfId="0" applyNumberFormat="1" applyBorder="1"/>
    <xf numFmtId="164" fontId="0" fillId="26" borderId="37" xfId="0" applyNumberFormat="1" applyFill="1" applyBorder="1"/>
    <xf numFmtId="164" fontId="0" fillId="0" borderId="37" xfId="0" applyNumberFormat="1" applyFill="1" applyBorder="1"/>
    <xf numFmtId="4" fontId="17" fillId="27" borderId="0" xfId="0" applyNumberFormat="1" applyFont="1" applyFill="1"/>
    <xf numFmtId="2" fontId="17" fillId="27" borderId="0" xfId="0" applyNumberFormat="1" applyFont="1" applyFill="1"/>
    <xf numFmtId="44" fontId="0" fillId="0" borderId="0" xfId="32" applyFont="1"/>
    <xf numFmtId="44" fontId="0" fillId="0" borderId="0" xfId="0" applyNumberFormat="1"/>
    <xf numFmtId="43" fontId="9" fillId="0" borderId="0" xfId="0" applyNumberFormat="1" applyFont="1" applyFill="1"/>
    <xf numFmtId="44" fontId="0" fillId="0" borderId="0" xfId="0" applyNumberFormat="1" applyFill="1"/>
    <xf numFmtId="171" fontId="0" fillId="26" borderId="35" xfId="0" applyNumberFormat="1" applyFill="1" applyBorder="1"/>
    <xf numFmtId="171" fontId="0" fillId="26" borderId="0" xfId="0" applyNumberFormat="1" applyFill="1"/>
    <xf numFmtId="167" fontId="17" fillId="0" borderId="0" xfId="0" applyNumberFormat="1" applyFont="1"/>
    <xf numFmtId="2" fontId="8" fillId="0" borderId="0" xfId="0" applyNumberFormat="1" applyFont="1"/>
    <xf numFmtId="43" fontId="14" fillId="0" borderId="0" xfId="0" applyNumberFormat="1" applyFont="1" applyFill="1" applyBorder="1"/>
    <xf numFmtId="43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left" indent="1"/>
    </xf>
    <xf numFmtId="43" fontId="0" fillId="0" borderId="0" xfId="0" applyNumberFormat="1" applyAlignment="1">
      <alignment horizontal="left" indent="2"/>
    </xf>
    <xf numFmtId="4" fontId="17" fillId="0" borderId="0" xfId="0" applyNumberFormat="1" applyFont="1" applyFill="1"/>
    <xf numFmtId="4" fontId="0" fillId="0" borderId="0" xfId="0" applyNumberFormat="1" applyFill="1"/>
    <xf numFmtId="0" fontId="0" fillId="0" borderId="0" xfId="0" applyAlignment="1">
      <alignment horizontal="left"/>
    </xf>
    <xf numFmtId="3" fontId="29" fillId="0" borderId="0" xfId="0" applyNumberFormat="1" applyFont="1" applyAlignment="1"/>
    <xf numFmtId="3" fontId="31" fillId="0" borderId="0" xfId="0" applyNumberFormat="1" applyFont="1" applyFill="1" applyAlignment="1">
      <alignment horizontal="left"/>
    </xf>
    <xf numFmtId="166" fontId="0" fillId="0" borderId="0" xfId="0" applyNumberFormat="1" applyFill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33" fillId="0" borderId="0" xfId="0" applyFont="1" applyFill="1"/>
    <xf numFmtId="164" fontId="0" fillId="0" borderId="0" xfId="0" quotePrefix="1" applyNumberFormat="1" applyAlignment="1">
      <alignment horizontal="left"/>
    </xf>
    <xf numFmtId="175" fontId="29" fillId="0" borderId="0" xfId="0" quotePrefix="1" applyNumberFormat="1" applyFont="1" applyAlignment="1">
      <alignment horizontal="left"/>
    </xf>
    <xf numFmtId="175" fontId="29" fillId="0" borderId="0" xfId="0" applyNumberFormat="1" applyFont="1" applyAlignment="1"/>
    <xf numFmtId="164" fontId="0" fillId="0" borderId="0" xfId="0" applyNumberFormat="1" applyFill="1" applyAlignment="1">
      <alignment horizontal="left"/>
    </xf>
    <xf numFmtId="182" fontId="0" fillId="0" borderId="0" xfId="0" applyNumberFormat="1" applyFill="1"/>
    <xf numFmtId="180" fontId="0" fillId="0" borderId="0" xfId="0" applyNumberFormat="1" applyFill="1"/>
    <xf numFmtId="182" fontId="0" fillId="26" borderId="0" xfId="0" applyNumberFormat="1" applyFill="1"/>
    <xf numFmtId="166" fontId="0" fillId="26" borderId="0" xfId="0" applyNumberFormat="1" applyFill="1"/>
    <xf numFmtId="0" fontId="0" fillId="0" borderId="0" xfId="0" applyFill="1" applyAlignment="1">
      <alignment horizontal="right"/>
    </xf>
    <xf numFmtId="180" fontId="0" fillId="27" borderId="0" xfId="0" applyNumberFormat="1" applyFill="1"/>
    <xf numFmtId="180" fontId="17" fillId="0" borderId="0" xfId="0" applyNumberFormat="1" applyFont="1" applyFill="1"/>
    <xf numFmtId="180" fontId="9" fillId="0" borderId="0" xfId="0" applyNumberFormat="1" applyFont="1" applyFill="1"/>
    <xf numFmtId="180" fontId="9" fillId="26" borderId="0" xfId="0" applyNumberFormat="1" applyFont="1" applyFill="1"/>
    <xf numFmtId="180" fontId="28" fillId="0" borderId="0" xfId="0" applyNumberFormat="1" applyFont="1" applyAlignment="1"/>
    <xf numFmtId="176" fontId="0" fillId="26" borderId="0" xfId="0" applyNumberFormat="1" applyFill="1"/>
    <xf numFmtId="39" fontId="0" fillId="26" borderId="37" xfId="0" applyNumberFormat="1" applyFill="1" applyBorder="1"/>
    <xf numFmtId="2" fontId="4" fillId="0" borderId="0" xfId="0" applyNumberFormat="1" applyFont="1" applyFill="1"/>
    <xf numFmtId="2" fontId="4" fillId="0" borderId="37" xfId="0" applyNumberFormat="1" applyFont="1" applyFill="1" applyBorder="1"/>
    <xf numFmtId="2" fontId="8" fillId="0" borderId="37" xfId="0" applyNumberFormat="1" applyFont="1" applyFill="1" applyBorder="1"/>
    <xf numFmtId="3" fontId="29" fillId="0" borderId="0" xfId="0" quotePrefix="1" applyNumberFormat="1" applyFont="1" applyAlignment="1">
      <alignment horizontal="left"/>
    </xf>
    <xf numFmtId="3" fontId="29" fillId="28" borderId="0" xfId="0" quotePrefix="1" applyNumberFormat="1" applyFont="1" applyFill="1" applyAlignment="1">
      <alignment horizontal="left"/>
    </xf>
    <xf numFmtId="3" fontId="29" fillId="0" borderId="0" xfId="0" applyNumberFormat="1" applyFont="1" applyAlignment="1">
      <alignment horizontal="left"/>
    </xf>
    <xf numFmtId="2" fontId="0" fillId="0" borderId="37" xfId="0" applyNumberFormat="1" applyBorder="1"/>
    <xf numFmtId="2" fontId="0" fillId="27" borderId="0" xfId="0" applyNumberFormat="1" applyFill="1"/>
    <xf numFmtId="183" fontId="4" fillId="0" borderId="0" xfId="0" applyNumberFormat="1" applyFont="1" applyAlignment="1"/>
    <xf numFmtId="3" fontId="4" fillId="0" borderId="0" xfId="0" applyNumberFormat="1" applyFont="1" applyAlignment="1"/>
    <xf numFmtId="169" fontId="17" fillId="26" borderId="0" xfId="0" applyNumberFormat="1" applyFont="1" applyFill="1"/>
    <xf numFmtId="169" fontId="0" fillId="26" borderId="0" xfId="0" applyNumberFormat="1" applyFill="1"/>
    <xf numFmtId="10" fontId="20" fillId="0" borderId="0" xfId="0" applyNumberFormat="1" applyFont="1" applyFill="1"/>
    <xf numFmtId="181" fontId="0" fillId="0" borderId="0" xfId="0" applyNumberFormat="1"/>
    <xf numFmtId="1" fontId="0" fillId="26" borderId="0" xfId="0" applyNumberFormat="1" applyFill="1"/>
    <xf numFmtId="39" fontId="16" fillId="0" borderId="0" xfId="0" applyNumberFormat="1" applyFont="1" applyFill="1" applyBorder="1"/>
    <xf numFmtId="39" fontId="16" fillId="0" borderId="35" xfId="0" applyNumberFormat="1" applyFont="1" applyFill="1" applyBorder="1"/>
    <xf numFmtId="39" fontId="16" fillId="0" borderId="37" xfId="0" applyNumberFormat="1" applyFont="1" applyFill="1" applyBorder="1"/>
    <xf numFmtId="43" fontId="9" fillId="26" borderId="0" xfId="0" applyNumberFormat="1" applyFont="1" applyFill="1"/>
    <xf numFmtId="0" fontId="9" fillId="26" borderId="0" xfId="0" applyFont="1" applyFill="1"/>
    <xf numFmtId="44" fontId="0" fillId="26" borderId="0" xfId="0" applyNumberFormat="1" applyFill="1"/>
    <xf numFmtId="0" fontId="10" fillId="26" borderId="0" xfId="0" applyFont="1" applyFill="1"/>
    <xf numFmtId="2" fontId="0" fillId="26" borderId="37" xfId="0" applyNumberFormat="1" applyFill="1" applyBorder="1"/>
    <xf numFmtId="2" fontId="4" fillId="26" borderId="37" xfId="0" applyNumberFormat="1" applyFont="1" applyFill="1" applyBorder="1"/>
    <xf numFmtId="2" fontId="0" fillId="26" borderId="35" xfId="0" applyNumberFormat="1" applyFill="1" applyBorder="1"/>
    <xf numFmtId="2" fontId="8" fillId="26" borderId="37" xfId="0" applyNumberFormat="1" applyFont="1" applyFill="1" applyBorder="1"/>
    <xf numFmtId="2" fontId="17" fillId="26" borderId="0" xfId="0" applyNumberFormat="1" applyFont="1" applyFill="1"/>
    <xf numFmtId="39" fontId="29" fillId="26" borderId="0" xfId="0" applyNumberFormat="1" applyFont="1" applyFill="1" applyBorder="1" applyAlignment="1"/>
    <xf numFmtId="43" fontId="4" fillId="26" borderId="35" xfId="0" applyNumberFormat="1" applyFont="1" applyFill="1" applyBorder="1"/>
    <xf numFmtId="2" fontId="21" fillId="0" borderId="0" xfId="0" applyNumberFormat="1" applyFont="1" applyFill="1" applyBorder="1" applyAlignment="1">
      <alignment horizontal="right"/>
    </xf>
    <xf numFmtId="0" fontId="0" fillId="0" borderId="0" xfId="0" applyNumberFormat="1"/>
    <xf numFmtId="14" fontId="0" fillId="27" borderId="0" xfId="0" applyNumberFormat="1" applyFill="1"/>
    <xf numFmtId="179" fontId="0" fillId="27" borderId="0" xfId="0" applyNumberFormat="1" applyFill="1"/>
    <xf numFmtId="10" fontId="4" fillId="27" borderId="0" xfId="0" applyNumberFormat="1" applyFont="1" applyFill="1"/>
    <xf numFmtId="10" fontId="17" fillId="27" borderId="0" xfId="0" applyNumberFormat="1" applyFont="1" applyFill="1"/>
    <xf numFmtId="170" fontId="0" fillId="27" borderId="0" xfId="0" applyNumberFormat="1" applyFill="1"/>
    <xf numFmtId="170" fontId="4" fillId="27" borderId="0" xfId="0" applyNumberFormat="1" applyFont="1" applyFill="1"/>
    <xf numFmtId="171" fontId="0" fillId="27" borderId="0" xfId="0" applyNumberFormat="1" applyFill="1"/>
    <xf numFmtId="172" fontId="0" fillId="27" borderId="37" xfId="0" applyNumberFormat="1" applyFill="1" applyBorder="1"/>
    <xf numFmtId="4" fontId="0" fillId="27" borderId="0" xfId="0" applyNumberFormat="1" applyFill="1"/>
    <xf numFmtId="0" fontId="0" fillId="0" borderId="0" xfId="0" applyFill="1" applyAlignment="1">
      <alignment horizontal="left"/>
    </xf>
    <xf numFmtId="164" fontId="34" fillId="0" borderId="0" xfId="0" applyNumberFormat="1" applyFont="1" applyFill="1" applyBorder="1"/>
    <xf numFmtId="180" fontId="34" fillId="0" borderId="0" xfId="0" applyNumberFormat="1" applyFont="1" applyFill="1"/>
    <xf numFmtId="175" fontId="35" fillId="0" borderId="0" xfId="0" applyNumberFormat="1" applyFont="1" applyFill="1" applyBorder="1" applyAlignment="1"/>
    <xf numFmtId="175" fontId="27" fillId="0" borderId="0" xfId="0" quotePrefix="1" applyNumberFormat="1" applyFont="1" applyAlignment="1">
      <alignment horizontal="left"/>
    </xf>
    <xf numFmtId="180" fontId="35" fillId="0" borderId="0" xfId="0" applyNumberFormat="1" applyFont="1" applyAlignment="1"/>
    <xf numFmtId="175" fontId="36" fillId="0" borderId="0" xfId="0" applyNumberFormat="1" applyFont="1" applyFill="1" applyBorder="1" applyAlignment="1"/>
    <xf numFmtId="167" fontId="38" fillId="0" borderId="0" xfId="60" applyNumberFormat="1" applyFont="1" applyFill="1"/>
    <xf numFmtId="166" fontId="38" fillId="0" borderId="0" xfId="60" applyNumberFormat="1" applyFont="1" applyFill="1"/>
    <xf numFmtId="167" fontId="38" fillId="0" borderId="35" xfId="60" applyNumberFormat="1" applyFont="1" applyFill="1" applyBorder="1"/>
    <xf numFmtId="172" fontId="38" fillId="0" borderId="0" xfId="60" applyNumberFormat="1" applyFont="1" applyFill="1"/>
    <xf numFmtId="0" fontId="38" fillId="0" borderId="0" xfId="60" applyFont="1" applyFill="1"/>
    <xf numFmtId="178" fontId="38" fillId="0" borderId="0" xfId="60" applyNumberFormat="1" applyFont="1" applyFill="1"/>
    <xf numFmtId="164" fontId="38" fillId="0" borderId="0" xfId="60" applyNumberFormat="1" applyFont="1" applyFill="1"/>
    <xf numFmtId="39" fontId="36" fillId="0" borderId="0" xfId="0" applyNumberFormat="1" applyFont="1" applyFill="1" applyBorder="1" applyAlignment="1"/>
    <xf numFmtId="39" fontId="38" fillId="0" borderId="0" xfId="60" applyNumberFormat="1" applyFont="1" applyFill="1"/>
    <xf numFmtId="10" fontId="19" fillId="0" borderId="0" xfId="0" applyNumberFormat="1" applyFont="1" applyAlignment="1"/>
    <xf numFmtId="10" fontId="19" fillId="26" borderId="0" xfId="0" applyNumberFormat="1" applyFont="1" applyFill="1" applyAlignment="1"/>
    <xf numFmtId="182" fontId="20" fillId="0" borderId="0" xfId="0" applyNumberFormat="1" applyFont="1" applyFill="1" applyBorder="1"/>
    <xf numFmtId="175" fontId="30" fillId="0" borderId="0" xfId="0" applyNumberFormat="1" applyFont="1" applyFill="1" applyBorder="1" applyAlignment="1"/>
    <xf numFmtId="180" fontId="9" fillId="0" borderId="37" xfId="0" applyNumberFormat="1" applyFont="1" applyFill="1" applyBorder="1"/>
    <xf numFmtId="184" fontId="0" fillId="26" borderId="0" xfId="0" applyNumberFormat="1" applyFill="1"/>
    <xf numFmtId="0" fontId="0" fillId="29" borderId="0" xfId="0" applyFill="1"/>
    <xf numFmtId="43" fontId="34" fillId="0" borderId="0" xfId="0" applyNumberFormat="1" applyFont="1"/>
    <xf numFmtId="0" fontId="34" fillId="0" borderId="0" xfId="0" applyFont="1" applyFill="1"/>
    <xf numFmtId="172" fontId="4" fillId="26" borderId="0" xfId="0" applyNumberFormat="1" applyFont="1" applyFill="1"/>
    <xf numFmtId="180" fontId="66" fillId="0" borderId="0" xfId="0" applyNumberFormat="1" applyFont="1" applyFill="1"/>
    <xf numFmtId="175" fontId="28" fillId="0" borderId="0" xfId="0" applyNumberFormat="1" applyFont="1" applyAlignment="1"/>
    <xf numFmtId="10" fontId="34" fillId="0" borderId="0" xfId="0" applyNumberFormat="1" applyFont="1" applyBorder="1"/>
    <xf numFmtId="43" fontId="34" fillId="0" borderId="0" xfId="0" applyNumberFormat="1" applyFont="1" applyFill="1"/>
    <xf numFmtId="0" fontId="34" fillId="0" borderId="0" xfId="0" applyFont="1"/>
    <xf numFmtId="0" fontId="67" fillId="0" borderId="0" xfId="0" applyNumberFormat="1" applyFont="1" applyAlignment="1"/>
    <xf numFmtId="164" fontId="8" fillId="26" borderId="0" xfId="0" applyNumberFormat="1" applyFont="1" applyFill="1"/>
    <xf numFmtId="164" fontId="8" fillId="26" borderId="0" xfId="0" applyNumberFormat="1" applyFont="1" applyFill="1" applyBorder="1"/>
    <xf numFmtId="164" fontId="8" fillId="26" borderId="35" xfId="0" applyNumberFormat="1" applyFont="1" applyFill="1" applyBorder="1"/>
    <xf numFmtId="167" fontId="8" fillId="26" borderId="0" xfId="0" applyNumberFormat="1" applyFont="1" applyFill="1"/>
    <xf numFmtId="41" fontId="0" fillId="27" borderId="0" xfId="0" applyNumberFormat="1" applyFill="1"/>
    <xf numFmtId="0" fontId="0" fillId="27" borderId="0" xfId="0" applyFill="1" applyAlignment="1">
      <alignment horizontal="left"/>
    </xf>
    <xf numFmtId="174" fontId="0" fillId="27" borderId="0" xfId="0" applyNumberFormat="1" applyFill="1"/>
    <xf numFmtId="10" fontId="0" fillId="0" borderId="0" xfId="0" applyNumberFormat="1" applyFill="1"/>
    <xf numFmtId="39" fontId="0" fillId="0" borderId="0" xfId="0" applyNumberFormat="1" applyBorder="1"/>
    <xf numFmtId="39" fontId="0" fillId="27" borderId="0" xfId="0" applyNumberFormat="1" applyFill="1" applyBorder="1"/>
    <xf numFmtId="0" fontId="0" fillId="27" borderId="0" xfId="0" applyFill="1" applyBorder="1"/>
    <xf numFmtId="0" fontId="0" fillId="29" borderId="0" xfId="0" applyFill="1" applyBorder="1"/>
    <xf numFmtId="2" fontId="0" fillId="0" borderId="0" xfId="0" applyNumberFormat="1" applyBorder="1"/>
    <xf numFmtId="2" fontId="0" fillId="27" borderId="0" xfId="0" applyNumberFormat="1" applyFill="1" applyBorder="1"/>
    <xf numFmtId="2" fontId="17" fillId="0" borderId="0" xfId="0" applyNumberFormat="1" applyFont="1" applyFill="1" applyBorder="1"/>
    <xf numFmtId="43" fontId="4" fillId="27" borderId="0" xfId="0" applyNumberFormat="1" applyFont="1" applyFill="1" applyBorder="1"/>
    <xf numFmtId="2" fontId="4" fillId="0" borderId="0" xfId="0" applyNumberFormat="1" applyFont="1" applyFill="1" applyBorder="1"/>
    <xf numFmtId="2" fontId="8" fillId="0" borderId="0" xfId="0" applyNumberFormat="1" applyFont="1" applyFill="1" applyBorder="1"/>
    <xf numFmtId="2" fontId="0" fillId="0" borderId="0" xfId="0" applyNumberFormat="1" applyFill="1" applyBorder="1"/>
    <xf numFmtId="39" fontId="4" fillId="0" borderId="0" xfId="0" applyNumberFormat="1" applyFont="1" applyFill="1" applyBorder="1"/>
    <xf numFmtId="39" fontId="0" fillId="0" borderId="0" xfId="0" applyNumberFormat="1" applyFill="1" applyBorder="1"/>
    <xf numFmtId="2" fontId="17" fillId="0" borderId="0" xfId="0" applyNumberFormat="1" applyFont="1" applyBorder="1"/>
    <xf numFmtId="0" fontId="17" fillId="0" borderId="0" xfId="0" applyFont="1" applyBorder="1"/>
    <xf numFmtId="0" fontId="34" fillId="26" borderId="0" xfId="0" applyFont="1" applyFill="1"/>
    <xf numFmtId="2" fontId="34" fillId="0" borderId="0" xfId="0" applyNumberFormat="1" applyFont="1" applyFill="1"/>
    <xf numFmtId="2" fontId="4" fillId="26" borderId="0" xfId="0" applyNumberFormat="1" applyFont="1" applyFill="1"/>
    <xf numFmtId="2" fontId="34" fillId="0" borderId="0" xfId="0" applyNumberFormat="1" applyFont="1"/>
    <xf numFmtId="2" fontId="4" fillId="26" borderId="35" xfId="0" applyNumberFormat="1" applyFont="1" applyFill="1" applyBorder="1"/>
    <xf numFmtId="2" fontId="17" fillId="0" borderId="35" xfId="0" applyNumberFormat="1" applyFont="1" applyBorder="1"/>
    <xf numFmtId="2" fontId="4" fillId="26" borderId="0" xfId="0" applyNumberFormat="1" applyFont="1" applyFill="1" applyBorder="1"/>
    <xf numFmtId="2" fontId="34" fillId="0" borderId="35" xfId="0" applyNumberFormat="1" applyFont="1" applyBorder="1"/>
    <xf numFmtId="2" fontId="0" fillId="26" borderId="0" xfId="0" applyNumberFormat="1" applyFill="1" applyBorder="1"/>
    <xf numFmtId="2" fontId="4" fillId="0" borderId="0" xfId="0" applyNumberFormat="1" applyFont="1" applyBorder="1"/>
    <xf numFmtId="2" fontId="0" fillId="0" borderId="37" xfId="0" applyNumberFormat="1" applyFill="1" applyBorder="1"/>
    <xf numFmtId="3" fontId="32" fillId="0" borderId="0" xfId="0" applyNumberFormat="1" applyFont="1" applyFill="1" applyAlignment="1">
      <alignment horizontal="left"/>
    </xf>
    <xf numFmtId="4" fontId="34" fillId="0" borderId="0" xfId="0" applyNumberFormat="1" applyFont="1"/>
    <xf numFmtId="186" fontId="20" fillId="0" borderId="0" xfId="0" applyNumberFormat="1" applyFont="1" applyFill="1"/>
    <xf numFmtId="182" fontId="20" fillId="0" borderId="37" xfId="0" applyNumberFormat="1" applyFont="1" applyFill="1" applyBorder="1"/>
    <xf numFmtId="182" fontId="20" fillId="0" borderId="0" xfId="0" applyNumberFormat="1" applyFont="1" applyFill="1"/>
    <xf numFmtId="186" fontId="20" fillId="0" borderId="0" xfId="0" applyNumberFormat="1" applyFont="1" applyFill="1" applyBorder="1"/>
    <xf numFmtId="181" fontId="20" fillId="0" borderId="0" xfId="0" applyNumberFormat="1" applyFont="1" applyFill="1" applyBorder="1"/>
    <xf numFmtId="0" fontId="0" fillId="27" borderId="35" xfId="0" applyFill="1" applyBorder="1"/>
    <xf numFmtId="0" fontId="0" fillId="26" borderId="35" xfId="0" applyFill="1" applyBorder="1"/>
    <xf numFmtId="10" fontId="17" fillId="0" borderId="0" xfId="0" applyNumberFormat="1" applyFont="1" applyFill="1" applyBorder="1"/>
    <xf numFmtId="39" fontId="34" fillId="0" borderId="0" xfId="0" applyNumberFormat="1" applyFont="1"/>
    <xf numFmtId="185" fontId="0" fillId="0" borderId="0" xfId="0" applyNumberFormat="1"/>
    <xf numFmtId="185" fontId="0" fillId="0" borderId="35" xfId="0" applyNumberFormat="1" applyBorder="1"/>
    <xf numFmtId="37" fontId="0" fillId="0" borderId="35" xfId="0" applyNumberFormat="1" applyBorder="1"/>
    <xf numFmtId="185" fontId="0" fillId="0" borderId="39" xfId="0" applyNumberFormat="1" applyBorder="1"/>
    <xf numFmtId="39" fontId="9" fillId="0" borderId="0" xfId="0" applyNumberFormat="1" applyFont="1"/>
    <xf numFmtId="0" fontId="9" fillId="0" borderId="35" xfId="0" applyFont="1" applyBorder="1"/>
    <xf numFmtId="1" fontId="9" fillId="0" borderId="35" xfId="0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185" fontId="0" fillId="0" borderId="0" xfId="0" applyNumberFormat="1" applyBorder="1"/>
    <xf numFmtId="0" fontId="9" fillId="0" borderId="0" xfId="0" applyFont="1" applyAlignment="1">
      <alignment horizontal="left" indent="1"/>
    </xf>
    <xf numFmtId="0" fontId="9" fillId="0" borderId="35" xfId="0" applyFont="1" applyBorder="1" applyAlignment="1">
      <alignment horizontal="left" indent="3"/>
    </xf>
    <xf numFmtId="0" fontId="0" fillId="0" borderId="35" xfId="0" applyBorder="1" applyAlignment="1">
      <alignment horizontal="left" indent="2"/>
    </xf>
    <xf numFmtId="39" fontId="9" fillId="0" borderId="35" xfId="0" applyNumberFormat="1" applyFont="1" applyBorder="1"/>
    <xf numFmtId="0" fontId="9" fillId="0" borderId="39" xfId="0" applyFont="1" applyBorder="1"/>
    <xf numFmtId="39" fontId="9" fillId="0" borderId="39" xfId="0" applyNumberFormat="1" applyFont="1" applyBorder="1"/>
    <xf numFmtId="0" fontId="0" fillId="0" borderId="35" xfId="0" applyBorder="1" applyAlignment="1">
      <alignment horizontal="left" indent="1"/>
    </xf>
    <xf numFmtId="37" fontId="9" fillId="0" borderId="35" xfId="0" applyNumberFormat="1" applyFont="1" applyBorder="1"/>
    <xf numFmtId="9" fontId="9" fillId="26" borderId="0" xfId="63" applyFont="1" applyFill="1"/>
    <xf numFmtId="185" fontId="0" fillId="0" borderId="0" xfId="0" applyNumberFormat="1" applyAlignment="1">
      <alignment horizontal="right"/>
    </xf>
    <xf numFmtId="185" fontId="0" fillId="0" borderId="35" xfId="0" applyNumberFormat="1" applyBorder="1" applyAlignment="1">
      <alignment horizontal="right"/>
    </xf>
    <xf numFmtId="185" fontId="9" fillId="0" borderId="0" xfId="0" applyNumberFormat="1" applyFont="1" applyAlignment="1">
      <alignment horizontal="right"/>
    </xf>
    <xf numFmtId="41" fontId="20" fillId="0" borderId="0" xfId="0" applyNumberFormat="1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82" fontId="0" fillId="0" borderId="0" xfId="0" applyNumberFormat="1"/>
    <xf numFmtId="185" fontId="9" fillId="0" borderId="0" xfId="0" applyNumberFormat="1" applyFont="1"/>
    <xf numFmtId="39" fontId="8" fillId="0" borderId="0" xfId="0" applyNumberFormat="1" applyFont="1"/>
    <xf numFmtId="0" fontId="9" fillId="0" borderId="0" xfId="0" applyFont="1" applyBorder="1"/>
    <xf numFmtId="1" fontId="9" fillId="0" borderId="0" xfId="0" applyNumberFormat="1" applyFont="1" applyBorder="1"/>
    <xf numFmtId="0" fontId="0" fillId="0" borderId="39" xfId="0" applyBorder="1" applyAlignment="1">
      <alignment horizontal="left" indent="1"/>
    </xf>
    <xf numFmtId="187" fontId="0" fillId="0" borderId="39" xfId="0" applyNumberFormat="1" applyBorder="1"/>
    <xf numFmtId="37" fontId="0" fillId="0" borderId="39" xfId="0" applyNumberFormat="1" applyBorder="1"/>
    <xf numFmtId="170" fontId="34" fillId="0" borderId="0" xfId="0" applyNumberFormat="1" applyFont="1"/>
    <xf numFmtId="0" fontId="20" fillId="0" borderId="0" xfId="0" quotePrefix="1" applyFont="1" applyAlignment="1">
      <alignment horizontal="left" indent="2"/>
    </xf>
    <xf numFmtId="1" fontId="0" fillId="0" borderId="0" xfId="0" quotePrefix="1" applyNumberFormat="1" applyAlignment="1">
      <alignment horizontal="center"/>
    </xf>
    <xf numFmtId="0" fontId="4" fillId="0" borderId="0" xfId="0" applyFont="1"/>
    <xf numFmtId="180" fontId="20" fillId="0" borderId="0" xfId="0" applyNumberFormat="1" applyFont="1" applyFill="1" applyBorder="1"/>
    <xf numFmtId="188" fontId="20" fillId="0" borderId="0" xfId="0" applyNumberFormat="1" applyFont="1" applyFill="1" applyBorder="1"/>
    <xf numFmtId="1" fontId="9" fillId="0" borderId="35" xfId="0" applyNumberFormat="1" applyFont="1" applyBorder="1"/>
    <xf numFmtId="179" fontId="17" fillId="26" borderId="35" xfId="0" applyNumberFormat="1" applyFont="1" applyFill="1" applyBorder="1"/>
    <xf numFmtId="179" fontId="0" fillId="0" borderId="35" xfId="0" applyNumberFormat="1" applyBorder="1"/>
    <xf numFmtId="179" fontId="0" fillId="0" borderId="39" xfId="0" applyNumberFormat="1" applyBorder="1"/>
    <xf numFmtId="170" fontId="9" fillId="0" borderId="0" xfId="0" applyNumberFormat="1" applyFont="1" applyAlignment="1">
      <alignment horizontal="right"/>
    </xf>
    <xf numFmtId="170" fontId="18" fillId="26" borderId="0" xfId="0" applyNumberFormat="1" applyFont="1" applyFill="1" applyAlignment="1">
      <alignment horizontal="right"/>
    </xf>
    <xf numFmtId="170" fontId="0" fillId="0" borderId="0" xfId="0" applyNumberFormat="1" applyAlignment="1">
      <alignment horizontal="right"/>
    </xf>
    <xf numFmtId="39" fontId="17" fillId="0" borderId="0" xfId="0" applyNumberFormat="1" applyFont="1"/>
    <xf numFmtId="39" fontId="17" fillId="0" borderId="35" xfId="0" applyNumberFormat="1" applyFont="1" applyBorder="1"/>
    <xf numFmtId="10" fontId="0" fillId="0" borderId="0" xfId="0" applyNumberFormat="1" applyFill="1" applyBorder="1"/>
    <xf numFmtId="1" fontId="5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Border="1" applyAlignment="1">
      <alignment horizontal="left" indent="1"/>
    </xf>
    <xf numFmtId="187" fontId="0" fillId="0" borderId="0" xfId="0" applyNumberFormat="1"/>
    <xf numFmtId="187" fontId="0" fillId="0" borderId="35" xfId="0" applyNumberFormat="1" applyBorder="1"/>
    <xf numFmtId="185" fontId="8" fillId="0" borderId="0" xfId="0" applyNumberFormat="1" applyFont="1"/>
    <xf numFmtId="9" fontId="9" fillId="0" borderId="0" xfId="63" applyFont="1" applyFill="1"/>
    <xf numFmtId="0" fontId="5" fillId="0" borderId="0" xfId="0" applyNumberFormat="1" applyFont="1" applyAlignment="1">
      <alignment horizontal="left" vertical="top"/>
    </xf>
    <xf numFmtId="0" fontId="20" fillId="0" borderId="0" xfId="0" applyNumberFormat="1" applyFont="1" applyAlignment="1">
      <alignment horizontal="left" vertical="top" indent="4"/>
    </xf>
    <xf numFmtId="0" fontId="20" fillId="0" borderId="0" xfId="0" applyNumberFormat="1" applyFont="1" applyAlignment="1">
      <alignment horizontal="left" vertical="top" indent="5"/>
    </xf>
    <xf numFmtId="182" fontId="72" fillId="0" borderId="0" xfId="0" applyNumberFormat="1" applyFont="1" applyFill="1" applyBorder="1"/>
    <xf numFmtId="0" fontId="20" fillId="0" borderId="0" xfId="0" applyNumberFormat="1" applyFont="1" applyAlignment="1">
      <alignment horizontal="right" vertical="top"/>
    </xf>
    <xf numFmtId="43" fontId="34" fillId="26" borderId="0" xfId="0" applyNumberFormat="1" applyFont="1" applyFill="1"/>
    <xf numFmtId="10" fontId="34" fillId="0" borderId="0" xfId="0" applyNumberFormat="1" applyFont="1" applyFill="1"/>
    <xf numFmtId="10" fontId="34" fillId="26" borderId="0" xfId="0" applyNumberFormat="1" applyFont="1" applyFill="1"/>
    <xf numFmtId="180" fontId="4" fillId="0" borderId="0" xfId="0" applyNumberFormat="1" applyFont="1"/>
    <xf numFmtId="180" fontId="4" fillId="26" borderId="0" xfId="0" applyNumberFormat="1" applyFont="1" applyFill="1"/>
    <xf numFmtId="172" fontId="0" fillId="0" borderId="0" xfId="0" applyNumberFormat="1" applyFill="1"/>
    <xf numFmtId="10" fontId="34" fillId="0" borderId="0" xfId="0" applyNumberFormat="1" applyFont="1"/>
    <xf numFmtId="10" fontId="8" fillId="0" borderId="0" xfId="63" applyNumberFormat="1" applyFont="1" applyAlignment="1"/>
    <xf numFmtId="168" fontId="4" fillId="0" borderId="0" xfId="0" applyNumberFormat="1" applyFont="1"/>
    <xf numFmtId="164" fontId="9" fillId="0" borderId="0" xfId="0" applyNumberFormat="1" applyFont="1" applyFill="1" applyAlignment="1">
      <alignment horizontal="right" vertical="top"/>
    </xf>
    <xf numFmtId="164" fontId="9" fillId="26" borderId="0" xfId="0" applyNumberFormat="1" applyFont="1" applyFill="1" applyAlignment="1">
      <alignment horizontal="right" vertical="top"/>
    </xf>
    <xf numFmtId="164" fontId="66" fillId="26" borderId="16" xfId="0" applyNumberFormat="1" applyFont="1" applyFill="1" applyBorder="1" applyAlignment="1">
      <alignment horizontal="right" vertical="top"/>
    </xf>
    <xf numFmtId="43" fontId="68" fillId="27" borderId="0" xfId="0" applyNumberFormat="1" applyFont="1" applyFill="1"/>
    <xf numFmtId="2" fontId="68" fillId="27" borderId="0" xfId="0" applyNumberFormat="1" applyFont="1" applyFill="1"/>
    <xf numFmtId="180" fontId="66" fillId="0" borderId="37" xfId="0" applyNumberFormat="1" applyFont="1" applyFill="1" applyBorder="1"/>
    <xf numFmtId="3" fontId="29" fillId="0" borderId="0" xfId="59" quotePrefix="1" applyNumberFormat="1" applyFont="1" applyAlignment="1">
      <alignment horizontal="left"/>
    </xf>
    <xf numFmtId="3" fontId="27" fillId="0" borderId="0" xfId="59" applyNumberFormat="1" applyFont="1" applyAlignment="1"/>
    <xf numFmtId="3" fontId="28" fillId="0" borderId="0" xfId="0" applyNumberFormat="1" applyFont="1" applyAlignment="1">
      <alignment horizontal="left"/>
    </xf>
    <xf numFmtId="0" fontId="0" fillId="0" borderId="0" xfId="0" applyFill="1" applyAlignment="1">
      <alignment horizontal="left" indent="2"/>
    </xf>
    <xf numFmtId="10" fontId="4" fillId="0" borderId="0" xfId="0" applyNumberFormat="1" applyFont="1" applyFill="1"/>
    <xf numFmtId="3" fontId="8" fillId="0" borderId="0" xfId="0" quotePrefix="1" applyNumberFormat="1" applyFont="1" applyAlignment="1">
      <alignment horizontal="left"/>
    </xf>
    <xf numFmtId="3" fontId="8" fillId="0" borderId="0" xfId="0" applyNumberFormat="1" applyFont="1" applyAlignment="1"/>
    <xf numFmtId="164" fontId="4" fillId="0" borderId="0" xfId="0" applyNumberFormat="1" applyFont="1" applyFill="1" applyBorder="1"/>
    <xf numFmtId="10" fontId="34" fillId="27" borderId="38" xfId="0" applyNumberFormat="1" applyFont="1" applyFill="1" applyBorder="1"/>
    <xf numFmtId="0" fontId="13" fillId="0" borderId="0" xfId="0" applyFont="1" applyAlignment="1">
      <alignment horizontal="center"/>
    </xf>
    <xf numFmtId="179" fontId="0" fillId="0" borderId="35" xfId="0" applyNumberFormat="1" applyFill="1" applyBorder="1"/>
    <xf numFmtId="0" fontId="20" fillId="0" borderId="0" xfId="0" applyFont="1" applyFill="1" applyAlignment="1">
      <alignment horizontal="left" indent="3"/>
    </xf>
    <xf numFmtId="172" fontId="34" fillId="0" borderId="0" xfId="0" applyNumberFormat="1" applyFont="1"/>
    <xf numFmtId="0" fontId="20" fillId="0" borderId="0" xfId="0" applyNumberFormat="1" applyFont="1" applyBorder="1" applyAlignment="1">
      <alignment horizontal="left" vertical="top" indent="1"/>
    </xf>
    <xf numFmtId="175" fontId="0" fillId="0" borderId="37" xfId="0" applyNumberFormat="1" applyBorder="1"/>
    <xf numFmtId="10" fontId="4" fillId="0" borderId="0" xfId="63" applyNumberFormat="1" applyFont="1"/>
    <xf numFmtId="10" fontId="0" fillId="26" borderId="0" xfId="63" applyNumberFormat="1" applyFont="1" applyFill="1"/>
    <xf numFmtId="3" fontId="34" fillId="0" borderId="0" xfId="0" applyNumberFormat="1" applyFont="1"/>
    <xf numFmtId="8" fontId="0" fillId="0" borderId="0" xfId="0" applyNumberFormat="1"/>
    <xf numFmtId="39" fontId="4" fillId="0" borderId="0" xfId="0" applyNumberFormat="1" applyFont="1"/>
    <xf numFmtId="10" fontId="0" fillId="0" borderId="0" xfId="63" applyNumberFormat="1" applyFont="1"/>
    <xf numFmtId="0" fontId="0" fillId="30" borderId="0" xfId="0" applyFill="1"/>
    <xf numFmtId="0" fontId="8" fillId="26" borderId="0" xfId="0" applyFont="1" applyFill="1"/>
    <xf numFmtId="43" fontId="0" fillId="0" borderId="0" xfId="29" applyFont="1"/>
    <xf numFmtId="164" fontId="0" fillId="0" borderId="35" xfId="0" applyNumberFormat="1" applyBorder="1"/>
    <xf numFmtId="0" fontId="10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179" fontId="4" fillId="26" borderId="35" xfId="0" applyNumberFormat="1" applyFont="1" applyFill="1" applyBorder="1"/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16" fillId="0" borderId="0" xfId="0" applyNumberFormat="1" applyFont="1" applyAlignment="1">
      <alignment horizontal="left" vertical="top" indent="2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9" fontId="9" fillId="0" borderId="0" xfId="63" applyNumberFormat="1" applyFont="1"/>
    <xf numFmtId="0" fontId="0" fillId="0" borderId="41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41" xfId="0" applyFont="1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2" fontId="0" fillId="0" borderId="39" xfId="0" applyNumberFormat="1" applyBorder="1"/>
    <xf numFmtId="2" fontId="0" fillId="0" borderId="42" xfId="0" applyNumberFormat="1" applyBorder="1"/>
    <xf numFmtId="39" fontId="0" fillId="0" borderId="39" xfId="0" applyNumberFormat="1" applyBorder="1"/>
    <xf numFmtId="0" fontId="4" fillId="0" borderId="0" xfId="0" applyFont="1" applyAlignment="1">
      <alignment horizontal="center"/>
    </xf>
    <xf numFmtId="39" fontId="0" fillId="0" borderId="42" xfId="0" applyNumberFormat="1" applyBorder="1"/>
    <xf numFmtId="164" fontId="77" fillId="0" borderId="0" xfId="0" applyNumberFormat="1" applyFont="1"/>
    <xf numFmtId="164" fontId="77" fillId="0" borderId="0" xfId="0" applyNumberFormat="1" applyFont="1" applyFill="1" applyBorder="1"/>
    <xf numFmtId="0" fontId="77" fillId="0" borderId="0" xfId="0" applyFont="1"/>
    <xf numFmtId="0" fontId="16" fillId="0" borderId="0" xfId="0" applyFont="1" applyFill="1" applyBorder="1"/>
    <xf numFmtId="1" fontId="5" fillId="30" borderId="0" xfId="0" applyNumberFormat="1" applyFont="1" applyFill="1" applyBorder="1" applyAlignment="1">
      <alignment horizontal="center"/>
    </xf>
    <xf numFmtId="0" fontId="20" fillId="30" borderId="0" xfId="0" applyFont="1" applyFill="1"/>
    <xf numFmtId="39" fontId="20" fillId="30" borderId="0" xfId="0" applyNumberFormat="1" applyFont="1" applyFill="1"/>
    <xf numFmtId="39" fontId="20" fillId="30" borderId="37" xfId="0" applyNumberFormat="1" applyFont="1" applyFill="1" applyBorder="1"/>
    <xf numFmtId="39" fontId="20" fillId="30" borderId="0" xfId="0" applyNumberFormat="1" applyFont="1" applyFill="1" applyBorder="1"/>
    <xf numFmtId="10" fontId="20" fillId="30" borderId="0" xfId="0" applyNumberFormat="1" applyFont="1" applyFill="1"/>
    <xf numFmtId="39" fontId="20" fillId="30" borderId="35" xfId="0" applyNumberFormat="1" applyFont="1" applyFill="1" applyBorder="1"/>
    <xf numFmtId="39" fontId="20" fillId="30" borderId="40" xfId="0" applyNumberFormat="1" applyFont="1" applyFill="1" applyBorder="1"/>
    <xf numFmtId="39" fontId="16" fillId="30" borderId="0" xfId="0" applyNumberFormat="1" applyFont="1" applyFill="1" applyBorder="1"/>
    <xf numFmtId="39" fontId="16" fillId="30" borderId="35" xfId="0" applyNumberFormat="1" applyFont="1" applyFill="1" applyBorder="1"/>
    <xf numFmtId="39" fontId="0" fillId="30" borderId="0" xfId="0" applyNumberFormat="1" applyFill="1"/>
    <xf numFmtId="39" fontId="16" fillId="30" borderId="37" xfId="0" applyNumberFormat="1" applyFont="1" applyFill="1" applyBorder="1"/>
    <xf numFmtId="182" fontId="20" fillId="30" borderId="0" xfId="0" applyNumberFormat="1" applyFont="1" applyFill="1" applyBorder="1"/>
    <xf numFmtId="182" fontId="72" fillId="30" borderId="0" xfId="0" applyNumberFormat="1" applyFont="1" applyFill="1" applyBorder="1"/>
    <xf numFmtId="39" fontId="5" fillId="30" borderId="0" xfId="0" applyNumberFormat="1" applyFont="1" applyFill="1" applyBorder="1"/>
    <xf numFmtId="0" fontId="20" fillId="30" borderId="0" xfId="0" applyFont="1" applyFill="1" applyBorder="1"/>
    <xf numFmtId="1" fontId="5" fillId="30" borderId="0" xfId="0" applyNumberFormat="1" applyFont="1" applyFill="1" applyAlignment="1">
      <alignment horizontal="center"/>
    </xf>
    <xf numFmtId="3" fontId="79" fillId="0" borderId="0" xfId="0" applyNumberFormat="1" applyFont="1" applyAlignment="1"/>
    <xf numFmtId="175" fontId="80" fillId="0" borderId="0" xfId="0" applyNumberFormat="1" applyFont="1" applyFill="1"/>
    <xf numFmtId="0" fontId="0" fillId="0" borderId="0" xfId="0" quotePrefix="1" applyFill="1"/>
    <xf numFmtId="175" fontId="0" fillId="0" borderId="0" xfId="0" applyNumberFormat="1" applyFill="1" applyAlignment="1">
      <alignment horizontal="left"/>
    </xf>
    <xf numFmtId="39" fontId="75" fillId="0" borderId="0" xfId="0" applyNumberFormat="1" applyFont="1"/>
    <xf numFmtId="177" fontId="77" fillId="0" borderId="0" xfId="29" applyNumberFormat="1" applyFont="1"/>
    <xf numFmtId="10" fontId="19" fillId="0" borderId="0" xfId="0" applyNumberFormat="1" applyFont="1" applyBorder="1"/>
    <xf numFmtId="0" fontId="0" fillId="0" borderId="0" xfId="0"/>
    <xf numFmtId="0" fontId="0" fillId="0" borderId="0" xfId="0" applyBorder="1"/>
    <xf numFmtId="37" fontId="85" fillId="0" borderId="0" xfId="0" applyNumberFormat="1" applyFont="1"/>
    <xf numFmtId="179" fontId="85" fillId="26" borderId="35" xfId="0" applyNumberFormat="1" applyFont="1" applyFill="1" applyBorder="1"/>
    <xf numFmtId="0" fontId="85" fillId="0" borderId="0" xfId="0" applyFont="1"/>
    <xf numFmtId="170" fontId="85" fillId="26" borderId="0" xfId="0" applyNumberFormat="1" applyFont="1" applyFill="1"/>
    <xf numFmtId="185" fontId="85" fillId="0" borderId="35" xfId="0" applyNumberFormat="1" applyFont="1" applyBorder="1"/>
    <xf numFmtId="185" fontId="85" fillId="0" borderId="0" xfId="0" applyNumberFormat="1" applyFont="1"/>
    <xf numFmtId="39" fontId="85" fillId="0" borderId="0" xfId="0" applyNumberFormat="1" applyFont="1"/>
    <xf numFmtId="170" fontId="86" fillId="26" borderId="0" xfId="0" applyNumberFormat="1" applyFont="1" applyFill="1" applyAlignment="1">
      <alignment horizontal="right"/>
    </xf>
    <xf numFmtId="187" fontId="85" fillId="26" borderId="0" xfId="0" applyNumberFormat="1" applyFont="1" applyFill="1"/>
    <xf numFmtId="185" fontId="85" fillId="0" borderId="39" xfId="0" applyNumberFormat="1" applyFont="1" applyBorder="1"/>
    <xf numFmtId="39" fontId="85" fillId="0" borderId="35" xfId="0" applyNumberFormat="1" applyFont="1" applyBorder="1"/>
    <xf numFmtId="187" fontId="85" fillId="0" borderId="0" xfId="0" applyNumberFormat="1" applyFont="1"/>
    <xf numFmtId="37" fontId="85" fillId="0" borderId="35" xfId="0" applyNumberFormat="1" applyFont="1" applyBorder="1"/>
    <xf numFmtId="179" fontId="0" fillId="30" borderId="35" xfId="0" applyNumberFormat="1" applyFill="1" applyBorder="1"/>
    <xf numFmtId="187" fontId="85" fillId="0" borderId="35" xfId="0" applyNumberFormat="1" applyFont="1" applyBorder="1"/>
    <xf numFmtId="179" fontId="85" fillId="0" borderId="0" xfId="0" applyNumberFormat="1" applyFont="1"/>
    <xf numFmtId="0" fontId="0" fillId="0" borderId="0" xfId="0"/>
    <xf numFmtId="0" fontId="9" fillId="0" borderId="35" xfId="0" applyFont="1" applyBorder="1" applyAlignment="1">
      <alignment horizontal="center"/>
    </xf>
    <xf numFmtId="37" fontId="0" fillId="0" borderId="0" xfId="0" applyNumberFormat="1"/>
    <xf numFmtId="39" fontId="0" fillId="0" borderId="0" xfId="0" applyNumberFormat="1"/>
    <xf numFmtId="175" fontId="87" fillId="0" borderId="0" xfId="55" applyNumberFormat="1" applyFont="1" applyFill="1" applyAlignment="1"/>
    <xf numFmtId="0" fontId="0" fillId="0" borderId="0" xfId="0"/>
    <xf numFmtId="10" fontId="0" fillId="0" borderId="0" xfId="63" applyNumberFormat="1" applyFont="1"/>
    <xf numFmtId="43" fontId="0" fillId="32" borderId="0" xfId="0" applyNumberFormat="1" applyFill="1"/>
    <xf numFmtId="164" fontId="0" fillId="32" borderId="0" xfId="0" applyNumberFormat="1" applyFill="1"/>
    <xf numFmtId="2" fontId="16" fillId="0" borderId="0" xfId="0" applyNumberFormat="1" applyFont="1" applyFill="1" applyBorder="1"/>
    <xf numFmtId="10" fontId="20" fillId="0" borderId="0" xfId="63" applyNumberFormat="1" applyFont="1" applyFill="1"/>
    <xf numFmtId="164" fontId="0" fillId="0" borderId="35" xfId="0" applyNumberFormat="1" applyFill="1" applyBorder="1"/>
    <xf numFmtId="175" fontId="87" fillId="0" borderId="0" xfId="0" applyNumberFormat="1" applyFont="1" applyFill="1"/>
    <xf numFmtId="181" fontId="20" fillId="0" borderId="0" xfId="0" applyNumberFormat="1" applyFont="1" applyBorder="1"/>
    <xf numFmtId="164" fontId="77" fillId="0" borderId="0" xfId="0" applyNumberFormat="1" applyFont="1" applyFill="1"/>
    <xf numFmtId="164" fontId="34" fillId="0" borderId="0" xfId="0" applyNumberFormat="1" applyFont="1" applyFill="1"/>
    <xf numFmtId="164" fontId="4" fillId="26" borderId="0" xfId="0" applyNumberFormat="1" applyFont="1" applyFill="1"/>
    <xf numFmtId="164" fontId="77" fillId="0" borderId="0" xfId="55" applyNumberFormat="1" applyFont="1" applyFill="1" applyAlignment="1"/>
    <xf numFmtId="164" fontId="19" fillId="0" borderId="0" xfId="0" applyNumberFormat="1" applyFont="1" applyFill="1"/>
    <xf numFmtId="164" fontId="9" fillId="0" borderId="0" xfId="0" applyNumberFormat="1" applyFont="1" applyFill="1"/>
    <xf numFmtId="164" fontId="9" fillId="26" borderId="0" xfId="0" applyNumberFormat="1" applyFont="1" applyFill="1"/>
    <xf numFmtId="164" fontId="69" fillId="0" borderId="0" xfId="0" applyNumberFormat="1" applyFont="1" applyFill="1"/>
    <xf numFmtId="164" fontId="4" fillId="0" borderId="0" xfId="0" applyNumberFormat="1" applyFont="1" applyFill="1"/>
    <xf numFmtId="164" fontId="70" fillId="0" borderId="0" xfId="0" applyNumberFormat="1" applyFont="1" applyFill="1"/>
    <xf numFmtId="164" fontId="70" fillId="26" borderId="0" xfId="0" applyNumberFormat="1" applyFont="1" applyFill="1"/>
    <xf numFmtId="164" fontId="9" fillId="0" borderId="37" xfId="0" applyNumberFormat="1" applyFont="1" applyFill="1" applyBorder="1"/>
    <xf numFmtId="164" fontId="77" fillId="0" borderId="0" xfId="58" applyNumberFormat="1" applyFont="1" applyAlignment="1"/>
    <xf numFmtId="164" fontId="18" fillId="0" borderId="0" xfId="0" applyNumberFormat="1" applyFont="1" applyFill="1"/>
    <xf numFmtId="164" fontId="73" fillId="0" borderId="0" xfId="0" applyNumberFormat="1" applyFont="1" applyFill="1"/>
    <xf numFmtId="164" fontId="78" fillId="0" borderId="0" xfId="0" applyNumberFormat="1" applyFont="1" applyAlignment="1"/>
    <xf numFmtId="164" fontId="17" fillId="0" borderId="0" xfId="0" applyNumberFormat="1" applyFont="1" applyFill="1"/>
    <xf numFmtId="164" fontId="78" fillId="0" borderId="0" xfId="0" applyNumberFormat="1" applyFont="1" applyFill="1" applyAlignment="1"/>
    <xf numFmtId="164" fontId="30" fillId="0" borderId="0" xfId="0" applyNumberFormat="1" applyFont="1" applyAlignment="1"/>
    <xf numFmtId="164" fontId="35" fillId="0" borderId="0" xfId="0" applyNumberFormat="1" applyFont="1" applyAlignment="1"/>
    <xf numFmtId="164" fontId="66" fillId="0" borderId="0" xfId="0" applyNumberFormat="1" applyFont="1" applyBorder="1"/>
    <xf numFmtId="164" fontId="36" fillId="26" borderId="0" xfId="0" applyNumberFormat="1" applyFont="1" applyFill="1" applyBorder="1"/>
    <xf numFmtId="164" fontId="66" fillId="0" borderId="0" xfId="0" applyNumberFormat="1" applyFont="1" applyFill="1"/>
    <xf numFmtId="164" fontId="66" fillId="26" borderId="0" xfId="0" applyNumberFormat="1" applyFont="1" applyFill="1"/>
    <xf numFmtId="164" fontId="78" fillId="0" borderId="0" xfId="59" applyNumberFormat="1" applyFont="1" applyFill="1" applyAlignment="1"/>
    <xf numFmtId="164" fontId="71" fillId="0" borderId="0" xfId="59" applyNumberFormat="1" applyFont="1" applyFill="1" applyAlignment="1"/>
    <xf numFmtId="175" fontId="0" fillId="0" borderId="0" xfId="0" applyNumberFormat="1" applyAlignment="1">
      <alignment horizontal="right"/>
    </xf>
    <xf numFmtId="175" fontId="0" fillId="26" borderId="0" xfId="0" applyNumberFormat="1" applyFill="1" applyAlignment="1">
      <alignment horizontal="right"/>
    </xf>
    <xf numFmtId="175" fontId="34" fillId="0" borderId="0" xfId="0" applyNumberFormat="1" applyFont="1" applyAlignment="1">
      <alignment horizontal="right"/>
    </xf>
    <xf numFmtId="175" fontId="34" fillId="0" borderId="35" xfId="0" applyNumberFormat="1" applyFont="1" applyBorder="1" applyAlignment="1">
      <alignment horizontal="right"/>
    </xf>
    <xf numFmtId="175" fontId="0" fillId="26" borderId="35" xfId="0" applyNumberFormat="1" applyFill="1" applyBorder="1" applyAlignment="1">
      <alignment horizontal="right"/>
    </xf>
    <xf numFmtId="175" fontId="4" fillId="0" borderId="0" xfId="0" applyNumberFormat="1" applyFont="1" applyAlignment="1">
      <alignment horizontal="right"/>
    </xf>
    <xf numFmtId="175" fontId="4" fillId="26" borderId="0" xfId="0" applyNumberFormat="1" applyFont="1" applyFill="1" applyAlignment="1">
      <alignment horizontal="right"/>
    </xf>
    <xf numFmtId="175" fontId="17" fillId="0" borderId="0" xfId="0" applyNumberFormat="1" applyFont="1" applyFill="1" applyBorder="1" applyAlignment="1">
      <alignment horizontal="right"/>
    </xf>
    <xf numFmtId="175" fontId="4" fillId="0" borderId="0" xfId="0" applyNumberFormat="1" applyFont="1" applyFill="1" applyAlignment="1">
      <alignment horizontal="right"/>
    </xf>
    <xf numFmtId="175" fontId="17" fillId="26" borderId="0" xfId="0" applyNumberFormat="1" applyFont="1" applyFill="1" applyAlignment="1">
      <alignment horizontal="right"/>
    </xf>
    <xf numFmtId="175" fontId="0" fillId="0" borderId="0" xfId="0" applyNumberFormat="1" applyFill="1" applyAlignment="1">
      <alignment horizontal="right"/>
    </xf>
    <xf numFmtId="172" fontId="0" fillId="26" borderId="0" xfId="0" applyNumberFormat="1" applyFill="1"/>
    <xf numFmtId="172" fontId="75" fillId="0" borderId="0" xfId="0" applyNumberFormat="1" applyFont="1"/>
    <xf numFmtId="172" fontId="0" fillId="0" borderId="35" xfId="0" applyNumberFormat="1" applyBorder="1"/>
    <xf numFmtId="172" fontId="0" fillId="26" borderId="35" xfId="0" applyNumberFormat="1" applyFill="1" applyBorder="1"/>
    <xf numFmtId="14" fontId="21" fillId="30" borderId="0" xfId="0" applyNumberFormat="1" applyFont="1" applyFill="1" applyBorder="1" applyAlignment="1">
      <alignment horizontal="center" wrapText="1"/>
    </xf>
    <xf numFmtId="39" fontId="24" fillId="30" borderId="0" xfId="0" applyNumberFormat="1" applyFont="1" applyFill="1" applyBorder="1"/>
    <xf numFmtId="39" fontId="24" fillId="30" borderId="35" xfId="0" applyNumberFormat="1" applyFont="1" applyFill="1" applyBorder="1"/>
    <xf numFmtId="179" fontId="4" fillId="0" borderId="35" xfId="0" applyNumberFormat="1" applyFont="1" applyFill="1" applyBorder="1"/>
    <xf numFmtId="172" fontId="0" fillId="27" borderId="0" xfId="0" applyNumberFormat="1" applyFill="1"/>
    <xf numFmtId="172" fontId="0" fillId="27" borderId="35" xfId="0" applyNumberFormat="1" applyFill="1" applyBorder="1"/>
    <xf numFmtId="172" fontId="34" fillId="0" borderId="35" xfId="0" applyNumberFormat="1" applyFont="1" applyBorder="1"/>
    <xf numFmtId="172" fontId="4" fillId="0" borderId="35" xfId="0" applyNumberFormat="1" applyFont="1" applyBorder="1"/>
    <xf numFmtId="172" fontId="4" fillId="0" borderId="0" xfId="0" applyNumberFormat="1" applyFont="1"/>
    <xf numFmtId="172" fontId="10" fillId="0" borderId="0" xfId="0" applyNumberFormat="1" applyFont="1"/>
    <xf numFmtId="172" fontId="0" fillId="26" borderId="0" xfId="0" applyNumberFormat="1" applyFill="1" applyBorder="1"/>
    <xf numFmtId="172" fontId="0" fillId="0" borderId="35" xfId="0" applyNumberFormat="1" applyFill="1" applyBorder="1"/>
    <xf numFmtId="172" fontId="17" fillId="27" borderId="0" xfId="0" applyNumberFormat="1" applyFont="1" applyFill="1"/>
    <xf numFmtId="172" fontId="35" fillId="0" borderId="0" xfId="0" applyNumberFormat="1" applyFont="1" applyAlignment="1"/>
    <xf numFmtId="172" fontId="8" fillId="26" borderId="0" xfId="0" applyNumberFormat="1" applyFont="1" applyFill="1"/>
    <xf numFmtId="172" fontId="17" fillId="0" borderId="0" xfId="0" applyNumberFormat="1" applyFont="1" applyFill="1"/>
    <xf numFmtId="172" fontId="34" fillId="0" borderId="0" xfId="0" applyNumberFormat="1" applyFont="1" applyFill="1"/>
    <xf numFmtId="172" fontId="4" fillId="26" borderId="35" xfId="0" applyNumberFormat="1" applyFont="1" applyFill="1" applyBorder="1"/>
    <xf numFmtId="172" fontId="17" fillId="0" borderId="35" xfId="0" applyNumberFormat="1" applyFont="1" applyBorder="1"/>
    <xf numFmtId="172" fontId="4" fillId="26" borderId="0" xfId="0" applyNumberFormat="1" applyFont="1" applyFill="1" applyBorder="1"/>
    <xf numFmtId="172" fontId="8" fillId="0" borderId="0" xfId="0" applyNumberFormat="1" applyFont="1"/>
    <xf numFmtId="172" fontId="8" fillId="0" borderId="0" xfId="0" applyNumberFormat="1" applyFont="1" applyFill="1" applyBorder="1"/>
    <xf numFmtId="172" fontId="4" fillId="0" borderId="37" xfId="0" applyNumberFormat="1" applyFont="1" applyBorder="1"/>
    <xf numFmtId="172" fontId="4" fillId="26" borderId="37" xfId="0" applyNumberFormat="1" applyFont="1" applyFill="1" applyBorder="1"/>
    <xf numFmtId="172" fontId="0" fillId="0" borderId="0" xfId="0" applyNumberFormat="1" applyBorder="1"/>
    <xf numFmtId="172" fontId="0" fillId="27" borderId="0" xfId="0" applyNumberFormat="1" applyFill="1" applyBorder="1"/>
    <xf numFmtId="172" fontId="4" fillId="0" borderId="0" xfId="0" applyNumberFormat="1" applyFont="1" applyBorder="1"/>
    <xf numFmtId="172" fontId="9" fillId="0" borderId="0" xfId="0" applyNumberFormat="1" applyFont="1" applyFill="1" applyBorder="1"/>
    <xf numFmtId="172" fontId="10" fillId="0" borderId="0" xfId="0" applyNumberFormat="1" applyFont="1" applyFill="1" applyBorder="1"/>
    <xf numFmtId="172" fontId="17" fillId="26" borderId="0" xfId="0" applyNumberFormat="1" applyFont="1" applyFill="1"/>
    <xf numFmtId="172" fontId="4" fillId="0" borderId="0" xfId="0" applyNumberFormat="1" applyFont="1" applyFill="1"/>
    <xf numFmtId="172" fontId="4" fillId="0" borderId="0" xfId="0" applyNumberFormat="1" applyFont="1" applyFill="1" applyBorder="1"/>
    <xf numFmtId="172" fontId="17" fillId="0" borderId="37" xfId="0" applyNumberFormat="1" applyFont="1" applyBorder="1"/>
    <xf numFmtId="172" fontId="9" fillId="0" borderId="0" xfId="0" applyNumberFormat="1" applyFont="1"/>
    <xf numFmtId="172" fontId="13" fillId="0" borderId="0" xfId="0" applyNumberFormat="1" applyFont="1" applyFill="1" applyBorder="1" applyAlignment="1">
      <alignment horizontal="left"/>
    </xf>
    <xf numFmtId="172" fontId="4" fillId="0" borderId="0" xfId="0" applyNumberFormat="1" applyFont="1" applyFill="1" applyBorder="1" applyAlignment="1">
      <alignment horizontal="left"/>
    </xf>
    <xf numFmtId="172" fontId="17" fillId="27" borderId="35" xfId="0" applyNumberFormat="1" applyFont="1" applyFill="1" applyBorder="1"/>
    <xf numFmtId="172" fontId="17" fillId="26" borderId="35" xfId="0" applyNumberFormat="1" applyFont="1" applyFill="1" applyBorder="1"/>
    <xf numFmtId="172" fontId="75" fillId="0" borderId="35" xfId="0" applyNumberFormat="1" applyFont="1" applyFill="1" applyBorder="1"/>
    <xf numFmtId="172" fontId="4" fillId="0" borderId="35" xfId="0" applyNumberFormat="1" applyFont="1" applyFill="1" applyBorder="1"/>
    <xf numFmtId="172" fontId="4" fillId="27" borderId="0" xfId="0" applyNumberFormat="1" applyFont="1" applyFill="1"/>
    <xf numFmtId="172" fontId="0" fillId="26" borderId="0" xfId="63" applyNumberFormat="1" applyFont="1" applyFill="1"/>
    <xf numFmtId="172" fontId="4" fillId="0" borderId="0" xfId="63" applyNumberFormat="1" applyFont="1"/>
    <xf numFmtId="172" fontId="34" fillId="0" borderId="0" xfId="0" applyNumberFormat="1" applyFont="1" applyBorder="1"/>
    <xf numFmtId="172" fontId="75" fillId="26" borderId="0" xfId="0" applyNumberFormat="1" applyFont="1" applyFill="1"/>
    <xf numFmtId="172" fontId="17" fillId="0" borderId="35" xfId="0" applyNumberFormat="1" applyFont="1" applyFill="1" applyBorder="1"/>
    <xf numFmtId="172" fontId="19" fillId="0" borderId="0" xfId="0" applyNumberFormat="1" applyFont="1"/>
    <xf numFmtId="172" fontId="8" fillId="27" borderId="0" xfId="0" applyNumberFormat="1" applyFont="1" applyFill="1"/>
    <xf numFmtId="172" fontId="19" fillId="26" borderId="0" xfId="0" applyNumberFormat="1" applyFont="1" applyFill="1"/>
    <xf numFmtId="172" fontId="19" fillId="0" borderId="0" xfId="0" applyNumberFormat="1" applyFont="1" applyFill="1" applyBorder="1" applyAlignment="1"/>
    <xf numFmtId="164" fontId="90" fillId="0" borderId="0" xfId="0" applyNumberFormat="1" applyFont="1" applyBorder="1"/>
    <xf numFmtId="164" fontId="90" fillId="0" borderId="0" xfId="0" applyNumberFormat="1" applyFont="1" applyFill="1"/>
    <xf numFmtId="39" fontId="77" fillId="0" borderId="0" xfId="0" applyNumberFormat="1" applyFont="1"/>
    <xf numFmtId="10" fontId="77" fillId="0" borderId="38" xfId="0" applyNumberFormat="1" applyFont="1" applyBorder="1"/>
    <xf numFmtId="2" fontId="77" fillId="0" borderId="0" xfId="0" applyNumberFormat="1" applyFont="1"/>
    <xf numFmtId="164" fontId="4" fillId="0" borderId="0" xfId="0" applyNumberFormat="1" applyFont="1"/>
    <xf numFmtId="164" fontId="0" fillId="27" borderId="0" xfId="0" applyNumberFormat="1" applyFill="1"/>
    <xf numFmtId="180" fontId="0" fillId="0" borderId="35" xfId="0" applyNumberFormat="1" applyBorder="1"/>
    <xf numFmtId="180" fontId="0" fillId="26" borderId="35" xfId="0" applyNumberFormat="1" applyFill="1" applyBorder="1"/>
    <xf numFmtId="4" fontId="77" fillId="0" borderId="0" xfId="0" applyNumberFormat="1" applyFont="1"/>
    <xf numFmtId="175" fontId="4" fillId="26" borderId="0" xfId="0" applyNumberFormat="1" applyFont="1" applyFill="1"/>
    <xf numFmtId="175" fontId="4" fillId="0" borderId="37" xfId="0" applyNumberFormat="1" applyFont="1" applyFill="1" applyBorder="1"/>
    <xf numFmtId="175" fontId="4" fillId="26" borderId="37" xfId="0" applyNumberFormat="1" applyFont="1" applyFill="1" applyBorder="1"/>
    <xf numFmtId="175" fontId="4" fillId="0" borderId="0" xfId="0" applyNumberFormat="1" applyFont="1" applyFill="1" applyBorder="1"/>
    <xf numFmtId="175" fontId="4" fillId="26" borderId="0" xfId="0" applyNumberFormat="1" applyFont="1" applyFill="1" applyBorder="1"/>
    <xf numFmtId="175" fontId="87" fillId="0" borderId="0" xfId="0" applyNumberFormat="1" applyFont="1" applyFill="1" applyBorder="1"/>
    <xf numFmtId="175" fontId="80" fillId="0" borderId="0" xfId="0" applyNumberFormat="1" applyFont="1" applyFill="1" applyBorder="1"/>
    <xf numFmtId="175" fontId="34" fillId="0" borderId="0" xfId="0" applyNumberFormat="1" applyFont="1" applyFill="1" applyBorder="1"/>
    <xf numFmtId="175" fontId="34" fillId="0" borderId="0" xfId="0" applyNumberFormat="1" applyFont="1" applyFill="1"/>
    <xf numFmtId="175" fontId="17" fillId="26" borderId="0" xfId="0" applyNumberFormat="1" applyFont="1" applyFill="1"/>
    <xf numFmtId="175" fontId="17" fillId="0" borderId="0" xfId="0" applyNumberFormat="1" applyFont="1" applyFill="1"/>
    <xf numFmtId="175" fontId="87" fillId="0" borderId="0" xfId="0" applyNumberFormat="1" applyFont="1"/>
    <xf numFmtId="175" fontId="80" fillId="0" borderId="0" xfId="0" applyNumberFormat="1" applyFont="1"/>
    <xf numFmtId="175" fontId="87" fillId="0" borderId="35" xfId="0" applyNumberFormat="1" applyFont="1" applyFill="1" applyBorder="1"/>
    <xf numFmtId="175" fontId="4" fillId="26" borderId="35" xfId="0" applyNumberFormat="1" applyFont="1" applyFill="1" applyBorder="1"/>
    <xf numFmtId="175" fontId="87" fillId="0" borderId="35" xfId="0" applyNumberFormat="1" applyFont="1" applyBorder="1"/>
    <xf numFmtId="175" fontId="80" fillId="0" borderId="35" xfId="0" applyNumberFormat="1" applyFont="1" applyBorder="1"/>
    <xf numFmtId="175" fontId="4" fillId="0" borderId="0" xfId="0" applyNumberFormat="1" applyFont="1" applyFill="1"/>
    <xf numFmtId="175" fontId="8" fillId="0" borderId="37" xfId="0" applyNumberFormat="1" applyFont="1" applyFill="1" applyBorder="1"/>
    <xf numFmtId="175" fontId="8" fillId="26" borderId="37" xfId="0" applyNumberFormat="1" applyFont="1" applyFill="1" applyBorder="1"/>
    <xf numFmtId="175" fontId="17" fillId="0" borderId="0" xfId="0" applyNumberFormat="1" applyFont="1"/>
    <xf numFmtId="175" fontId="34" fillId="0" borderId="0" xfId="0" applyNumberFormat="1" applyFont="1"/>
    <xf numFmtId="175" fontId="4" fillId="0" borderId="37" xfId="0" applyNumberFormat="1" applyFont="1" applyBorder="1"/>
    <xf numFmtId="175" fontId="80" fillId="0" borderId="35" xfId="0" applyNumberFormat="1" applyFont="1" applyFill="1" applyBorder="1"/>
    <xf numFmtId="175" fontId="4" fillId="0" borderId="0" xfId="29" applyNumberFormat="1" applyFill="1"/>
    <xf numFmtId="175" fontId="0" fillId="0" borderId="37" xfId="0" applyNumberFormat="1" applyFill="1" applyBorder="1"/>
    <xf numFmtId="175" fontId="0" fillId="26" borderId="37" xfId="0" applyNumberFormat="1" applyFill="1" applyBorder="1"/>
    <xf numFmtId="175" fontId="26" fillId="0" borderId="0" xfId="0" applyNumberFormat="1" applyFont="1"/>
    <xf numFmtId="175" fontId="26" fillId="26" borderId="0" xfId="0" applyNumberFormat="1" applyFont="1" applyFill="1"/>
    <xf numFmtId="175" fontId="87" fillId="0" borderId="0" xfId="0" applyNumberFormat="1" applyFont="1" applyAlignment="1"/>
    <xf numFmtId="175" fontId="80" fillId="0" borderId="0" xfId="0" applyNumberFormat="1" applyFont="1" applyAlignment="1"/>
    <xf numFmtId="175" fontId="81" fillId="0" borderId="0" xfId="0" applyNumberFormat="1" applyFont="1"/>
    <xf numFmtId="175" fontId="0" fillId="26" borderId="0" xfId="0" applyNumberFormat="1" applyFill="1"/>
    <xf numFmtId="175" fontId="87" fillId="0" borderId="0" xfId="29" applyNumberFormat="1" applyFont="1" applyFill="1"/>
    <xf numFmtId="175" fontId="80" fillId="0" borderId="0" xfId="29" applyNumberFormat="1" applyFont="1" applyFill="1"/>
    <xf numFmtId="175" fontId="0" fillId="0" borderId="0" xfId="0" applyNumberFormat="1"/>
    <xf numFmtId="175" fontId="4" fillId="0" borderId="0" xfId="0" applyNumberFormat="1" applyFont="1"/>
    <xf numFmtId="175" fontId="0" fillId="29" borderId="0" xfId="0" applyNumberFormat="1" applyFill="1"/>
    <xf numFmtId="175" fontId="77" fillId="0" borderId="0" xfId="0" applyNumberFormat="1" applyFont="1"/>
    <xf numFmtId="175" fontId="74" fillId="0" borderId="0" xfId="0" applyNumberFormat="1" applyFont="1"/>
    <xf numFmtId="175" fontId="0" fillId="0" borderId="0" xfId="0" applyNumberFormat="1" applyFill="1"/>
    <xf numFmtId="164" fontId="0" fillId="0" borderId="0" xfId="0" applyNumberFormat="1" applyAlignment="1">
      <alignment horizontal="center"/>
    </xf>
    <xf numFmtId="164" fontId="0" fillId="26" borderId="0" xfId="0" applyNumberFormat="1" applyFill="1" applyAlignment="1">
      <alignment horizontal="center"/>
    </xf>
    <xf numFmtId="164" fontId="9" fillId="0" borderId="0" xfId="0" applyNumberFormat="1" applyFont="1"/>
    <xf numFmtId="164" fontId="88" fillId="0" borderId="0" xfId="0" applyNumberFormat="1" applyFont="1" applyFill="1" applyBorder="1"/>
    <xf numFmtId="164" fontId="89" fillId="0" borderId="0" xfId="0" applyNumberFormat="1" applyFont="1" applyFill="1" applyBorder="1" applyAlignment="1">
      <alignment horizontal="right"/>
    </xf>
    <xf numFmtId="164" fontId="9" fillId="26" borderId="0" xfId="0" applyNumberFormat="1" applyFont="1" applyFill="1" applyBorder="1"/>
    <xf numFmtId="164" fontId="0" fillId="0" borderId="0" xfId="0" applyNumberFormat="1" applyFill="1" applyBorder="1"/>
    <xf numFmtId="164" fontId="0" fillId="26" borderId="0" xfId="0" applyNumberFormat="1" applyFill="1" applyBorder="1"/>
    <xf numFmtId="164" fontId="34" fillId="26" borderId="0" xfId="0" applyNumberFormat="1" applyFont="1" applyFill="1" applyBorder="1"/>
    <xf numFmtId="164" fontId="4" fillId="26" borderId="0" xfId="0" applyNumberFormat="1" applyFont="1" applyFill="1" applyBorder="1"/>
    <xf numFmtId="164" fontId="34" fillId="31" borderId="0" xfId="0" applyNumberFormat="1" applyFont="1" applyFill="1"/>
    <xf numFmtId="164" fontId="77" fillId="26" borderId="0" xfId="0" applyNumberFormat="1" applyFont="1" applyFill="1" applyBorder="1"/>
    <xf numFmtId="164" fontId="77" fillId="26" borderId="0" xfId="0" applyNumberFormat="1" applyFont="1" applyFill="1"/>
    <xf numFmtId="10" fontId="77" fillId="0" borderId="0" xfId="0" applyNumberFormat="1" applyFont="1"/>
    <xf numFmtId="172" fontId="77" fillId="0" borderId="35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Border="1"/>
    <xf numFmtId="10" fontId="90" fillId="0" borderId="0" xfId="63" applyNumberFormat="1" applyFont="1" applyAlignment="1"/>
    <xf numFmtId="172" fontId="77" fillId="0" borderId="0" xfId="0" applyNumberFormat="1" applyFont="1" applyFill="1"/>
    <xf numFmtId="10" fontId="77" fillId="26" borderId="0" xfId="0" applyNumberFormat="1" applyFont="1" applyFill="1"/>
    <xf numFmtId="168" fontId="77" fillId="0" borderId="0" xfId="0" applyNumberFormat="1" applyFont="1" applyFill="1"/>
    <xf numFmtId="172" fontId="77" fillId="0" borderId="0" xfId="55" applyNumberFormat="1" applyFont="1" applyFill="1" applyAlignment="1"/>
    <xf numFmtId="172" fontId="77" fillId="0" borderId="0" xfId="57" applyNumberFormat="1" applyFont="1" applyAlignment="1" applyProtection="1">
      <protection locked="0"/>
    </xf>
    <xf numFmtId="170" fontId="77" fillId="0" borderId="0" xfId="0" applyNumberFormat="1" applyFont="1"/>
    <xf numFmtId="43" fontId="77" fillId="0" borderId="0" xfId="0" applyNumberFormat="1" applyFont="1"/>
    <xf numFmtId="179" fontId="77" fillId="0" borderId="0" xfId="0" applyNumberFormat="1" applyFont="1"/>
    <xf numFmtId="10" fontId="77" fillId="0" borderId="0" xfId="0" applyNumberFormat="1" applyFont="1" applyFill="1" applyBorder="1"/>
    <xf numFmtId="172" fontId="77" fillId="0" borderId="0" xfId="0" applyNumberFormat="1" applyFont="1" applyFill="1" applyBorder="1" applyAlignment="1"/>
    <xf numFmtId="172" fontId="77" fillId="0" borderId="35" xfId="0" applyNumberFormat="1" applyFont="1" applyFill="1" applyBorder="1"/>
    <xf numFmtId="172" fontId="77" fillId="0" borderId="37" xfId="0" applyNumberFormat="1" applyFont="1" applyBorder="1"/>
    <xf numFmtId="175" fontId="77" fillId="0" borderId="0" xfId="0" applyNumberFormat="1" applyFont="1" applyAlignment="1">
      <alignment horizontal="right"/>
    </xf>
    <xf numFmtId="175" fontId="77" fillId="0" borderId="35" xfId="0" applyNumberFormat="1" applyFont="1" applyBorder="1" applyAlignment="1">
      <alignment horizontal="right"/>
    </xf>
    <xf numFmtId="175" fontId="77" fillId="0" borderId="35" xfId="0" applyNumberFormat="1" applyFont="1" applyFill="1" applyBorder="1" applyAlignment="1">
      <alignment horizontal="right"/>
    </xf>
    <xf numFmtId="175" fontId="77" fillId="0" borderId="0" xfId="0" applyNumberFormat="1" applyFont="1" applyFill="1" applyAlignment="1">
      <alignment horizontal="right"/>
    </xf>
    <xf numFmtId="175" fontId="77" fillId="0" borderId="0" xfId="0" applyNumberFormat="1" applyFont="1" applyBorder="1" applyAlignment="1">
      <alignment horizontal="right"/>
    </xf>
    <xf numFmtId="10" fontId="77" fillId="0" borderId="0" xfId="63" applyNumberFormat="1" applyFont="1"/>
    <xf numFmtId="175" fontId="77" fillId="0" borderId="0" xfId="55" applyNumberFormat="1" applyFont="1" applyFill="1" applyAlignment="1"/>
    <xf numFmtId="175" fontId="77" fillId="0" borderId="35" xfId="55" applyNumberFormat="1" applyFont="1" applyFill="1" applyBorder="1" applyAlignment="1"/>
    <xf numFmtId="175" fontId="77" fillId="0" borderId="0" xfId="0" applyNumberFormat="1" applyFont="1" applyFill="1"/>
    <xf numFmtId="175" fontId="36" fillId="0" borderId="0" xfId="0" applyNumberFormat="1" applyFont="1" applyFill="1"/>
    <xf numFmtId="175" fontId="36" fillId="0" borderId="35" xfId="0" applyNumberFormat="1" applyFont="1" applyFill="1" applyBorder="1"/>
    <xf numFmtId="175" fontId="17" fillId="26" borderId="35" xfId="0" applyNumberFormat="1" applyFont="1" applyFill="1" applyBorder="1"/>
    <xf numFmtId="175" fontId="34" fillId="0" borderId="35" xfId="0" applyNumberFormat="1" applyFont="1" applyBorder="1"/>
    <xf numFmtId="175" fontId="4" fillId="0" borderId="0" xfId="0" applyNumberFormat="1" applyFont="1" applyBorder="1"/>
    <xf numFmtId="175" fontId="0" fillId="0" borderId="0" xfId="0" applyNumberFormat="1" applyBorder="1"/>
    <xf numFmtId="175" fontId="0" fillId="26" borderId="0" xfId="0" applyNumberFormat="1" applyFill="1" applyBorder="1"/>
    <xf numFmtId="175" fontId="0" fillId="0" borderId="0" xfId="0" applyNumberFormat="1" applyFill="1" applyBorder="1"/>
    <xf numFmtId="175" fontId="77" fillId="0" borderId="0" xfId="56" applyNumberFormat="1" applyFont="1" applyAlignment="1"/>
    <xf numFmtId="175" fontId="77" fillId="0" borderId="0" xfId="56" applyNumberFormat="1" applyFont="1" applyFill="1" applyAlignment="1"/>
    <xf numFmtId="175" fontId="0" fillId="0" borderId="0" xfId="32" applyNumberFormat="1" applyFont="1"/>
    <xf numFmtId="44" fontId="77" fillId="0" borderId="0" xfId="0" applyNumberFormat="1" applyFont="1"/>
    <xf numFmtId="164" fontId="90" fillId="0" borderId="0" xfId="0" applyNumberFormat="1" applyFont="1" applyFill="1" applyAlignment="1">
      <alignment horizontal="right" vertical="top"/>
    </xf>
    <xf numFmtId="164" fontId="90" fillId="26" borderId="16" xfId="0" applyNumberFormat="1" applyFont="1" applyFill="1" applyBorder="1" applyAlignment="1">
      <alignment horizontal="right" vertical="top"/>
    </xf>
    <xf numFmtId="164" fontId="8" fillId="0" borderId="0" xfId="0" applyNumberFormat="1" applyFont="1"/>
    <xf numFmtId="164" fontId="8" fillId="26" borderId="0" xfId="0" applyNumberFormat="1" applyFont="1" applyFill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4" fontId="0" fillId="26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6" xfId="0" applyNumberFormat="1" applyBorder="1"/>
    <xf numFmtId="164" fontId="0" fillId="0" borderId="0" xfId="0" applyNumberFormat="1" applyBorder="1"/>
    <xf numFmtId="164" fontId="10" fillId="0" borderId="36" xfId="0" applyNumberFormat="1" applyFont="1" applyBorder="1" applyAlignment="1">
      <alignment horizontal="left"/>
    </xf>
    <xf numFmtId="164" fontId="10" fillId="26" borderId="36" xfId="0" applyNumberFormat="1" applyFont="1" applyFill="1" applyBorder="1" applyAlignment="1">
      <alignment horizontal="left"/>
    </xf>
    <xf numFmtId="164" fontId="0" fillId="0" borderId="36" xfId="0" applyNumberFormat="1" applyFill="1" applyBorder="1"/>
    <xf numFmtId="164" fontId="0" fillId="26" borderId="36" xfId="0" applyNumberFormat="1" applyFill="1" applyBorder="1"/>
    <xf numFmtId="164" fontId="0" fillId="0" borderId="36" xfId="0" applyNumberFormat="1" applyBorder="1"/>
    <xf numFmtId="164" fontId="10" fillId="0" borderId="0" xfId="0" applyNumberFormat="1" applyFont="1" applyAlignment="1">
      <alignment horizontal="left"/>
    </xf>
    <xf numFmtId="164" fontId="10" fillId="26" borderId="0" xfId="0" applyNumberFormat="1" applyFont="1" applyFill="1" applyAlignment="1">
      <alignment horizontal="left"/>
    </xf>
    <xf numFmtId="164" fontId="13" fillId="0" borderId="0" xfId="0" applyNumberFormat="1" applyFont="1" applyAlignment="1">
      <alignment horizontal="left" indent="1"/>
    </xf>
    <xf numFmtId="164" fontId="13" fillId="26" borderId="0" xfId="0" applyNumberFormat="1" applyFont="1" applyFill="1" applyAlignment="1">
      <alignment horizontal="left" indent="1"/>
    </xf>
    <xf numFmtId="164" fontId="0" fillId="0" borderId="0" xfId="0" applyNumberFormat="1" applyAlignment="1">
      <alignment horizontal="left" indent="3"/>
    </xf>
    <xf numFmtId="164" fontId="0" fillId="26" borderId="0" xfId="0" applyNumberFormat="1" applyFill="1" applyAlignment="1">
      <alignment horizontal="left" indent="3"/>
    </xf>
    <xf numFmtId="164" fontId="4" fillId="0" borderId="0" xfId="0" applyNumberFormat="1" applyFont="1" applyBorder="1"/>
    <xf numFmtId="164" fontId="14" fillId="0" borderId="0" xfId="0" applyNumberFormat="1" applyFont="1" applyFill="1" applyBorder="1"/>
    <xf numFmtId="164" fontId="14" fillId="26" borderId="0" xfId="0" applyNumberFormat="1" applyFont="1" applyFill="1"/>
    <xf numFmtId="164" fontId="14" fillId="26" borderId="0" xfId="0" applyNumberFormat="1" applyFont="1" applyFill="1" applyBorder="1"/>
    <xf numFmtId="164" fontId="14" fillId="0" borderId="0" xfId="0" applyNumberFormat="1" applyFont="1"/>
    <xf numFmtId="164" fontId="14" fillId="0" borderId="0" xfId="0" applyNumberFormat="1" applyFont="1" applyBorder="1"/>
    <xf numFmtId="164" fontId="0" fillId="0" borderId="0" xfId="0" applyNumberFormat="1" applyAlignment="1">
      <alignment horizontal="left" indent="4"/>
    </xf>
    <xf numFmtId="164" fontId="0" fillId="26" borderId="0" xfId="0" applyNumberFormat="1" applyFill="1" applyAlignment="1">
      <alignment horizontal="left" indent="4"/>
    </xf>
    <xf numFmtId="164" fontId="0" fillId="0" borderId="0" xfId="0" applyNumberFormat="1" applyAlignment="1">
      <alignment horizontal="left" indent="1"/>
    </xf>
    <xf numFmtId="164" fontId="0" fillId="26" borderId="0" xfId="0" applyNumberFormat="1" applyFill="1" applyAlignment="1">
      <alignment horizontal="left" indent="1"/>
    </xf>
    <xf numFmtId="164" fontId="0" fillId="0" borderId="0" xfId="0" applyNumberFormat="1" applyAlignment="1">
      <alignment horizontal="left" indent="2"/>
    </xf>
    <xf numFmtId="164" fontId="0" fillId="26" borderId="0" xfId="0" applyNumberFormat="1" applyFill="1" applyAlignment="1">
      <alignment horizontal="left" indent="2"/>
    </xf>
    <xf numFmtId="164" fontId="14" fillId="0" borderId="0" xfId="0" applyNumberFormat="1" applyFont="1" applyFill="1"/>
    <xf numFmtId="164" fontId="0" fillId="26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Alignment="1">
      <alignment horizontal="left" indent="1"/>
    </xf>
    <xf numFmtId="164" fontId="91" fillId="0" borderId="0" xfId="0" applyNumberFormat="1" applyFont="1" applyFill="1" applyBorder="1"/>
    <xf numFmtId="164" fontId="0" fillId="26" borderId="35" xfId="0" applyNumberFormat="1" applyFill="1" applyBorder="1"/>
    <xf numFmtId="4" fontId="8" fillId="26" borderId="0" xfId="0" applyNumberFormat="1" applyFont="1" applyFill="1"/>
    <xf numFmtId="4" fontId="8" fillId="26" borderId="0" xfId="0" applyNumberFormat="1" applyFont="1" applyFill="1" applyBorder="1"/>
    <xf numFmtId="4" fontId="8" fillId="26" borderId="35" xfId="0" applyNumberFormat="1" applyFont="1" applyFill="1" applyBorder="1"/>
    <xf numFmtId="180" fontId="9" fillId="0" borderId="0" xfId="0" applyNumberFormat="1" applyFont="1"/>
    <xf numFmtId="180" fontId="0" fillId="0" borderId="37" xfId="0" applyNumberFormat="1" applyBorder="1"/>
    <xf numFmtId="180" fontId="0" fillId="26" borderId="37" xfId="0" applyNumberFormat="1" applyFill="1" applyBorder="1"/>
    <xf numFmtId="190" fontId="0" fillId="0" borderId="0" xfId="0" applyNumberFormat="1"/>
    <xf numFmtId="190" fontId="0" fillId="26" borderId="0" xfId="0" applyNumberFormat="1" applyFill="1"/>
    <xf numFmtId="164" fontId="90" fillId="0" borderId="0" xfId="0" applyNumberFormat="1" applyFont="1"/>
    <xf numFmtId="172" fontId="85" fillId="0" borderId="35" xfId="0" applyNumberFormat="1" applyFont="1" applyBorder="1"/>
    <xf numFmtId="180" fontId="0" fillId="30" borderId="0" xfId="0" applyNumberFormat="1" applyFill="1"/>
    <xf numFmtId="0" fontId="16" fillId="0" borderId="0" xfId="0" applyFont="1" applyFill="1" applyAlignment="1">
      <alignment horizontal="left" indent="2"/>
    </xf>
    <xf numFmtId="164" fontId="85" fillId="0" borderId="0" xfId="0" applyNumberFormat="1" applyFont="1" applyFill="1"/>
    <xf numFmtId="164" fontId="85" fillId="0" borderId="0" xfId="0" applyNumberFormat="1" applyFont="1"/>
    <xf numFmtId="43" fontId="0" fillId="30" borderId="0" xfId="0" applyNumberFormat="1" applyFill="1"/>
    <xf numFmtId="177" fontId="0" fillId="0" borderId="0" xfId="0" applyNumberFormat="1" applyBorder="1"/>
    <xf numFmtId="0" fontId="8" fillId="0" borderId="0" xfId="0" applyFont="1" applyBorder="1"/>
    <xf numFmtId="0" fontId="0" fillId="26" borderId="0" xfId="0" applyFill="1" applyBorder="1"/>
    <xf numFmtId="0" fontId="10" fillId="0" borderId="0" xfId="0" applyFont="1" applyBorder="1"/>
    <xf numFmtId="10" fontId="0" fillId="0" borderId="0" xfId="0" applyNumberFormat="1" applyBorder="1"/>
    <xf numFmtId="179" fontId="0" fillId="0" borderId="0" xfId="0" applyNumberFormat="1" applyBorder="1"/>
    <xf numFmtId="170" fontId="17" fillId="0" borderId="0" xfId="0" applyNumberFormat="1" applyFont="1" applyBorder="1"/>
    <xf numFmtId="170" fontId="17" fillId="27" borderId="0" xfId="0" applyNumberFormat="1" applyFont="1" applyFill="1" applyBorder="1"/>
    <xf numFmtId="170" fontId="17" fillId="26" borderId="0" xfId="0" applyNumberFormat="1" applyFont="1" applyFill="1" applyBorder="1"/>
    <xf numFmtId="170" fontId="0" fillId="0" borderId="0" xfId="0" applyNumberFormat="1" applyBorder="1"/>
    <xf numFmtId="170" fontId="0" fillId="26" borderId="0" xfId="0" applyNumberFormat="1" applyFill="1" applyBorder="1"/>
    <xf numFmtId="170" fontId="0" fillId="27" borderId="0" xfId="0" applyNumberFormat="1" applyFill="1" applyBorder="1"/>
    <xf numFmtId="43" fontId="0" fillId="0" borderId="0" xfId="0" applyNumberFormat="1" applyBorder="1"/>
    <xf numFmtId="3" fontId="0" fillId="0" borderId="0" xfId="0" applyNumberFormat="1" applyBorder="1"/>
    <xf numFmtId="171" fontId="0" fillId="26" borderId="0" xfId="0" applyNumberFormat="1" applyFill="1" applyBorder="1"/>
    <xf numFmtId="171" fontId="17" fillId="0" borderId="0" xfId="0" applyNumberFormat="1" applyFont="1" applyBorder="1"/>
    <xf numFmtId="169" fontId="17" fillId="0" borderId="0" xfId="0" applyNumberFormat="1" applyFont="1" applyBorder="1"/>
    <xf numFmtId="164" fontId="92" fillId="0" borderId="0" xfId="0" applyNumberFormat="1" applyFont="1" applyFill="1" applyBorder="1" applyAlignment="1">
      <alignment horizontal="right"/>
    </xf>
    <xf numFmtId="0" fontId="4" fillId="30" borderId="0" xfId="0" applyFont="1" applyFill="1"/>
    <xf numFmtId="44" fontId="0" fillId="30" borderId="0" xfId="0" applyNumberFormat="1" applyFill="1"/>
    <xf numFmtId="0" fontId="4" fillId="26" borderId="0" xfId="0" applyFont="1" applyFill="1"/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3" fontId="4" fillId="0" borderId="0" xfId="0" quotePrefix="1" applyNumberFormat="1" applyFont="1" applyAlignment="1">
      <alignment horizontal="left"/>
    </xf>
    <xf numFmtId="175" fontId="0" fillId="0" borderId="0" xfId="0" applyNumberFormat="1" applyFill="1" applyAlignment="1">
      <alignment horizontal="left"/>
    </xf>
    <xf numFmtId="3" fontId="67" fillId="0" borderId="0" xfId="0" quotePrefix="1" applyNumberFormat="1" applyFont="1" applyAlignment="1">
      <alignment horizontal="left"/>
    </xf>
    <xf numFmtId="39" fontId="16" fillId="0" borderId="0" xfId="0" applyNumberFormat="1" applyFont="1" applyFill="1"/>
    <xf numFmtId="180" fontId="16" fillId="0" borderId="35" xfId="0" applyNumberFormat="1" applyFont="1" applyFill="1" applyBorder="1"/>
    <xf numFmtId="39" fontId="85" fillId="0" borderId="0" xfId="0" applyNumberFormat="1" applyFont="1" applyBorder="1"/>
    <xf numFmtId="1" fontId="20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20" fillId="0" borderId="0" xfId="0" applyFont="1" applyBorder="1"/>
    <xf numFmtId="10" fontId="20" fillId="0" borderId="0" xfId="0" applyNumberFormat="1" applyFont="1" applyFill="1" applyBorder="1"/>
    <xf numFmtId="10" fontId="20" fillId="0" borderId="0" xfId="0" applyNumberFormat="1" applyFont="1" applyBorder="1"/>
    <xf numFmtId="0" fontId="0" fillId="0" borderId="0" xfId="0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75" fontId="0" fillId="0" borderId="0" xfId="32" applyNumberFormat="1" applyFont="1" applyBorder="1"/>
    <xf numFmtId="175" fontId="17" fillId="0" borderId="0" xfId="0" applyNumberFormat="1" applyFont="1" applyFill="1" applyBorder="1"/>
    <xf numFmtId="175" fontId="80" fillId="0" borderId="0" xfId="0" applyNumberFormat="1" applyFont="1" applyBorder="1"/>
    <xf numFmtId="175" fontId="8" fillId="0" borderId="0" xfId="0" applyNumberFormat="1" applyFont="1" applyFill="1" applyBorder="1"/>
    <xf numFmtId="175" fontId="17" fillId="0" borderId="0" xfId="0" applyNumberFormat="1" applyFont="1" applyBorder="1"/>
    <xf numFmtId="175" fontId="4" fillId="0" borderId="0" xfId="29" applyNumberFormat="1" applyFill="1" applyBorder="1"/>
    <xf numFmtId="175" fontId="26" fillId="0" borderId="0" xfId="0" applyNumberFormat="1" applyFont="1" applyBorder="1"/>
    <xf numFmtId="175" fontId="81" fillId="0" borderId="0" xfId="0" applyNumberFormat="1" applyFont="1" applyBorder="1"/>
    <xf numFmtId="175" fontId="80" fillId="0" borderId="0" xfId="29" applyNumberFormat="1" applyFont="1" applyFill="1" applyBorder="1"/>
    <xf numFmtId="175" fontId="0" fillId="29" borderId="0" xfId="0" applyNumberFormat="1" applyFill="1" applyBorder="1"/>
    <xf numFmtId="175" fontId="74" fillId="0" borderId="0" xfId="0" applyNumberFormat="1" applyFont="1" applyBorder="1"/>
    <xf numFmtId="180" fontId="0" fillId="0" borderId="0" xfId="0" applyNumberFormat="1" applyBorder="1"/>
    <xf numFmtId="0" fontId="0" fillId="0" borderId="0" xfId="0" applyFill="1" applyBorder="1" applyAlignment="1">
      <alignment horizontal="center"/>
    </xf>
    <xf numFmtId="170" fontId="4" fillId="0" borderId="0" xfId="0" applyNumberFormat="1" applyFont="1" applyBorder="1"/>
    <xf numFmtId="164" fontId="9" fillId="0" borderId="0" xfId="0" applyNumberFormat="1" applyFont="1" applyFill="1" applyBorder="1"/>
    <xf numFmtId="164" fontId="90" fillId="0" borderId="0" xfId="0" applyNumberFormat="1" applyFont="1" applyFill="1" applyBorder="1"/>
    <xf numFmtId="164" fontId="73" fillId="0" borderId="0" xfId="0" applyNumberFormat="1" applyFont="1" applyFill="1" applyBorder="1"/>
    <xf numFmtId="180" fontId="0" fillId="0" borderId="0" xfId="0" applyNumberFormat="1" applyFill="1" applyBorder="1"/>
    <xf numFmtId="180" fontId="9" fillId="0" borderId="0" xfId="0" applyNumberFormat="1" applyFont="1" applyFill="1" applyBorder="1"/>
    <xf numFmtId="0" fontId="9" fillId="0" borderId="0" xfId="0" applyFont="1" applyFill="1" applyBorder="1"/>
    <xf numFmtId="166" fontId="0" fillId="0" borderId="0" xfId="0" applyNumberFormat="1" applyFill="1" applyBorder="1"/>
    <xf numFmtId="182" fontId="0" fillId="0" borderId="0" xfId="0" applyNumberFormat="1" applyFill="1" applyBorder="1"/>
    <xf numFmtId="167" fontId="0" fillId="0" borderId="0" xfId="0" applyNumberFormat="1" applyFill="1" applyBorder="1"/>
    <xf numFmtId="172" fontId="0" fillId="0" borderId="0" xfId="0" applyNumberFormat="1" applyFill="1" applyBorder="1"/>
    <xf numFmtId="10" fontId="34" fillId="0" borderId="0" xfId="0" applyNumberFormat="1" applyFont="1" applyFill="1" applyBorder="1"/>
    <xf numFmtId="0" fontId="34" fillId="0" borderId="0" xfId="0" applyFont="1" applyBorder="1"/>
    <xf numFmtId="180" fontId="4" fillId="0" borderId="0" xfId="0" applyNumberFormat="1" applyFont="1" applyBorder="1"/>
    <xf numFmtId="10" fontId="4" fillId="0" borderId="0" xfId="0" applyNumberFormat="1" applyFont="1" applyFill="1" applyBorder="1"/>
    <xf numFmtId="43" fontId="0" fillId="27" borderId="0" xfId="0" applyNumberFormat="1" applyFill="1" applyBorder="1"/>
    <xf numFmtId="43" fontId="34" fillId="0" borderId="0" xfId="0" applyNumberFormat="1" applyFont="1" applyFill="1" applyBorder="1"/>
    <xf numFmtId="0" fontId="17" fillId="0" borderId="0" xfId="0" applyFont="1" applyFill="1" applyBorder="1"/>
    <xf numFmtId="43" fontId="34" fillId="0" borderId="0" xfId="0" applyNumberFormat="1" applyFont="1" applyBorder="1"/>
    <xf numFmtId="169" fontId="0" fillId="0" borderId="0" xfId="0" applyNumberFormat="1" applyBorder="1"/>
    <xf numFmtId="166" fontId="0" fillId="0" borderId="0" xfId="0" applyNumberFormat="1" applyBorder="1"/>
    <xf numFmtId="41" fontId="0" fillId="0" borderId="0" xfId="0" applyNumberFormat="1" applyBorder="1"/>
    <xf numFmtId="164" fontId="9" fillId="0" borderId="0" xfId="0" applyNumberFormat="1" applyFont="1" applyBorder="1"/>
    <xf numFmtId="164" fontId="34" fillId="31" borderId="0" xfId="0" applyNumberFormat="1" applyFont="1" applyFill="1" applyBorder="1"/>
    <xf numFmtId="39" fontId="34" fillId="0" borderId="0" xfId="0" applyNumberFormat="1" applyFont="1" applyBorder="1"/>
    <xf numFmtId="180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37" fontId="0" fillId="0" borderId="0" xfId="0" applyNumberFormat="1" applyBorder="1"/>
    <xf numFmtId="37" fontId="9" fillId="0" borderId="0" xfId="0" applyNumberFormat="1" applyFont="1" applyBorder="1"/>
    <xf numFmtId="9" fontId="9" fillId="26" borderId="0" xfId="63" applyFont="1" applyFill="1" applyBorder="1"/>
    <xf numFmtId="9" fontId="9" fillId="0" borderId="0" xfId="63" applyFont="1" applyFill="1" applyBorder="1"/>
    <xf numFmtId="1" fontId="9" fillId="0" borderId="0" xfId="0" applyNumberFormat="1" applyFont="1" applyBorder="1" applyAlignment="1">
      <alignment horizontal="center"/>
    </xf>
    <xf numFmtId="185" fontId="9" fillId="0" borderId="0" xfId="0" applyNumberFormat="1" applyFont="1" applyBorder="1"/>
    <xf numFmtId="181" fontId="0" fillId="0" borderId="0" xfId="0" applyNumberFormat="1" applyBorder="1"/>
    <xf numFmtId="39" fontId="8" fillId="0" borderId="0" xfId="0" applyNumberFormat="1" applyFont="1" applyBorder="1"/>
    <xf numFmtId="39" fontId="9" fillId="0" borderId="0" xfId="0" applyNumberFormat="1" applyFont="1" applyBorder="1"/>
    <xf numFmtId="185" fontId="8" fillId="0" borderId="0" xfId="0" applyNumberFormat="1" applyFont="1" applyBorder="1"/>
    <xf numFmtId="185" fontId="0" fillId="0" borderId="0" xfId="0" applyNumberFormat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69" fontId="9" fillId="0" borderId="0" xfId="63" applyNumberFormat="1" applyFont="1" applyBorder="1"/>
    <xf numFmtId="182" fontId="0" fillId="0" borderId="0" xfId="0" applyNumberFormat="1" applyBorder="1"/>
  </cellXfs>
  <cellStyles count="229">
    <cellStyle name="20% - Accent1" xfId="2" builtinId="30" customBuiltin="1"/>
    <cellStyle name="20% - Accent1 2" xfId="129"/>
    <cellStyle name="20% - Accent2" xfId="3" builtinId="34" customBuiltin="1"/>
    <cellStyle name="20% - Accent2 2" xfId="130"/>
    <cellStyle name="20% - Accent3" xfId="4" builtinId="38" customBuiltin="1"/>
    <cellStyle name="20% - Accent3 2" xfId="131"/>
    <cellStyle name="20% - Accent4" xfId="5" builtinId="42" customBuiltin="1"/>
    <cellStyle name="20% - Accent4 2" xfId="132"/>
    <cellStyle name="20% - Accent5" xfId="6" builtinId="46" customBuiltin="1"/>
    <cellStyle name="20% - Accent5 2" xfId="133"/>
    <cellStyle name="20% - Accent6" xfId="7" builtinId="50" customBuiltin="1"/>
    <cellStyle name="20% - Accent6 2" xfId="134"/>
    <cellStyle name="40% - Accent1" xfId="8" builtinId="31" customBuiltin="1"/>
    <cellStyle name="40% - Accent1 2" xfId="135"/>
    <cellStyle name="40% - Accent2" xfId="9" builtinId="35" customBuiltin="1"/>
    <cellStyle name="40% - Accent2 2" xfId="136"/>
    <cellStyle name="40% - Accent3" xfId="10" builtinId="39" customBuiltin="1"/>
    <cellStyle name="40% - Accent3 2" xfId="137"/>
    <cellStyle name="40% - Accent4" xfId="11" builtinId="43" customBuiltin="1"/>
    <cellStyle name="40% - Accent4 2" xfId="138"/>
    <cellStyle name="40% - Accent5" xfId="12" builtinId="47" customBuiltin="1"/>
    <cellStyle name="40% - Accent5 2" xfId="139"/>
    <cellStyle name="40% - Accent6" xfId="13" builtinId="51" customBuiltin="1"/>
    <cellStyle name="40% - Accent6 2" xfId="140"/>
    <cellStyle name="60% - Accent1" xfId="14" builtinId="32" customBuiltin="1"/>
    <cellStyle name="60% - Accent1 2" xfId="141"/>
    <cellStyle name="60% - Accent2" xfId="15" builtinId="36" customBuiltin="1"/>
    <cellStyle name="60% - Accent2 2" xfId="142"/>
    <cellStyle name="60% - Accent3" xfId="16" builtinId="40" customBuiltin="1"/>
    <cellStyle name="60% - Accent3 2" xfId="143"/>
    <cellStyle name="60% - Accent4" xfId="17" builtinId="44" customBuiltin="1"/>
    <cellStyle name="60% - Accent4 2" xfId="144"/>
    <cellStyle name="60% - Accent5" xfId="18" builtinId="48" customBuiltin="1"/>
    <cellStyle name="60% - Accent5 2" xfId="145"/>
    <cellStyle name="60% - Accent6" xfId="19" builtinId="52" customBuiltin="1"/>
    <cellStyle name="60% - Accent6 2" xfId="146"/>
    <cellStyle name="Accent1" xfId="20" builtinId="29" customBuiltin="1"/>
    <cellStyle name="Accent1 2" xfId="147"/>
    <cellStyle name="Accent2" xfId="21" builtinId="33" customBuiltin="1"/>
    <cellStyle name="Accent2 2" xfId="148"/>
    <cellStyle name="Accent3" xfId="22" builtinId="37" customBuiltin="1"/>
    <cellStyle name="Accent3 2" xfId="149"/>
    <cellStyle name="Accent4" xfId="23" builtinId="41" customBuiltin="1"/>
    <cellStyle name="Accent4 2" xfId="150"/>
    <cellStyle name="Accent5" xfId="24" builtinId="45" customBuiltin="1"/>
    <cellStyle name="Accent5 2" xfId="151"/>
    <cellStyle name="Accent6" xfId="25" builtinId="49" customBuiltin="1"/>
    <cellStyle name="Accent6 2" xfId="152"/>
    <cellStyle name="Bad" xfId="26" builtinId="27" customBuiltin="1"/>
    <cellStyle name="Bad 2" xfId="153"/>
    <cellStyle name="Calculation" xfId="27" builtinId="22" customBuiltin="1"/>
    <cellStyle name="Calculation 2" xfId="154"/>
    <cellStyle name="Check Cell" xfId="28" builtinId="23" customBuiltin="1"/>
    <cellStyle name="Check Cell 2" xfId="155"/>
    <cellStyle name="CodeEingabe" xfId="105"/>
    <cellStyle name="Comma" xfId="29" builtinId="3"/>
    <cellStyle name="Comma (2)" xfId="30"/>
    <cellStyle name="Comma (2) 2" xfId="177"/>
    <cellStyle name="Comma (2) 3" xfId="116"/>
    <cellStyle name="Comma 10" xfId="200"/>
    <cellStyle name="Comma 2" xfId="106"/>
    <cellStyle name="Comma 2 2" xfId="171"/>
    <cellStyle name="Comma 3" xfId="107"/>
    <cellStyle name="Comma 3 2" xfId="172"/>
    <cellStyle name="Comma 3 3" xfId="203"/>
    <cellStyle name="Comma 3 3 2" xfId="226"/>
    <cellStyle name="Comma 3 3 3" xfId="213"/>
    <cellStyle name="Comma 3 4" xfId="219"/>
    <cellStyle name="Comma 3 5" xfId="216"/>
    <cellStyle name="Comma 3 6" xfId="208"/>
    <cellStyle name="Comma 4" xfId="173"/>
    <cellStyle name="Comma 5" xfId="176"/>
    <cellStyle name="Comma 6" xfId="195"/>
    <cellStyle name="Comma 7" xfId="197"/>
    <cellStyle name="Comma 8" xfId="198"/>
    <cellStyle name="Comma 9" xfId="199"/>
    <cellStyle name="ContentsHyperlink" xfId="31"/>
    <cellStyle name="Currency" xfId="32" builtinId="4"/>
    <cellStyle name="Currency (2)" xfId="33"/>
    <cellStyle name="Currency (2) 2" xfId="179"/>
    <cellStyle name="Currency (2) 3" xfId="117"/>
    <cellStyle name="Currency 2" xfId="178"/>
    <cellStyle name="Currency 3" xfId="194"/>
    <cellStyle name="Date" xfId="34"/>
    <cellStyle name="Date 2" xfId="180"/>
    <cellStyle name="Date 3" xfId="118"/>
    <cellStyle name="Days" xfId="35"/>
    <cellStyle name="Days 2" xfId="181"/>
    <cellStyle name="Days 2 2" xfId="206"/>
    <cellStyle name="Days 2 3" xfId="224"/>
    <cellStyle name="Days 3" xfId="201"/>
    <cellStyle name="Days 4" xfId="119"/>
    <cellStyle name="Days 4 2" xfId="222"/>
    <cellStyle name="Days 4 3" xfId="211"/>
    <cellStyle name="Dth" xfId="36"/>
    <cellStyle name="Dth 2" xfId="182"/>
    <cellStyle name="Dth 2 2" xfId="207"/>
    <cellStyle name="Dth 2 3" xfId="225"/>
    <cellStyle name="Dth 3" xfId="202"/>
    <cellStyle name="Dth 4" xfId="120"/>
    <cellStyle name="Dth 4 2" xfId="223"/>
    <cellStyle name="Dth 4 3" xfId="212"/>
    <cellStyle name="Euro" xfId="37"/>
    <cellStyle name="Explanatory Text" xfId="38" builtinId="53" customBuiltin="1"/>
    <cellStyle name="Explanatory Text 2" xfId="156"/>
    <cellStyle name="Good" xfId="39" builtinId="26" customBuiltin="1"/>
    <cellStyle name="Good 2" xfId="157"/>
    <cellStyle name="Heading" xfId="40"/>
    <cellStyle name="Heading 1" xfId="41" builtinId="16" customBuiltin="1"/>
    <cellStyle name="Heading 1 2" xfId="158"/>
    <cellStyle name="Heading 2" xfId="42" builtinId="17" customBuiltin="1"/>
    <cellStyle name="Heading 2 2" xfId="159"/>
    <cellStyle name="Heading 3" xfId="43" builtinId="18" customBuiltin="1"/>
    <cellStyle name="Heading 3 2" xfId="160"/>
    <cellStyle name="Heading 4" xfId="44" builtinId="19" customBuiltin="1"/>
    <cellStyle name="Heading 4 2" xfId="161"/>
    <cellStyle name="Hours" xfId="45"/>
    <cellStyle name="Hours 2" xfId="183"/>
    <cellStyle name="Hours 3" xfId="121"/>
    <cellStyle name="HR" xfId="46"/>
    <cellStyle name="HR 2" xfId="184"/>
    <cellStyle name="HR 3" xfId="122"/>
    <cellStyle name="Input" xfId="47" builtinId="20" customBuiltin="1"/>
    <cellStyle name="Input 2" xfId="162"/>
    <cellStyle name="Linked Cell" xfId="48" builtinId="24" customBuiltin="1"/>
    <cellStyle name="Linked Cell 2" xfId="163"/>
    <cellStyle name="MMBtu" xfId="49"/>
    <cellStyle name="MMBtu 2" xfId="185"/>
    <cellStyle name="Month" xfId="50"/>
    <cellStyle name="Month 2" xfId="186"/>
    <cellStyle name="Month 3" xfId="123"/>
    <cellStyle name="MW" xfId="51"/>
    <cellStyle name="MW 2" xfId="187"/>
    <cellStyle name="MW 3" xfId="124"/>
    <cellStyle name="MWh" xfId="52"/>
    <cellStyle name="MYDATE" xfId="53"/>
    <cellStyle name="MYDATE 2" xfId="188"/>
    <cellStyle name="MYDATE 3" xfId="125"/>
    <cellStyle name="Neutral" xfId="54" builtinId="28" customBuiltin="1"/>
    <cellStyle name="Neutral 2" xfId="164"/>
    <cellStyle name="Normal" xfId="0" builtinId="0"/>
    <cellStyle name="Normal 2" xfId="108"/>
    <cellStyle name="Normal 2 2" xfId="170"/>
    <cellStyle name="Normal 3" xfId="109"/>
    <cellStyle name="Normal 3 2" xfId="204"/>
    <cellStyle name="Normal 3 2 2" xfId="227"/>
    <cellStyle name="Normal 3 2 3" xfId="214"/>
    <cellStyle name="Normal 3 3" xfId="220"/>
    <cellStyle name="Normal 3 4" xfId="217"/>
    <cellStyle name="Normal 3 5" xfId="209"/>
    <cellStyle name="Normal_Budget Trial Balance (2)" xfId="55"/>
    <cellStyle name="Normal_Capex &amp; Depr" xfId="56"/>
    <cellStyle name="Normal_Debt" xfId="57"/>
    <cellStyle name="Normal_O&amp;M" xfId="58"/>
    <cellStyle name="Normal_Other Expenses-2010 Budget (2)" xfId="59"/>
    <cellStyle name="Normal_PCM" xfId="60"/>
    <cellStyle name="Note" xfId="61" builtinId="10" customBuiltin="1"/>
    <cellStyle name="Note 2" xfId="165"/>
    <cellStyle name="Output" xfId="62" builtinId="21" customBuiltin="1"/>
    <cellStyle name="Output 2" xfId="166"/>
    <cellStyle name="Percent" xfId="63" builtinId="5"/>
    <cellStyle name="Percent (0)" xfId="64"/>
    <cellStyle name="Percent (0) 2" xfId="190"/>
    <cellStyle name="Percent (0) 3" xfId="126"/>
    <cellStyle name="Percent (1)" xfId="65"/>
    <cellStyle name="Percent (1) 2" xfId="191"/>
    <cellStyle name="Percent (2)" xfId="66"/>
    <cellStyle name="Percent (2) 2" xfId="192"/>
    <cellStyle name="Percent 2" xfId="104"/>
    <cellStyle name="Percent 2 2" xfId="189"/>
    <cellStyle name="Percent 2 3" xfId="110"/>
    <cellStyle name="Percent 2 3 2" xfId="221"/>
    <cellStyle name="Percent 2 3 3" xfId="210"/>
    <cellStyle name="Percent 2 4" xfId="205"/>
    <cellStyle name="Percent 2 4 2" xfId="228"/>
    <cellStyle name="Percent 2 4 3" xfId="215"/>
    <cellStyle name="Percent 2 5" xfId="218"/>
    <cellStyle name="Percent 3" xfId="175"/>
    <cellStyle name="Period" xfId="67"/>
    <cellStyle name="Period 2" xfId="193"/>
    <cellStyle name="Period 3" xfId="127"/>
    <cellStyle name="PSChar" xfId="111"/>
    <cellStyle name="Report Centered" xfId="68"/>
    <cellStyle name="RISKbigPercent" xfId="69"/>
    <cellStyle name="RISKblandrEdge" xfId="70"/>
    <cellStyle name="RISKblCorner" xfId="71"/>
    <cellStyle name="RISKbottomEdge" xfId="72"/>
    <cellStyle name="RISKbrCorner" xfId="73"/>
    <cellStyle name="RISKdarkBoxed" xfId="74"/>
    <cellStyle name="RISKdarkShade" xfId="75"/>
    <cellStyle name="RISKdbottomEdge" xfId="76"/>
    <cellStyle name="RISKdrightEdge" xfId="77"/>
    <cellStyle name="RISKdurationTime" xfId="78"/>
    <cellStyle name="RISKinNumber" xfId="79"/>
    <cellStyle name="RISKlandrEdge" xfId="80"/>
    <cellStyle name="RISKleftEdge" xfId="81"/>
    <cellStyle name="RISKlightBoxed" xfId="82"/>
    <cellStyle name="RISKltandbEdge" xfId="83"/>
    <cellStyle name="RISKnormBoxed" xfId="84"/>
    <cellStyle name="RISKnormCenter" xfId="85"/>
    <cellStyle name="RISKnormHeading" xfId="86"/>
    <cellStyle name="RISKnormItal" xfId="87"/>
    <cellStyle name="RISKnormLabel" xfId="88"/>
    <cellStyle name="RISKnormShade" xfId="89"/>
    <cellStyle name="RISKnormTitle" xfId="90"/>
    <cellStyle name="RISKoutNumber" xfId="91"/>
    <cellStyle name="RISKrightEdge" xfId="92"/>
    <cellStyle name="RISKrtandbEdge" xfId="93"/>
    <cellStyle name="RISKssTime" xfId="94"/>
    <cellStyle name="RISKtandbEdge" xfId="95"/>
    <cellStyle name="RISKtlandrEdge" xfId="96"/>
    <cellStyle name="RISKtlCorner" xfId="97"/>
    <cellStyle name="RISKtopEdge" xfId="98"/>
    <cellStyle name="RISKtrCorner" xfId="99"/>
    <cellStyle name="SAPBEXHLevel0" xfId="112"/>
    <cellStyle name="SAPBEXstdItem" xfId="113"/>
    <cellStyle name="SAPLocked" xfId="114"/>
    <cellStyle name="Standard_CORE_20040805_Movement types_Sets_V0.1_e" xfId="115"/>
    <cellStyle name="Style 1" xfId="1"/>
    <cellStyle name="Style 1 2" xfId="174"/>
    <cellStyle name="Title" xfId="100" builtinId="15" customBuiltin="1"/>
    <cellStyle name="Title 2" xfId="167"/>
    <cellStyle name="Title Text" xfId="101"/>
    <cellStyle name="Title Text 2" xfId="196"/>
    <cellStyle name="Title Text 3" xfId="128"/>
    <cellStyle name="Total" xfId="102" builtinId="25" customBuiltin="1"/>
    <cellStyle name="Total 2" xfId="168"/>
    <cellStyle name="Warning Text" xfId="103" builtinId="11" customBuiltin="1"/>
    <cellStyle name="Warning Text 2" xfId="16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D2"/>
  <sheetViews>
    <sheetView workbookViewId="0"/>
  </sheetViews>
  <sheetFormatPr defaultRowHeight="12.75"/>
  <sheetData>
    <row r="1" spans="1:238">
      <c r="A1">
        <v>0</v>
      </c>
      <c r="B1">
        <v>46</v>
      </c>
      <c r="C1">
        <v>119</v>
      </c>
      <c r="D1">
        <v>238</v>
      </c>
    </row>
    <row r="2" spans="1:238">
      <c r="A2" t="e">
        <f>#REF!</f>
        <v>#REF!</v>
      </c>
      <c r="B2" t="e">
        <f ca="1">RiskValStatic(0)+_xll.RiskCurrentIter()</f>
        <v>#NAME?</v>
      </c>
      <c r="C2" t="e">
        <f>#REF!</f>
        <v>#REF!</v>
      </c>
      <c r="D2" t="e">
        <f ca="1">_xll.RiskOutput()+IF(#REF!=0,1,IF(#REF!-ROUNDDOWN(#REF!,-2)=0,100,#REF!-ROUNDDOWN(#REF!,-2)))</f>
        <v>#NAME?</v>
      </c>
      <c r="E2" s="64" t="e">
        <f>#REF!</f>
        <v>#REF!</v>
      </c>
      <c r="F2" t="e">
        <f>IF(#REF!=0,PCM!N77,PCM!N77+RiskValStatic(0)+_xll.RiskPert(-8,0,8))</f>
        <v>#REF!</v>
      </c>
      <c r="G2" s="64" t="e">
        <f>#REF!</f>
        <v>#REF!</v>
      </c>
      <c r="H2" t="e">
        <f>IF(#REF!=0,PCM!O77,PCM!O77+RiskValStatic(0)+_xll.RiskPert(-8,0,8))</f>
        <v>#REF!</v>
      </c>
      <c r="I2" s="64" t="e">
        <f>#REF!</f>
        <v>#REF!</v>
      </c>
      <c r="J2" t="e">
        <f>IF(#REF!=0,PCM!P77,PCM!P77+RiskValStatic(0)+_xll.RiskPert(-8,0,8))</f>
        <v>#REF!</v>
      </c>
      <c r="K2" s="64" t="e">
        <f>#REF!</f>
        <v>#REF!</v>
      </c>
      <c r="L2" t="e">
        <f>IF(#REF!=0,PCM!Q77,PCM!Q77+RiskValStatic(0)+_xll.RiskPert(-8,0,8))</f>
        <v>#REF!</v>
      </c>
      <c r="M2" s="64" t="e">
        <f>#REF!</f>
        <v>#REF!</v>
      </c>
      <c r="N2" t="e">
        <f>IF(#REF!=0,PCM!R77,PCM!R77+RiskValStatic(0)+_xll.RiskPert(-8,0,8))</f>
        <v>#REF!</v>
      </c>
      <c r="O2" s="64" t="e">
        <f>#REF!</f>
        <v>#REF!</v>
      </c>
      <c r="P2" t="e">
        <f>IF(#REF!=0,PCM!S77,PCM!S77+RiskValStatic(0)+_xll.RiskPert(-8,0,8))</f>
        <v>#REF!</v>
      </c>
      <c r="Q2" s="64" t="e">
        <f>#REF!</f>
        <v>#REF!</v>
      </c>
      <c r="R2" t="e">
        <f>IF(#REF!=0,PCM!T77,PCM!T77+RiskValStatic(0)+_xll.RiskPert(-8,0,8))</f>
        <v>#REF!</v>
      </c>
      <c r="S2" s="64" t="e">
        <f>#REF!</f>
        <v>#REF!</v>
      </c>
      <c r="T2" t="e">
        <f>IF(#REF!=0,PCM!U77,PCM!U77+RiskValStatic(0)+_xll.RiskPert(-8,0,8))</f>
        <v>#REF!</v>
      </c>
      <c r="U2" s="64" t="e">
        <f>#REF!</f>
        <v>#REF!</v>
      </c>
      <c r="V2" t="e">
        <f>IF(#REF!=0,PCM!V77,PCM!V77+RiskValStatic(0)+_xll.RiskPert(-8,0,8))</f>
        <v>#REF!</v>
      </c>
      <c r="W2" s="64" t="e">
        <f>#REF!</f>
        <v>#REF!</v>
      </c>
      <c r="X2" t="e">
        <f>IF(#REF!=0,PCM!W77,PCM!W77+RiskValStatic(0)+_xll.RiskPert(-8,0,8))</f>
        <v>#REF!</v>
      </c>
      <c r="Y2" s="64" t="e">
        <f>#REF!</f>
        <v>#REF!</v>
      </c>
      <c r="Z2" t="e">
        <f>IF(#REF!=0,PCM!X77,PCM!X77+RiskValStatic(0)+_xll.RiskPert(-8,0,8))</f>
        <v>#REF!</v>
      </c>
      <c r="AA2" s="64" t="e">
        <f>#REF!</f>
        <v>#REF!</v>
      </c>
      <c r="AB2" t="e">
        <f>IF(#REF!=0,PCM!Y77,PCM!Y77+RiskValStatic(0)+_xll.RiskPert(-8,0,8))</f>
        <v>#REF!</v>
      </c>
      <c r="AC2" s="64" t="e">
        <f>#REF!</f>
        <v>#REF!</v>
      </c>
      <c r="AD2" t="e">
        <f ca="1">_xll.RiskOutput()+SUMPRODUCT(#REF!,PCM!N10:Y10)/PCM!Z10</f>
        <v>#NAME?</v>
      </c>
      <c r="AE2" s="64" t="e">
        <f>#REF!</f>
        <v>#REF!</v>
      </c>
      <c r="AF2" t="e">
        <f>IF(#REF!=0,PCM!AA77,PCM!AA77+RiskValStatic(0)+_xll.RiskPert(-8,0,8))</f>
        <v>#REF!</v>
      </c>
      <c r="AG2" s="64" t="e">
        <f>#REF!</f>
        <v>#REF!</v>
      </c>
      <c r="AH2" t="e">
        <f>IF(#REF!=0,PCM!AB77,PCM!AB77+RiskValStatic(0)+_xll.RiskPert(-8,0,8))</f>
        <v>#REF!</v>
      </c>
      <c r="AI2" s="64" t="e">
        <f>#REF!</f>
        <v>#REF!</v>
      </c>
      <c r="AJ2" t="e">
        <f>IF(#REF!=0,PCM!AC77,PCM!AC77+RiskValStatic(0)+_xll.RiskPert(-8,0,8))</f>
        <v>#REF!</v>
      </c>
      <c r="AK2" s="64" t="e">
        <f>#REF!</f>
        <v>#REF!</v>
      </c>
      <c r="AL2" t="e">
        <f>IF(#REF!=0,PCM!AD77,PCM!AD77+RiskValStatic(0)+_xll.RiskPert(-8,0,8))</f>
        <v>#REF!</v>
      </c>
      <c r="AM2" s="64" t="e">
        <f>#REF!</f>
        <v>#REF!</v>
      </c>
      <c r="AN2" t="e">
        <f>IF(#REF!=0,PCM!AE77,PCM!AE77+RiskValStatic(0)+_xll.RiskPert(-8,0,8))</f>
        <v>#REF!</v>
      </c>
      <c r="AO2" s="64" t="e">
        <f>#REF!</f>
        <v>#REF!</v>
      </c>
      <c r="AP2" t="e">
        <f>IF(#REF!=0,PCM!AF77,PCM!AF77+RiskValStatic(0)+_xll.RiskPert(-8,0,8))</f>
        <v>#REF!</v>
      </c>
      <c r="AQ2" s="64" t="e">
        <f>#REF!</f>
        <v>#REF!</v>
      </c>
      <c r="AR2" t="e">
        <f>IF(#REF!=0,PCM!AG77,PCM!AG77+RiskValStatic(0)+_xll.RiskPert(-8,0,8))</f>
        <v>#REF!</v>
      </c>
      <c r="AS2" s="64" t="e">
        <f>#REF!</f>
        <v>#REF!</v>
      </c>
      <c r="AT2" t="e">
        <f>IF(#REF!=0,PCM!AH77,PCM!AH77+RiskValStatic(0)+_xll.RiskPert(-8,0,8))</f>
        <v>#REF!</v>
      </c>
      <c r="AU2" s="64" t="e">
        <f>#REF!</f>
        <v>#REF!</v>
      </c>
      <c r="AV2" t="e">
        <f>IF(#REF!=0,PCM!AI77,PCM!AI77+RiskValStatic(0)+_xll.RiskPert(-8,0,8))</f>
        <v>#REF!</v>
      </c>
      <c r="AW2" s="64" t="e">
        <f>#REF!</f>
        <v>#REF!</v>
      </c>
      <c r="AX2" t="e">
        <f>IF(#REF!=0,PCM!AJ77,PCM!AJ77+RiskValStatic(0)+_xll.RiskPert(-8,0,8))</f>
        <v>#REF!</v>
      </c>
      <c r="AY2" s="64" t="e">
        <f>#REF!</f>
        <v>#REF!</v>
      </c>
      <c r="AZ2" t="e">
        <f>IF(#REF!=0,PCM!AK77,PCM!AK77+RiskValStatic(0)+_xll.RiskPert(-8,0,8))</f>
        <v>#REF!</v>
      </c>
      <c r="BA2" s="64" t="e">
        <f>#REF!</f>
        <v>#REF!</v>
      </c>
      <c r="BB2" t="e">
        <f>IF(#REF!=0,PCM!AL77,PCM!AL77+RiskValStatic(0)+_xll.RiskPert(-8,0,8))</f>
        <v>#REF!</v>
      </c>
      <c r="BC2" s="64" t="e">
        <f>#REF!</f>
        <v>#REF!</v>
      </c>
      <c r="BD2" t="e">
        <f ca="1">_xll.RiskOutput()+SUMPRODUCT(#REF!,PCM!AA10:AL10)/PCM!AM10</f>
        <v>#NAME?</v>
      </c>
      <c r="BE2" s="64" t="e">
        <f>#REF!</f>
        <v>#REF!</v>
      </c>
      <c r="BF2" t="e">
        <f>IF(#REF!=0,PCM!AN77,PCM!AN77+RiskValStatic(0)+_xll.RiskPert(-8,0,8))</f>
        <v>#REF!</v>
      </c>
      <c r="BG2" s="64" t="e">
        <f>#REF!</f>
        <v>#REF!</v>
      </c>
      <c r="BH2" t="e">
        <f>IF(#REF!=0,PCM!AO77,PCM!AO77+RiskValStatic(0)+_xll.RiskPert(-8,0,8))</f>
        <v>#REF!</v>
      </c>
      <c r="BI2" s="64" t="e">
        <f>#REF!</f>
        <v>#REF!</v>
      </c>
      <c r="BJ2" t="e">
        <f>IF(#REF!=0,PCM!AP77,PCM!AP77+RiskValStatic(0)+_xll.RiskPert(-8,0,8))</f>
        <v>#REF!</v>
      </c>
      <c r="BK2" s="64" t="e">
        <f>#REF!</f>
        <v>#REF!</v>
      </c>
      <c r="BL2" t="e">
        <f>IF(#REF!=0,PCM!AQ77,PCM!AQ77+RiskValStatic(0)+_xll.RiskPert(-8,0,8))</f>
        <v>#REF!</v>
      </c>
      <c r="BM2" s="64" t="e">
        <f>#REF!</f>
        <v>#REF!</v>
      </c>
      <c r="BN2" t="e">
        <f>IF(#REF!=0,PCM!AR77,PCM!AR77+RiskValStatic(0)+_xll.RiskPert(-8,0,8))</f>
        <v>#REF!</v>
      </c>
      <c r="BO2" s="64" t="e">
        <f>#REF!</f>
        <v>#REF!</v>
      </c>
      <c r="BP2" t="e">
        <f>IF(#REF!=0,PCM!AS77,PCM!AS77+RiskValStatic(0)+_xll.RiskPert(-8,0,8))</f>
        <v>#REF!</v>
      </c>
      <c r="BQ2" s="64" t="e">
        <f>#REF!</f>
        <v>#REF!</v>
      </c>
      <c r="BR2" t="e">
        <f>IF(#REF!=0,PCM!AT77,PCM!AT77+RiskValStatic(0)+_xll.RiskPert(-8,0,8))</f>
        <v>#REF!</v>
      </c>
      <c r="BS2" s="64" t="e">
        <f>#REF!</f>
        <v>#REF!</v>
      </c>
      <c r="BT2" t="e">
        <f>IF(#REF!=0,PCM!AU77,PCM!AU77+RiskValStatic(0)+_xll.RiskPert(-8,0,8))</f>
        <v>#REF!</v>
      </c>
      <c r="BU2" s="64" t="e">
        <f>#REF!</f>
        <v>#REF!</v>
      </c>
      <c r="BV2" t="e">
        <f>IF(#REF!=0,PCM!AV77,PCM!AV77+RiskValStatic(0)+_xll.RiskPert(-8,0,8))</f>
        <v>#REF!</v>
      </c>
      <c r="BW2" s="64" t="e">
        <f>#REF!</f>
        <v>#REF!</v>
      </c>
      <c r="BX2" t="e">
        <f>IF(#REF!=0,PCM!AW77,PCM!AW77+RiskValStatic(0)+_xll.RiskPert(-8,0,8))</f>
        <v>#REF!</v>
      </c>
      <c r="BY2" s="64" t="e">
        <f>#REF!</f>
        <v>#REF!</v>
      </c>
      <c r="BZ2" t="e">
        <f>IF(#REF!=0,PCM!AX77,PCM!AX77+RiskValStatic(0)+_xll.RiskPert(-8,0,8))</f>
        <v>#REF!</v>
      </c>
      <c r="CA2" s="64" t="e">
        <f>#REF!</f>
        <v>#REF!</v>
      </c>
      <c r="CB2" t="e">
        <f>IF(#REF!=0,PCM!AY77,PCM!AY77+RiskValStatic(0)+_xll.RiskPert(-8,0,8))</f>
        <v>#REF!</v>
      </c>
      <c r="CC2">
        <f>'Stmts RUS'!$S$127</f>
        <v>4.9563410876243665</v>
      </c>
      <c r="CD2" t="e">
        <f ca="1">_xll.RiskOutput("NET PATRONAGE CAPITAL OR MARGIN / 2011")+'Stmts RUS'!S118+SUM('Stmts RUS'!S120:S126)</f>
        <v>#NAME?</v>
      </c>
      <c r="CE2" s="64">
        <f>'Stmts RUS'!$AF$127</f>
        <v>11.424578880391895</v>
      </c>
      <c r="CF2" s="64" t="e">
        <f ca="1">_xll.RiskOutput("NET PATRONAGE CAPITAL OR MARGIN / 2012")+'Stmts RUS'!AF118+SUM('Stmts RUS'!AF120:AF126)</f>
        <v>#NAME?</v>
      </c>
      <c r="CG2" s="64">
        <f>'Stmts RUS'!$S$331</f>
        <v>1.1070352806835781</v>
      </c>
      <c r="CH2" t="e">
        <f ca="1">_xll.RiskOutput("Conventional TIER / 2011")+'Stmts RUS'!S325/'Stmts RUS'!S329</f>
        <v>#NAME?</v>
      </c>
      <c r="CI2" s="64">
        <f>'Stmts RUS'!$AF$331</f>
        <v>1.2422366436525329</v>
      </c>
      <c r="CJ2" t="e">
        <f ca="1">_xll.RiskOutput("Conventional TIER / 2012")+'Stmts RUS'!AF325/'Stmts RUS'!AF329</f>
        <v>#NAME?</v>
      </c>
      <c r="CK2">
        <f>'Stmts RUS'!$S$342</f>
        <v>5.3143082353770354E-2</v>
      </c>
      <c r="CL2" t="e">
        <f ca="1">_xll.RiskOutput("Noth Star / 2011")+'Stmts RUS'!S341/1000</f>
        <v>#NAME?</v>
      </c>
      <c r="CM2">
        <f>'Stmts RUS'!$AF$342</f>
        <v>6.3617227646086905E-2</v>
      </c>
      <c r="CN2" t="e">
        <f ca="1">_xll.RiskOutput("North Star / 2012")+'Stmts RUS'!AF341/1000</f>
        <v>#NAME?</v>
      </c>
      <c r="CO2" s="4">
        <f>Rates!$M$83</f>
        <v>32.365304649577816</v>
      </c>
      <c r="CP2" s="64" t="e">
        <f>#REF!</f>
        <v>#REF!</v>
      </c>
      <c r="CQ2" s="4">
        <f>Rates!$N$83</f>
        <v>31.453733200566685</v>
      </c>
      <c r="CR2" s="64" t="e">
        <f>#REF!</f>
        <v>#REF!</v>
      </c>
      <c r="CS2" s="4">
        <f>Rates!$O$83</f>
        <v>30.365038623853565</v>
      </c>
      <c r="CT2" s="64" t="e">
        <f>#REF!</f>
        <v>#REF!</v>
      </c>
      <c r="CU2" s="4">
        <f>Rates!$P$83</f>
        <v>31.597869062965575</v>
      </c>
      <c r="CV2" s="64" t="e">
        <f>#REF!</f>
        <v>#REF!</v>
      </c>
      <c r="CW2" s="4">
        <f>Rates!$Q$83</f>
        <v>29.632041074028418</v>
      </c>
      <c r="CX2" s="64" t="e">
        <f>#REF!</f>
        <v>#REF!</v>
      </c>
      <c r="CY2" s="4">
        <f>Rates!$R$83</f>
        <v>32.709173043128665</v>
      </c>
      <c r="CZ2" s="64" t="e">
        <f>#REF!</f>
        <v>#REF!</v>
      </c>
      <c r="DA2" s="4">
        <f>Rates!$S$83</f>
        <v>41.250305031543498</v>
      </c>
      <c r="DB2" s="64" t="e">
        <f>#REF!</f>
        <v>#REF!</v>
      </c>
      <c r="DC2" s="4">
        <f>Rates!$T$83</f>
        <v>33.258682455805818</v>
      </c>
      <c r="DD2" s="64" t="e">
        <f>#REF!</f>
        <v>#REF!</v>
      </c>
      <c r="DE2" s="4">
        <f>Rates!$U$83</f>
        <v>28.451497043157481</v>
      </c>
      <c r="DF2" s="64" t="e">
        <f>#REF!</f>
        <v>#REF!</v>
      </c>
      <c r="DG2" s="4">
        <f>Rates!$V$83</f>
        <v>28.081991506278342</v>
      </c>
      <c r="DH2" s="64" t="e">
        <f>#REF!</f>
        <v>#REF!</v>
      </c>
      <c r="DI2" s="4">
        <f>Rates!$W$83</f>
        <v>27.891478742114352</v>
      </c>
      <c r="DJ2" s="64" t="e">
        <f>#REF!</f>
        <v>#REF!</v>
      </c>
      <c r="DK2" s="4">
        <f>Rates!$X$83</f>
        <v>30.712188937724221</v>
      </c>
      <c r="DL2" s="64" t="e">
        <f>#REF!</f>
        <v>#REF!</v>
      </c>
      <c r="DM2" s="4">
        <f>Rates!$Y$83</f>
        <v>30.778511443569016</v>
      </c>
      <c r="DN2" s="64" t="e">
        <f>#REF!</f>
        <v>#REF!</v>
      </c>
      <c r="DO2" s="4">
        <f>Rates!$Z$83</f>
        <v>34.604803274343226</v>
      </c>
      <c r="DP2" s="64" t="e">
        <f>#REF!</f>
        <v>#REF!</v>
      </c>
      <c r="DQ2" s="4">
        <f>Rates!$AA$83</f>
        <v>33.683774355345285</v>
      </c>
      <c r="DR2" s="64" t="e">
        <f>#REF!</f>
        <v>#REF!</v>
      </c>
      <c r="DS2" s="4">
        <f>Rates!$AB$83</f>
        <v>31.839287602487524</v>
      </c>
      <c r="DT2" s="64" t="e">
        <f>#REF!</f>
        <v>#REF!</v>
      </c>
      <c r="DU2" s="4">
        <f>Rates!$AC$83</f>
        <v>31.928912610960055</v>
      </c>
      <c r="DV2" s="64" t="e">
        <f>#REF!</f>
        <v>#REF!</v>
      </c>
      <c r="DW2" s="4">
        <f>Rates!$AD$83</f>
        <v>29.942720279349807</v>
      </c>
      <c r="DX2" s="64" t="e">
        <f>#REF!</f>
        <v>#REF!</v>
      </c>
      <c r="DY2" s="4">
        <f>Rates!$AE$83</f>
        <v>32.483432338056652</v>
      </c>
      <c r="DZ2" s="64" t="e">
        <f>#REF!</f>
        <v>#REF!</v>
      </c>
      <c r="EA2" s="4">
        <f>Rates!$AF$83</f>
        <v>36.21512126024534</v>
      </c>
      <c r="EB2" s="64" t="e">
        <f>#REF!</f>
        <v>#REF!</v>
      </c>
      <c r="EC2" s="4">
        <f>Rates!$AG$83</f>
        <v>33.822930614234551</v>
      </c>
      <c r="ED2" s="64" t="e">
        <f>#REF!</f>
        <v>#REF!</v>
      </c>
      <c r="EE2" s="4">
        <f>Rates!$AH$83</f>
        <v>29.16151843554286</v>
      </c>
      <c r="EF2" s="64" t="e">
        <f>#REF!</f>
        <v>#REF!</v>
      </c>
      <c r="EG2" s="4">
        <f>Rates!$AI$83</f>
        <v>28.940946958526826</v>
      </c>
      <c r="EH2" s="64" t="e">
        <f>#REF!</f>
        <v>#REF!</v>
      </c>
      <c r="EI2" s="4">
        <f>Rates!$AJ$83</f>
        <v>29.105144314083631</v>
      </c>
      <c r="EJ2" s="64" t="e">
        <f>#REF!</f>
        <v>#REF!</v>
      </c>
      <c r="EK2" s="4">
        <f>Rates!$AK$83</f>
        <v>32.043443939085677</v>
      </c>
      <c r="EL2" s="64" t="e">
        <f>#REF!</f>
        <v>#REF!</v>
      </c>
      <c r="EM2" s="4">
        <f>Rates!$AM$83</f>
        <v>34.384132258165153</v>
      </c>
      <c r="EN2" s="64" t="e">
        <f>#REF!</f>
        <v>#REF!</v>
      </c>
      <c r="EO2" s="4">
        <f>Rates!$AN$83</f>
        <v>35.562098758935107</v>
      </c>
      <c r="EP2" s="64" t="e">
        <f>#REF!</f>
        <v>#REF!</v>
      </c>
      <c r="EQ2" s="4">
        <f>Rates!$AO$83</f>
        <v>38.020633509456623</v>
      </c>
      <c r="ER2" s="64" t="e">
        <f>#REF!</f>
        <v>#REF!</v>
      </c>
      <c r="ES2" s="4">
        <f>Rates!$AP$83</f>
        <v>40.352919502700942</v>
      </c>
      <c r="ET2" s="64" t="e">
        <f>#REF!</f>
        <v>#REF!</v>
      </c>
      <c r="EU2" s="4">
        <f>Rates!$AQ$83</f>
        <v>46.50406055078151</v>
      </c>
      <c r="EV2" s="64" t="e">
        <f>#REF!</f>
        <v>#REF!</v>
      </c>
      <c r="EW2" s="4">
        <f>Rates!$AR$83</f>
        <v>57.407079449718523</v>
      </c>
      <c r="EX2" s="64" t="e">
        <f>#REF!</f>
        <v>#REF!</v>
      </c>
      <c r="EY2" s="4">
        <f>Rates!$AS$83</f>
        <v>66.066469515730105</v>
      </c>
      <c r="EZ2" s="64" t="e">
        <f>#REF!</f>
        <v>#REF!</v>
      </c>
      <c r="FA2" s="4">
        <f>Rates!$AT$83</f>
        <v>67.281217107295873</v>
      </c>
      <c r="FB2" s="64" t="e">
        <f>#REF!</f>
        <v>#REF!</v>
      </c>
      <c r="FC2" s="4">
        <f>Rates!$AU$83</f>
        <v>68.486915409131257</v>
      </c>
      <c r="FD2" s="64" t="e">
        <f>#REF!</f>
        <v>#REF!</v>
      </c>
      <c r="FE2" s="4">
        <f>Rates!$AV$83</f>
        <v>69.026525458920162</v>
      </c>
      <c r="FF2" s="64" t="e">
        <f>#REF!</f>
        <v>#REF!</v>
      </c>
      <c r="FG2" s="4">
        <f>Rates!$AW$83</f>
        <v>72.548398381810784</v>
      </c>
      <c r="FH2" s="64" t="e">
        <f>#REF!</f>
        <v>#REF!</v>
      </c>
      <c r="FI2" s="4">
        <f>Rates!$AX$83</f>
        <v>0</v>
      </c>
      <c r="FJ2" s="64" t="e">
        <f>#REF!</f>
        <v>#REF!</v>
      </c>
      <c r="FK2">
        <f>PCM!$N$151</f>
        <v>-3.5832022533844055</v>
      </c>
      <c r="FL2" t="e">
        <f>-PCM!N10*#REF!</f>
        <v>#REF!</v>
      </c>
      <c r="FM2">
        <f>PCM!$O$151</f>
        <v>-3.3714956045813005</v>
      </c>
      <c r="FN2" t="e">
        <f>-PCM!O10*#REF!</f>
        <v>#REF!</v>
      </c>
      <c r="FO2">
        <f>PCM!$P$151</f>
        <v>-3.9447198841739168</v>
      </c>
      <c r="FP2" t="e">
        <f>-PCM!P10*#REF!</f>
        <v>#REF!</v>
      </c>
      <c r="FQ2">
        <f>PCM!$Q$151</f>
        <v>-2.4615969789114112</v>
      </c>
      <c r="FR2" t="e">
        <f>-PCM!Q10*#REF!</f>
        <v>#REF!</v>
      </c>
      <c r="FS2">
        <f>PCM!$R$151</f>
        <v>-1.9742129510805424</v>
      </c>
      <c r="FT2" t="e">
        <f>-PCM!R10*#REF!</f>
        <v>#REF!</v>
      </c>
      <c r="FU2">
        <f>PCM!$S$151</f>
        <v>-1.9839802552353518</v>
      </c>
      <c r="FV2" t="e">
        <f>-PCM!S10*#REF!</f>
        <v>#REF!</v>
      </c>
      <c r="FW2">
        <f>PCM!$T$151</f>
        <v>-3.4172134995957673</v>
      </c>
      <c r="FX2" t="e">
        <f>-PCM!T10*#REF!</f>
        <v>#REF!</v>
      </c>
      <c r="FY2">
        <f>PCM!$U$151</f>
        <v>-6.5409816462873076</v>
      </c>
      <c r="FZ2" t="e">
        <f>-PCM!U10*#REF!</f>
        <v>#REF!</v>
      </c>
      <c r="GA2">
        <f>PCM!$V$151</f>
        <v>-4.6731979653710018</v>
      </c>
      <c r="GB2" t="e">
        <f>-PCM!V10*#REF!</f>
        <v>#REF!</v>
      </c>
      <c r="GC2">
        <f>PCM!$W$151</f>
        <v>-6.8936346099604453</v>
      </c>
      <c r="GD2" t="e">
        <f>-PCM!W10*#REF!</f>
        <v>#REF!</v>
      </c>
      <c r="GE2">
        <f>PCM!$X$151</f>
        <v>-5.7948949477747211</v>
      </c>
      <c r="GF2" t="e">
        <f>-PCM!X10*#REF!</f>
        <v>#REF!</v>
      </c>
      <c r="GG2">
        <f>PCM!$Y$151</f>
        <v>-4.7089354599070559</v>
      </c>
      <c r="GH2" t="e">
        <f>-PCM!Y10*#REF!</f>
        <v>#REF!</v>
      </c>
      <c r="GI2">
        <f>PCM!$AA$151</f>
        <v>-5.7566989981360068</v>
      </c>
      <c r="GJ2" t="e">
        <f>-PCM!AA10*#REF!</f>
        <v>#REF!</v>
      </c>
      <c r="GK2">
        <f>PCM!$AB$151</f>
        <v>-5.2967042770114903</v>
      </c>
      <c r="GL2" t="e">
        <f>-PCM!AB10*#REF!</f>
        <v>#REF!</v>
      </c>
      <c r="GM2">
        <f>PCM!$AC$151</f>
        <v>-3.8270949399697463</v>
      </c>
      <c r="GN2" t="e">
        <f>-PCM!AC10*#REF!</f>
        <v>#REF!</v>
      </c>
      <c r="GO2">
        <f>PCM!$AD$151</f>
        <v>-3.5831114882960575</v>
      </c>
      <c r="GP2" t="e">
        <f>-PCM!AD10*#REF!</f>
        <v>#REF!</v>
      </c>
      <c r="GQ2">
        <f>PCM!$AE$151</f>
        <v>-3.3177176280984106</v>
      </c>
      <c r="GR2" t="e">
        <f>-PCM!AE10*#REF!</f>
        <v>#REF!</v>
      </c>
      <c r="GS2">
        <f>PCM!$AF$151</f>
        <v>-4.1394084150745902</v>
      </c>
      <c r="GT2" t="e">
        <f>-PCM!AF10*#REF!</f>
        <v>#REF!</v>
      </c>
      <c r="GU2">
        <f>PCM!$AG$151</f>
        <v>-4.1009745028856948</v>
      </c>
      <c r="GV2" t="e">
        <f>-PCM!AG10*#REF!</f>
        <v>#REF!</v>
      </c>
      <c r="GW2">
        <f>PCM!$AH$151</f>
        <v>-4.1266500839949272</v>
      </c>
      <c r="GX2" t="e">
        <f>-PCM!AH10*#REF!</f>
        <v>#REF!</v>
      </c>
      <c r="GY2">
        <f>PCM!$AI$151</f>
        <v>-4.625795757196026</v>
      </c>
      <c r="GZ2" t="e">
        <f>-PCM!AI10*#REF!</f>
        <v>#REF!</v>
      </c>
      <c r="HA2">
        <f>PCM!$AJ$151</f>
        <v>-6.9088881393163701</v>
      </c>
      <c r="HB2" t="e">
        <f>-PCM!AJ10*#REF!</f>
        <v>#REF!</v>
      </c>
      <c r="HC2">
        <f>PCM!$AK$151</f>
        <v>-5.7656739052663459</v>
      </c>
      <c r="HD2" t="e">
        <f>-PCM!AK10*#REF!</f>
        <v>#REF!</v>
      </c>
      <c r="HE2">
        <f>PCM!$AL$151</f>
        <v>-4.5455792902488623</v>
      </c>
      <c r="HF2" t="e">
        <f>-PCM!AL10*#REF!</f>
        <v>#REF!</v>
      </c>
      <c r="HG2">
        <f>PCM!$AN$151</f>
        <v>-58.736209835812559</v>
      </c>
      <c r="HH2" t="e">
        <f>-PCM!AN10*#REF!</f>
        <v>#REF!</v>
      </c>
      <c r="HI2">
        <f>PCM!$AO$151</f>
        <v>-57.872900048375776</v>
      </c>
      <c r="HJ2" t="e">
        <f>-PCM!AO10*#REF!</f>
        <v>#REF!</v>
      </c>
      <c r="HK2">
        <f>PCM!$AP$151</f>
        <v>-59.135910536332723</v>
      </c>
      <c r="HL2" t="e">
        <f>-PCM!AP10*#REF!</f>
        <v>#REF!</v>
      </c>
      <c r="HM2">
        <f>PCM!$AQ$151</f>
        <v>-64.595536280598083</v>
      </c>
      <c r="HN2" t="e">
        <f>-PCM!AQ10*#REF!</f>
        <v>#REF!</v>
      </c>
      <c r="HO2">
        <f>PCM!$AR$151</f>
        <v>-231.54893638856259</v>
      </c>
      <c r="HP2" t="e">
        <f>-PCM!AR10*#REF!</f>
        <v>#REF!</v>
      </c>
      <c r="HQ2">
        <f>PCM!$AS$151</f>
        <v>-324.33297923495741</v>
      </c>
      <c r="HR2" t="e">
        <f>-PCM!AS10*#REF!</f>
        <v>#REF!</v>
      </c>
      <c r="HS2">
        <f>PCM!$AT$151</f>
        <v>-348.02709461864919</v>
      </c>
      <c r="HT2" t="e">
        <f>-PCM!AT10*#REF!</f>
        <v>#REF!</v>
      </c>
      <c r="HU2">
        <f>PCM!$AU$151</f>
        <v>-373.92693574530119</v>
      </c>
      <c r="HV2" t="e">
        <f>-PCM!AU10*#REF!</f>
        <v>#REF!</v>
      </c>
      <c r="HW2">
        <f>PCM!$AV$151</f>
        <v>-349.96812270278002</v>
      </c>
      <c r="HX2" t="e">
        <f>-PCM!AV10*#REF!</f>
        <v>#REF!</v>
      </c>
      <c r="HY2">
        <f>PCM!$AW$151</f>
        <v>-361.8305305149529</v>
      </c>
      <c r="HZ2" t="e">
        <f>-PCM!AW10*#REF!</f>
        <v>#REF!</v>
      </c>
      <c r="IA2">
        <f>PCM!$AX$151</f>
        <v>-352.51002671368315</v>
      </c>
      <c r="IB2" t="e">
        <f>-PCM!AX10*#REF!</f>
        <v>#REF!</v>
      </c>
      <c r="IC2">
        <f>PCM!$AY$151</f>
        <v>0</v>
      </c>
      <c r="ID2" t="e">
        <f>-PCM!AY10*#REF!</f>
        <v>#REF!</v>
      </c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AT416"/>
  <sheetViews>
    <sheetView view="pageBreakPreview" zoomScale="50" zoomScaleNormal="75" zoomScaleSheetLayoutView="50" workbookViewId="0">
      <pane xSplit="6" ySplit="2" topLeftCell="G237" activePane="bottomRight" state="frozen"/>
      <selection pane="topRight" activeCell="G1" sqref="G1"/>
      <selection pane="bottomLeft" activeCell="A3" sqref="A3"/>
      <selection pane="bottomRight" activeCell="I110" sqref="I110"/>
    </sheetView>
  </sheetViews>
  <sheetFormatPr defaultColWidth="8.85546875" defaultRowHeight="15"/>
  <cols>
    <col min="1" max="1" width="6.7109375" style="423" customWidth="1"/>
    <col min="2" max="2" width="65.7109375" style="148" customWidth="1"/>
    <col min="3" max="4" width="15.7109375" style="148" hidden="1" customWidth="1"/>
    <col min="5" max="5" width="18" style="148" customWidth="1"/>
    <col min="6" max="6" width="0.5703125" style="537" customWidth="1"/>
    <col min="7" max="14" width="15.42578125" style="148" customWidth="1"/>
    <col min="15" max="15" width="16.5703125" style="148" bestFit="1" customWidth="1"/>
    <col min="16" max="18" width="15.42578125" style="148" customWidth="1"/>
    <col min="19" max="19" width="12.85546875" style="537" customWidth="1"/>
    <col min="20" max="31" width="14.42578125" style="148" customWidth="1"/>
    <col min="32" max="32" width="14.85546875" style="537" customWidth="1"/>
    <col min="33" max="33" width="15.7109375" style="148" bestFit="1" customWidth="1"/>
    <col min="34" max="34" width="13.28515625" style="148" customWidth="1"/>
    <col min="35" max="35" width="13.140625" style="148" customWidth="1"/>
    <col min="36" max="36" width="12.5703125" style="148" customWidth="1"/>
    <col min="37" max="39" width="13.140625" style="148" customWidth="1"/>
    <col min="40" max="40" width="12.85546875" style="148" customWidth="1"/>
    <col min="41" max="41" width="13.140625" style="148" customWidth="1"/>
    <col min="42" max="42" width="13.85546875" style="148" customWidth="1"/>
    <col min="43" max="43" width="13.42578125" style="148" customWidth="1"/>
    <col min="44" max="44" width="13.5703125" style="148" customWidth="1"/>
    <col min="45" max="45" width="13.42578125" style="148" customWidth="1"/>
    <col min="46" max="16384" width="8.85546875" style="148"/>
  </cols>
  <sheetData>
    <row r="1" spans="1:45" s="162" customFormat="1" ht="15.75">
      <c r="A1" s="422"/>
      <c r="B1" s="15" t="s">
        <v>945</v>
      </c>
      <c r="C1" s="163"/>
      <c r="D1" s="163"/>
      <c r="E1" s="163"/>
      <c r="F1" s="522"/>
      <c r="G1" s="163">
        <v>2013</v>
      </c>
      <c r="H1" s="163">
        <v>2013</v>
      </c>
      <c r="I1" s="163">
        <v>2013</v>
      </c>
      <c r="J1" s="163">
        <v>2013</v>
      </c>
      <c r="K1" s="163">
        <v>2013</v>
      </c>
      <c r="L1" s="163">
        <v>2013</v>
      </c>
      <c r="M1" s="163">
        <v>2013</v>
      </c>
      <c r="N1" s="163">
        <v>2013</v>
      </c>
      <c r="O1" s="163">
        <v>2013</v>
      </c>
      <c r="P1" s="163">
        <v>2013</v>
      </c>
      <c r="Q1" s="163">
        <v>2013</v>
      </c>
      <c r="R1" s="163">
        <v>2013</v>
      </c>
      <c r="S1" s="522"/>
      <c r="T1" s="448">
        <v>2014</v>
      </c>
      <c r="U1" s="448">
        <v>2014</v>
      </c>
      <c r="V1" s="448">
        <v>2014</v>
      </c>
      <c r="W1" s="448">
        <v>2014</v>
      </c>
      <c r="X1" s="448">
        <v>2014</v>
      </c>
      <c r="Y1" s="448">
        <v>2014</v>
      </c>
      <c r="Z1" s="448">
        <v>2014</v>
      </c>
      <c r="AA1" s="448">
        <v>2014</v>
      </c>
      <c r="AB1" s="448">
        <v>2014</v>
      </c>
      <c r="AC1" s="448">
        <v>2014</v>
      </c>
      <c r="AD1" s="448">
        <v>2014</v>
      </c>
      <c r="AE1" s="448">
        <v>2014</v>
      </c>
      <c r="AF1" s="538"/>
      <c r="AR1" s="899"/>
      <c r="AS1" s="899"/>
    </row>
    <row r="2" spans="1:45" s="114" customFormat="1" ht="15.75">
      <c r="A2" s="422"/>
      <c r="B2" s="115"/>
      <c r="C2" s="160"/>
      <c r="D2" s="161"/>
      <c r="E2" s="163">
        <v>2012</v>
      </c>
      <c r="F2" s="619"/>
      <c r="G2" s="116" t="s">
        <v>523</v>
      </c>
      <c r="H2" s="116" t="s">
        <v>524</v>
      </c>
      <c r="I2" s="116" t="s">
        <v>525</v>
      </c>
      <c r="J2" s="116" t="s">
        <v>526</v>
      </c>
      <c r="K2" s="116" t="s">
        <v>516</v>
      </c>
      <c r="L2" s="116" t="s">
        <v>517</v>
      </c>
      <c r="M2" s="116" t="s">
        <v>518</v>
      </c>
      <c r="N2" s="116" t="s">
        <v>519</v>
      </c>
      <c r="O2" s="116" t="s">
        <v>520</v>
      </c>
      <c r="P2" s="116" t="s">
        <v>521</v>
      </c>
      <c r="Q2" s="116" t="s">
        <v>522</v>
      </c>
      <c r="R2" s="116" t="s">
        <v>527</v>
      </c>
      <c r="S2" s="522">
        <v>2013</v>
      </c>
      <c r="T2" s="449" t="s">
        <v>523</v>
      </c>
      <c r="U2" s="449" t="s">
        <v>524</v>
      </c>
      <c r="V2" s="449" t="s">
        <v>525</v>
      </c>
      <c r="W2" s="449" t="s">
        <v>526</v>
      </c>
      <c r="X2" s="449" t="s">
        <v>516</v>
      </c>
      <c r="Y2" s="449" t="s">
        <v>517</v>
      </c>
      <c r="Z2" s="449" t="s">
        <v>518</v>
      </c>
      <c r="AA2" s="449" t="s">
        <v>519</v>
      </c>
      <c r="AB2" s="449" t="s">
        <v>520</v>
      </c>
      <c r="AC2" s="449" t="s">
        <v>521</v>
      </c>
      <c r="AD2" s="449" t="s">
        <v>522</v>
      </c>
      <c r="AE2" s="449" t="s">
        <v>527</v>
      </c>
      <c r="AF2" s="538">
        <v>2014</v>
      </c>
      <c r="AG2" s="117">
        <v>2015</v>
      </c>
      <c r="AH2" s="117">
        <f>AG2+1</f>
        <v>2016</v>
      </c>
      <c r="AI2" s="117">
        <f t="shared" ref="AI2:AQ2" si="0">AH2+1</f>
        <v>2017</v>
      </c>
      <c r="AJ2" s="117">
        <f t="shared" si="0"/>
        <v>2018</v>
      </c>
      <c r="AK2" s="117">
        <f t="shared" si="0"/>
        <v>2019</v>
      </c>
      <c r="AL2" s="117">
        <f t="shared" si="0"/>
        <v>2020</v>
      </c>
      <c r="AM2" s="117">
        <f t="shared" si="0"/>
        <v>2021</v>
      </c>
      <c r="AN2" s="117">
        <f t="shared" si="0"/>
        <v>2022</v>
      </c>
      <c r="AO2" s="117">
        <f t="shared" si="0"/>
        <v>2023</v>
      </c>
      <c r="AP2" s="117">
        <f t="shared" si="0"/>
        <v>2024</v>
      </c>
      <c r="AQ2" s="117">
        <f t="shared" si="0"/>
        <v>2025</v>
      </c>
      <c r="AR2" s="900"/>
      <c r="AS2" s="900"/>
    </row>
    <row r="3" spans="1:45" s="114" customFormat="1">
      <c r="A3" s="422">
        <f>A2+1</f>
        <v>1</v>
      </c>
      <c r="C3" s="128"/>
      <c r="D3" s="128"/>
      <c r="E3" s="128"/>
      <c r="F3" s="523"/>
      <c r="S3" s="523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523"/>
      <c r="AR3" s="901"/>
      <c r="AS3" s="901"/>
    </row>
    <row r="4" spans="1:45" s="114" customFormat="1" ht="15.75">
      <c r="A4" s="422">
        <f>A3+1</f>
        <v>2</v>
      </c>
      <c r="B4" s="115" t="s">
        <v>571</v>
      </c>
      <c r="C4" s="128"/>
      <c r="D4" s="128"/>
      <c r="E4" s="128"/>
      <c r="F4" s="523"/>
      <c r="S4" s="523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523"/>
      <c r="AR4" s="901"/>
      <c r="AS4" s="901"/>
    </row>
    <row r="5" spans="1:45" s="114" customFormat="1" ht="15.75">
      <c r="A5" s="422">
        <f>A4+1</f>
        <v>3</v>
      </c>
      <c r="B5" s="115"/>
      <c r="C5" s="128"/>
      <c r="D5" s="128"/>
      <c r="E5" s="128"/>
      <c r="F5" s="523"/>
      <c r="S5" s="523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523"/>
      <c r="AR5" s="901"/>
      <c r="AS5" s="901"/>
    </row>
    <row r="6" spans="1:45" s="114" customFormat="1" ht="15.75">
      <c r="A6" s="422">
        <f t="shared" ref="A6:A69" si="1">A5+1</f>
        <v>4</v>
      </c>
      <c r="B6" s="118" t="s">
        <v>568</v>
      </c>
      <c r="C6" s="128"/>
      <c r="D6" s="128"/>
      <c r="E6" s="128"/>
      <c r="F6" s="523"/>
      <c r="S6" s="523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523"/>
      <c r="AR6" s="901"/>
      <c r="AS6" s="901"/>
    </row>
    <row r="7" spans="1:45" s="114" customFormat="1">
      <c r="A7" s="422">
        <f t="shared" si="1"/>
        <v>5</v>
      </c>
      <c r="B7" s="126" t="s">
        <v>133</v>
      </c>
      <c r="C7" s="141"/>
      <c r="D7" s="141"/>
      <c r="E7" s="141">
        <v>2.321477598</v>
      </c>
      <c r="F7" s="524"/>
      <c r="G7" s="141">
        <f>Rates!M7</f>
        <v>0.24920700000000001</v>
      </c>
      <c r="H7" s="141">
        <f>Rates!N7</f>
        <v>0.20802899999999999</v>
      </c>
      <c r="I7" s="141">
        <f>Rates!O7</f>
        <v>0.18765899999999999</v>
      </c>
      <c r="J7" s="141">
        <f>Rates!P7</f>
        <v>0.14787700000000001</v>
      </c>
      <c r="K7" s="141">
        <f>Rates!Q7</f>
        <v>0.165188</v>
      </c>
      <c r="L7" s="141">
        <f>Rates!R7</f>
        <v>0.21676000000000001</v>
      </c>
      <c r="M7" s="141">
        <f>Rates!S7</f>
        <v>0.24324599999999999</v>
      </c>
      <c r="N7" s="141">
        <f>Rates!T7</f>
        <v>0.23417299999999999</v>
      </c>
      <c r="O7" s="141">
        <f>Rates!U7</f>
        <v>0.178893</v>
      </c>
      <c r="P7" s="141">
        <f>Rates!V7</f>
        <v>0.153974</v>
      </c>
      <c r="Q7" s="141">
        <f>Rates!W7</f>
        <v>0.17926300000000001</v>
      </c>
      <c r="R7" s="141">
        <f>Rates!X7</f>
        <v>0.245561</v>
      </c>
      <c r="S7" s="524">
        <f>Rates!Y7</f>
        <v>2.4098299999999999</v>
      </c>
      <c r="T7" s="141">
        <f>Rates!Z7</f>
        <v>0.253218</v>
      </c>
      <c r="U7" s="141">
        <f>Rates!AA7</f>
        <v>0.21137600000000001</v>
      </c>
      <c r="V7" s="141">
        <f>Rates!AB7</f>
        <v>0.190689</v>
      </c>
      <c r="W7" s="141">
        <f>Rates!AC7</f>
        <v>0.15026999999999999</v>
      </c>
      <c r="X7" s="141">
        <f>Rates!AD7</f>
        <v>0.16786699999999999</v>
      </c>
      <c r="Y7" s="141">
        <f>Rates!AE7</f>
        <v>0.220279</v>
      </c>
      <c r="Z7" s="141">
        <f>Rates!AF7</f>
        <v>0.247192</v>
      </c>
      <c r="AA7" s="141">
        <f>Rates!AG7</f>
        <v>0.23797499999999999</v>
      </c>
      <c r="AB7" s="141">
        <f>Rates!AH7</f>
        <v>0.18179500000000001</v>
      </c>
      <c r="AC7" s="141">
        <f>Rates!AI7</f>
        <v>0.15646599999999999</v>
      </c>
      <c r="AD7" s="141">
        <f>Rates!AJ7</f>
        <v>0.18215799999999999</v>
      </c>
      <c r="AE7" s="141">
        <f>Rates!AK7</f>
        <v>0.24950900000000001</v>
      </c>
      <c r="AF7" s="524">
        <f>Rates!AL7</f>
        <v>2.4487940000000004</v>
      </c>
      <c r="AG7" s="124">
        <f>Rates!AM7</f>
        <v>2.4796559999999999</v>
      </c>
      <c r="AH7" s="124">
        <f>Rates!AN7</f>
        <v>2.5194369999999999</v>
      </c>
      <c r="AI7" s="124">
        <f>Rates!AO7</f>
        <v>2.55653560136389</v>
      </c>
      <c r="AJ7" s="124">
        <f>Rates!AP7</f>
        <v>2.5840164926056484</v>
      </c>
      <c r="AK7" s="124">
        <f>Rates!AQ7</f>
        <v>2.6114033762574791</v>
      </c>
      <c r="AL7" s="124">
        <f>Rates!AR7</f>
        <v>2.6456058149199584</v>
      </c>
      <c r="AM7" s="124">
        <f>Rates!AS7</f>
        <v>2.6807658009380657</v>
      </c>
      <c r="AN7" s="124">
        <f>Rates!AT7</f>
        <v>2.7170675413719576</v>
      </c>
      <c r="AO7" s="124">
        <f>Rates!AU7</f>
        <v>2.7541360305730471</v>
      </c>
      <c r="AP7" s="124">
        <f>Rates!AV7</f>
        <v>2.7921748894342926</v>
      </c>
      <c r="AQ7" s="124">
        <f>Rates!AW7</f>
        <v>2.8299003046090974</v>
      </c>
      <c r="AR7" s="130"/>
      <c r="AS7" s="130"/>
    </row>
    <row r="8" spans="1:45" s="114" customFormat="1">
      <c r="A8" s="422">
        <f t="shared" si="1"/>
        <v>6</v>
      </c>
      <c r="B8" s="126" t="s">
        <v>134</v>
      </c>
      <c r="C8" s="141"/>
      <c r="D8" s="141"/>
      <c r="E8" s="141">
        <v>0.96129819400000005</v>
      </c>
      <c r="F8" s="524"/>
      <c r="G8" s="141">
        <f>Rates!M8</f>
        <v>7.8513283399999981E-2</v>
      </c>
      <c r="H8" s="141">
        <f>Rates!N8</f>
        <v>7.4303305599999994E-2</v>
      </c>
      <c r="I8" s="141">
        <f>Rates!O8</f>
        <v>8.0396085200000023E-2</v>
      </c>
      <c r="J8" s="141">
        <f>Rates!P8</f>
        <v>7.7222507999999981E-2</v>
      </c>
      <c r="K8" s="141">
        <f>Rates!Q8</f>
        <v>7.9017435200000014E-2</v>
      </c>
      <c r="L8" s="141">
        <f>Rates!R8</f>
        <v>7.6864135999999986E-2</v>
      </c>
      <c r="M8" s="141">
        <f>Rates!S8</f>
        <v>8.2963563200000021E-2</v>
      </c>
      <c r="N8" s="141">
        <f>Rates!T8</f>
        <v>8.2164623199999981E-2</v>
      </c>
      <c r="O8" s="141">
        <f>Rates!U8</f>
        <v>7.6809088999999997E-2</v>
      </c>
      <c r="P8" s="141">
        <f>Rates!V8</f>
        <v>7.8868982199999993E-2</v>
      </c>
      <c r="Q8" s="141">
        <f>Rates!W8</f>
        <v>7.6925885999999999E-2</v>
      </c>
      <c r="R8" s="141">
        <f>Rates!X8</f>
        <v>7.89785452E-2</v>
      </c>
      <c r="S8" s="524">
        <f>Rates!Y8</f>
        <v>0.94302744219999979</v>
      </c>
      <c r="T8" s="141">
        <f>Rates!Z8</f>
        <v>7.9184520199999997E-2</v>
      </c>
      <c r="U8" s="141">
        <f>Rates!AA8</f>
        <v>7.4303305599999994E-2</v>
      </c>
      <c r="V8" s="141">
        <f>Rates!AB8</f>
        <v>8.0396085200000023E-2</v>
      </c>
      <c r="W8" s="141">
        <f>Rates!AC8</f>
        <v>7.7222507999999981E-2</v>
      </c>
      <c r="X8" s="141">
        <f>Rates!AD8</f>
        <v>7.9017435200000014E-2</v>
      </c>
      <c r="Y8" s="141">
        <f>Rates!AE8</f>
        <v>7.6864135999999986E-2</v>
      </c>
      <c r="Z8" s="141">
        <f>Rates!AF8</f>
        <v>8.2963563200000021E-2</v>
      </c>
      <c r="AA8" s="141">
        <f>Rates!AG8</f>
        <v>8.2164623199999981E-2</v>
      </c>
      <c r="AB8" s="141">
        <f>Rates!AH8</f>
        <v>7.6809088999999997E-2</v>
      </c>
      <c r="AC8" s="141">
        <f>Rates!AI8</f>
        <v>7.8868982199999993E-2</v>
      </c>
      <c r="AD8" s="141">
        <f>Rates!AJ8</f>
        <v>7.6925885999999999E-2</v>
      </c>
      <c r="AE8" s="141">
        <f>Rates!AK8</f>
        <v>7.89785452E-2</v>
      </c>
      <c r="AF8" s="524">
        <f>Rates!AL8</f>
        <v>0.94369867899999971</v>
      </c>
      <c r="AG8" s="124">
        <f>Rates!AM8</f>
        <v>0.94369867900000004</v>
      </c>
      <c r="AH8" s="124">
        <f>Rates!AN8</f>
        <v>0.9441065782000001</v>
      </c>
      <c r="AI8" s="124">
        <f>Rates!AO8</f>
        <v>0.94369867900000015</v>
      </c>
      <c r="AJ8" s="124">
        <f>Rates!AP8</f>
        <v>0.94369867900000015</v>
      </c>
      <c r="AK8" s="124">
        <f>Rates!AQ8</f>
        <v>0.94369867900000015</v>
      </c>
      <c r="AL8" s="124">
        <f>Rates!AR8</f>
        <v>0.9441065782000001</v>
      </c>
      <c r="AM8" s="124">
        <f>Rates!AS8</f>
        <v>0.94369867900000015</v>
      </c>
      <c r="AN8" s="124">
        <f>Rates!AT8</f>
        <v>0.94369867900000015</v>
      </c>
      <c r="AO8" s="124">
        <f>Rates!AU8</f>
        <v>0.94369867900000015</v>
      </c>
      <c r="AP8" s="124">
        <f>Rates!AV8</f>
        <v>0.9441065782000001</v>
      </c>
      <c r="AQ8" s="124">
        <f>Rates!AW8</f>
        <v>0.94369867900000015</v>
      </c>
      <c r="AR8" s="130"/>
      <c r="AS8" s="130"/>
    </row>
    <row r="9" spans="1:45" s="114" customFormat="1">
      <c r="A9" s="422">
        <f t="shared" si="1"/>
        <v>7</v>
      </c>
      <c r="B9" s="126" t="s">
        <v>135</v>
      </c>
      <c r="C9" s="141"/>
      <c r="D9" s="141"/>
      <c r="E9" s="141">
        <v>4.2360392090000003</v>
      </c>
      <c r="F9" s="524"/>
      <c r="G9" s="141">
        <f>Rates!M9</f>
        <v>0.35143583999999994</v>
      </c>
      <c r="H9" s="141">
        <f>Rates!N9</f>
        <v>0.31742591999999997</v>
      </c>
      <c r="I9" s="141">
        <f>Rates!O9</f>
        <v>0.35143583999999994</v>
      </c>
      <c r="J9" s="141">
        <f>Rates!P9</f>
        <v>0.34009919999999999</v>
      </c>
      <c r="K9" s="141">
        <f>Rates!Q9</f>
        <v>0.35143583999999994</v>
      </c>
      <c r="L9" s="141">
        <f>Rates!R9</f>
        <v>0.34009919999999999</v>
      </c>
      <c r="M9" s="141">
        <f>Rates!S9</f>
        <v>0.35143583999999994</v>
      </c>
      <c r="N9" s="141">
        <f>Rates!T9</f>
        <v>0.21539615999999998</v>
      </c>
      <c r="O9" s="141">
        <f>Rates!U9</f>
        <v>0</v>
      </c>
      <c r="P9" s="141">
        <f>Rates!V9</f>
        <v>0</v>
      </c>
      <c r="Q9" s="141">
        <f>Rates!W9</f>
        <v>0</v>
      </c>
      <c r="R9" s="141">
        <f>Rates!X9</f>
        <v>0</v>
      </c>
      <c r="S9" s="524">
        <f>Rates!Y9</f>
        <v>2.6187638399999997</v>
      </c>
      <c r="T9" s="141">
        <f>Rates!Z9</f>
        <v>0</v>
      </c>
      <c r="U9" s="141">
        <f>Rates!AA9</f>
        <v>0</v>
      </c>
      <c r="V9" s="141">
        <f>Rates!AB9</f>
        <v>0</v>
      </c>
      <c r="W9" s="141">
        <f>Rates!AC9</f>
        <v>0</v>
      </c>
      <c r="X9" s="141">
        <f>Rates!AD9</f>
        <v>0</v>
      </c>
      <c r="Y9" s="141">
        <f>Rates!AE9</f>
        <v>0</v>
      </c>
      <c r="Z9" s="141">
        <f>Rates!AF9</f>
        <v>0</v>
      </c>
      <c r="AA9" s="141">
        <f>Rates!AG9</f>
        <v>0</v>
      </c>
      <c r="AB9" s="141">
        <f>Rates!AH9</f>
        <v>0</v>
      </c>
      <c r="AC9" s="141">
        <f>Rates!AI9</f>
        <v>0</v>
      </c>
      <c r="AD9" s="141">
        <f>Rates!AJ9</f>
        <v>0</v>
      </c>
      <c r="AE9" s="141">
        <f>Rates!AK9</f>
        <v>0</v>
      </c>
      <c r="AF9" s="524">
        <f>Rates!AL9</f>
        <v>0</v>
      </c>
      <c r="AG9" s="124">
        <f>Rates!AM9</f>
        <v>0</v>
      </c>
      <c r="AH9" s="124">
        <f>Rates!AN9</f>
        <v>0</v>
      </c>
      <c r="AI9" s="124">
        <f>Rates!AO9</f>
        <v>0</v>
      </c>
      <c r="AJ9" s="124">
        <f>Rates!AP9</f>
        <v>0</v>
      </c>
      <c r="AK9" s="124">
        <f>Rates!AQ9</f>
        <v>0</v>
      </c>
      <c r="AL9" s="124">
        <f>Rates!AR9</f>
        <v>0</v>
      </c>
      <c r="AM9" s="124">
        <f>Rates!AS9</f>
        <v>0</v>
      </c>
      <c r="AN9" s="124">
        <f>Rates!AT9</f>
        <v>0</v>
      </c>
      <c r="AO9" s="124">
        <f>Rates!AU9</f>
        <v>0</v>
      </c>
      <c r="AP9" s="124">
        <f>Rates!AV9</f>
        <v>0</v>
      </c>
      <c r="AQ9" s="124">
        <f>Rates!AW9</f>
        <v>0</v>
      </c>
      <c r="AR9" s="130"/>
      <c r="AS9" s="130"/>
    </row>
    <row r="10" spans="1:45" s="114" customFormat="1">
      <c r="A10" s="422">
        <f t="shared" si="1"/>
        <v>8</v>
      </c>
      <c r="B10" s="126" t="s">
        <v>136</v>
      </c>
      <c r="C10" s="141"/>
      <c r="D10" s="141"/>
      <c r="E10" s="141">
        <v>3.1884334349999999</v>
      </c>
      <c r="F10" s="524"/>
      <c r="G10" s="141">
        <f>Rates!M10</f>
        <v>0.27560735999999997</v>
      </c>
      <c r="H10" s="141">
        <f>Rates!N10</f>
        <v>0.24893567999999999</v>
      </c>
      <c r="I10" s="141">
        <f>Rates!O10</f>
        <v>0.27560735999999997</v>
      </c>
      <c r="J10" s="141">
        <f>Rates!P10</f>
        <v>0.26671679999999998</v>
      </c>
      <c r="K10" s="141">
        <f>Rates!Q10</f>
        <v>0.27560735999999997</v>
      </c>
      <c r="L10" s="141">
        <f>Rates!R10</f>
        <v>0.26671679999999998</v>
      </c>
      <c r="M10" s="141">
        <f>Rates!S10</f>
        <v>0.26831615999999997</v>
      </c>
      <c r="N10" s="141">
        <f>Rates!T10</f>
        <v>0.26831615999999997</v>
      </c>
      <c r="O10" s="141">
        <f>Rates!U10</f>
        <v>0.25966079999999997</v>
      </c>
      <c r="P10" s="141">
        <f>Rates!V10</f>
        <v>0.26831615999999997</v>
      </c>
      <c r="Q10" s="141">
        <f>Rates!W10</f>
        <v>0.25966079999999997</v>
      </c>
      <c r="R10" s="141">
        <f>Rates!X10</f>
        <v>0.26831615999999997</v>
      </c>
      <c r="S10" s="524">
        <f>Rates!Y10</f>
        <v>3.2017775999999993</v>
      </c>
      <c r="T10" s="141">
        <f>Rates!Z10</f>
        <v>0.26831615999999997</v>
      </c>
      <c r="U10" s="141">
        <f>Rates!AA10</f>
        <v>0.24235008</v>
      </c>
      <c r="V10" s="141">
        <f>Rates!AB10</f>
        <v>0.26831615999999997</v>
      </c>
      <c r="W10" s="141">
        <f>Rates!AC10</f>
        <v>0.25966079999999997</v>
      </c>
      <c r="X10" s="141">
        <f>Rates!AD10</f>
        <v>0.26831615999999997</v>
      </c>
      <c r="Y10" s="141">
        <f>Rates!AE10</f>
        <v>0.25966079999999997</v>
      </c>
      <c r="Z10" s="141">
        <f>Rates!AF10</f>
        <v>0.26831615999999997</v>
      </c>
      <c r="AA10" s="141">
        <f>Rates!AG10</f>
        <v>0.26831615999999997</v>
      </c>
      <c r="AB10" s="141">
        <f>Rates!AH10</f>
        <v>0.25966079999999997</v>
      </c>
      <c r="AC10" s="141">
        <f>Rates!AI10</f>
        <v>0.26831615999999997</v>
      </c>
      <c r="AD10" s="141">
        <f>Rates!AJ10</f>
        <v>0.25966079999999997</v>
      </c>
      <c r="AE10" s="141">
        <f>Rates!AK10</f>
        <v>0.26831615999999997</v>
      </c>
      <c r="AF10" s="524">
        <f>Rates!AL10</f>
        <v>3.1592063999999991</v>
      </c>
      <c r="AG10" s="124">
        <f>Rates!AM10</f>
        <v>3.1592064</v>
      </c>
      <c r="AH10" s="124">
        <f>Rates!AN10</f>
        <v>3.1678617599999996</v>
      </c>
      <c r="AI10" s="124">
        <f>Rates!AO10</f>
        <v>3.1592064</v>
      </c>
      <c r="AJ10" s="124">
        <f>Rates!AP10</f>
        <v>3.1592064</v>
      </c>
      <c r="AK10" s="124">
        <f>Rates!AQ10</f>
        <v>3.1592064</v>
      </c>
      <c r="AL10" s="124">
        <f>Rates!AR10</f>
        <v>3.1678617599999996</v>
      </c>
      <c r="AM10" s="124">
        <f>Rates!AS10</f>
        <v>3.1592064</v>
      </c>
      <c r="AN10" s="124">
        <f>Rates!AT10</f>
        <v>3.1592064</v>
      </c>
      <c r="AO10" s="124">
        <f>Rates!AU10</f>
        <v>3.1592064</v>
      </c>
      <c r="AP10" s="124">
        <f>Rates!AV10</f>
        <v>3.1678617599999996</v>
      </c>
      <c r="AQ10" s="124">
        <f>Rates!AW10</f>
        <v>3.1592064</v>
      </c>
      <c r="AR10" s="130"/>
      <c r="AS10" s="130"/>
    </row>
    <row r="11" spans="1:45" s="114" customFormat="1">
      <c r="A11" s="422">
        <f t="shared" si="1"/>
        <v>9</v>
      </c>
      <c r="B11" s="126" t="s">
        <v>137</v>
      </c>
      <c r="C11" s="141"/>
      <c r="D11" s="141"/>
      <c r="E11" s="896">
        <v>1.536834008</v>
      </c>
      <c r="F11" s="524"/>
      <c r="G11" s="141">
        <f>Rates!M11</f>
        <v>0.11071121660000027</v>
      </c>
      <c r="H11" s="141">
        <f>Rates!N11</f>
        <v>0.10718904440000013</v>
      </c>
      <c r="I11" s="141">
        <f>Rates!O11</f>
        <v>0.12990992480000016</v>
      </c>
      <c r="J11" s="141">
        <f>Rates!P11</f>
        <v>7.7903891999999988E-2</v>
      </c>
      <c r="K11" s="141">
        <f>Rates!Q11</f>
        <v>6.6624264799999888E-2</v>
      </c>
      <c r="L11" s="141">
        <f>Rates!R11</f>
        <v>6.0655164000000109E-2</v>
      </c>
      <c r="M11" s="141">
        <f>Rates!S11</f>
        <v>8.284092680000002E-2</v>
      </c>
      <c r="N11" s="141">
        <f>Rates!T11</f>
        <v>0.19666989680000022</v>
      </c>
      <c r="O11" s="141">
        <f>Rates!U11</f>
        <v>0.16425139099999994</v>
      </c>
      <c r="P11" s="141">
        <f>Rates!V11</f>
        <v>0.24548239780000014</v>
      </c>
      <c r="Q11" s="141">
        <f>Rates!W11</f>
        <v>0.20776578399999998</v>
      </c>
      <c r="R11" s="141">
        <f>Rates!X11</f>
        <v>0.15332464480000002</v>
      </c>
      <c r="S11" s="524">
        <f>Rates!Y11</f>
        <v>1.603328547800001</v>
      </c>
      <c r="T11" s="141">
        <f>Rates!Z11</f>
        <v>0.16635548979999987</v>
      </c>
      <c r="U11" s="141">
        <f>Rates!AA11</f>
        <v>0.15724794440000026</v>
      </c>
      <c r="V11" s="141">
        <f>Rates!AB11</f>
        <v>0.12020039480000001</v>
      </c>
      <c r="W11" s="141">
        <f>Rates!AC11</f>
        <v>0.11222153200000001</v>
      </c>
      <c r="X11" s="141">
        <f>Rates!AD11</f>
        <v>0.11080214479999989</v>
      </c>
      <c r="Y11" s="141">
        <f>Rates!AE11</f>
        <v>0.12743137399999996</v>
      </c>
      <c r="Z11" s="141">
        <f>Rates!AF11</f>
        <v>0.11323928679999988</v>
      </c>
      <c r="AA11" s="141">
        <f>Rates!AG11</f>
        <v>0.12200746680000005</v>
      </c>
      <c r="AB11" s="141">
        <f>Rates!AH11</f>
        <v>0.15862671099999989</v>
      </c>
      <c r="AC11" s="141">
        <f>Rates!AI11</f>
        <v>0.23872363780000003</v>
      </c>
      <c r="AD11" s="141">
        <f>Rates!AJ11</f>
        <v>0.19809810399999994</v>
      </c>
      <c r="AE11" s="141">
        <f>Rates!AK11</f>
        <v>0.14185676480000001</v>
      </c>
      <c r="AF11" s="524">
        <f>Rates!AL11</f>
        <v>1.7668108509999993</v>
      </c>
      <c r="AG11" s="124">
        <f>Rates!AM11</f>
        <v>1.708235921</v>
      </c>
      <c r="AH11" s="124">
        <f>Rates!AN11</f>
        <v>1.6273758318000002</v>
      </c>
      <c r="AI11" s="124">
        <f>Rates!AO11</f>
        <v>1.5553636296361089</v>
      </c>
      <c r="AJ11" s="124">
        <f>Rates!AP11</f>
        <v>1.6007648783943504</v>
      </c>
      <c r="AK11" s="124">
        <f>Rates!AQ11</f>
        <v>4.9791122247425204</v>
      </c>
      <c r="AL11" s="124">
        <f>Rates!AR11</f>
        <v>5.6497035268800397</v>
      </c>
      <c r="AM11" s="124">
        <f>Rates!AS11</f>
        <v>5.2678324900619309</v>
      </c>
      <c r="AN11" s="124">
        <f>Rates!AT11</f>
        <v>5.55767198962804</v>
      </c>
      <c r="AO11" s="124">
        <f>Rates!AU11</f>
        <v>5.1099997804269526</v>
      </c>
      <c r="AP11" s="124">
        <f>Rates!AV11</f>
        <v>5.2419056023657102</v>
      </c>
      <c r="AQ11" s="124">
        <f>Rates!AW11</f>
        <v>4.8589635963909013</v>
      </c>
      <c r="AR11" s="130"/>
      <c r="AS11" s="130"/>
    </row>
    <row r="12" spans="1:45" s="114" customFormat="1" ht="15.75" thickBot="1">
      <c r="A12" s="422">
        <f t="shared" si="1"/>
        <v>10</v>
      </c>
      <c r="B12" s="126" t="s">
        <v>569</v>
      </c>
      <c r="C12" s="152"/>
      <c r="D12" s="152"/>
      <c r="E12" s="152">
        <f>SUM(E7:E11)</f>
        <v>12.244082444</v>
      </c>
      <c r="F12" s="525"/>
      <c r="G12" s="152">
        <f>Rates!M12</f>
        <v>1.0654747000000002</v>
      </c>
      <c r="H12" s="152">
        <f>Rates!N12</f>
        <v>0.95588295000000012</v>
      </c>
      <c r="I12" s="152">
        <f>Rates!O12</f>
        <v>1.02500821</v>
      </c>
      <c r="J12" s="152">
        <f>Rates!P12</f>
        <v>0.90981940000000006</v>
      </c>
      <c r="K12" s="152">
        <f>Rates!Q12</f>
        <v>0.9378728999999999</v>
      </c>
      <c r="L12" s="152">
        <f>Rates!R12</f>
        <v>0.9610953000000001</v>
      </c>
      <c r="M12" s="152">
        <f>Rates!S12</f>
        <v>1.0288024899999999</v>
      </c>
      <c r="N12" s="152">
        <f>Rates!T12</f>
        <v>0.99671984000000013</v>
      </c>
      <c r="O12" s="152">
        <f>Rates!U12</f>
        <v>0.6796142799999999</v>
      </c>
      <c r="P12" s="152">
        <f>Rates!V12</f>
        <v>0.74664154000000005</v>
      </c>
      <c r="Q12" s="152">
        <f>Rates!W12</f>
        <v>0.72361546999999993</v>
      </c>
      <c r="R12" s="152">
        <f>Rates!X12</f>
        <v>0.74618034999999994</v>
      </c>
      <c r="S12" s="525">
        <f>Rates!Y12</f>
        <v>10.776727429999999</v>
      </c>
      <c r="T12" s="152">
        <f>Rates!Z12</f>
        <v>0.76707416999999989</v>
      </c>
      <c r="U12" s="152">
        <f>Rates!AA12</f>
        <v>0.68527733000000024</v>
      </c>
      <c r="V12" s="152">
        <f>Rates!AB12</f>
        <v>0.65960163999999999</v>
      </c>
      <c r="W12" s="152">
        <f>Rates!AC12</f>
        <v>0.59937483999999996</v>
      </c>
      <c r="X12" s="152">
        <f>Rates!AD12</f>
        <v>0.62600273999999989</v>
      </c>
      <c r="Y12" s="152">
        <f>Rates!AE12</f>
        <v>0.68423530999999982</v>
      </c>
      <c r="Z12" s="152">
        <f>Rates!AF12</f>
        <v>0.71171100999999981</v>
      </c>
      <c r="AA12" s="152">
        <f>Rates!AG12</f>
        <v>0.71046324999999999</v>
      </c>
      <c r="AB12" s="152">
        <f>Rates!AH12</f>
        <v>0.67689159999999982</v>
      </c>
      <c r="AC12" s="152">
        <f>Rates!AI12</f>
        <v>0.74237478000000001</v>
      </c>
      <c r="AD12" s="152">
        <f>Rates!AJ12</f>
        <v>0.71684278999999995</v>
      </c>
      <c r="AE12" s="152">
        <f>Rates!AK12</f>
        <v>0.7386604699999999</v>
      </c>
      <c r="AF12" s="525">
        <f>Rates!AL12</f>
        <v>8.3185099299999976</v>
      </c>
      <c r="AG12" s="125">
        <f>Rates!AM12</f>
        <v>8.2907969999999995</v>
      </c>
      <c r="AH12" s="125">
        <f>Rates!AN12</f>
        <v>8.2587811699999989</v>
      </c>
      <c r="AI12" s="125">
        <f>Rates!AO12</f>
        <v>8.2148043099999981</v>
      </c>
      <c r="AJ12" s="125">
        <f>Rates!AP12</f>
        <v>8.2876864499999989</v>
      </c>
      <c r="AK12" s="125">
        <f>Rates!AQ12</f>
        <v>11.693420679999999</v>
      </c>
      <c r="AL12" s="125">
        <f>Rates!AR12</f>
        <v>12.407277679999996</v>
      </c>
      <c r="AM12" s="125">
        <f>Rates!AS12</f>
        <v>12.051503369999997</v>
      </c>
      <c r="AN12" s="125">
        <f>Rates!AT12</f>
        <v>12.377644609999997</v>
      </c>
      <c r="AO12" s="125">
        <f>Rates!AU12</f>
        <v>11.96704089</v>
      </c>
      <c r="AP12" s="125">
        <f>Rates!AV12</f>
        <v>12.146048830000002</v>
      </c>
      <c r="AQ12" s="125">
        <f>Rates!AW12</f>
        <v>11.791768979999999</v>
      </c>
      <c r="AR12" s="130"/>
      <c r="AS12" s="130"/>
    </row>
    <row r="13" spans="1:45" s="114" customFormat="1" ht="15.75" thickTop="1">
      <c r="A13" s="422">
        <f t="shared" si="1"/>
        <v>11</v>
      </c>
      <c r="B13" s="126"/>
      <c r="C13" s="149"/>
      <c r="D13" s="149"/>
      <c r="E13" s="149"/>
      <c r="F13" s="526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526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526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</row>
    <row r="14" spans="1:45" s="114" customFormat="1" ht="15.75">
      <c r="A14" s="422">
        <f t="shared" si="1"/>
        <v>12</v>
      </c>
      <c r="B14" s="118" t="s">
        <v>570</v>
      </c>
      <c r="C14" s="149"/>
      <c r="D14" s="149"/>
      <c r="E14" s="149"/>
      <c r="F14" s="526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526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526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</row>
    <row r="15" spans="1:45" s="114" customFormat="1">
      <c r="A15" s="422">
        <f t="shared" si="1"/>
        <v>13</v>
      </c>
      <c r="B15" s="126" t="s">
        <v>133</v>
      </c>
      <c r="C15" s="149"/>
      <c r="D15" s="149"/>
      <c r="E15" s="149">
        <v>5141.6959999999999</v>
      </c>
      <c r="F15" s="526"/>
      <c r="G15" s="149">
        <f>Rates!M15</f>
        <v>540.18379758393633</v>
      </c>
      <c r="H15" s="149">
        <f>Rates!N15</f>
        <v>482.11110316505574</v>
      </c>
      <c r="I15" s="149">
        <f>Rates!O15</f>
        <v>418.8091915883416</v>
      </c>
      <c r="J15" s="149">
        <f>Rates!P15</f>
        <v>328.15284849641893</v>
      </c>
      <c r="K15" s="149">
        <f>Rates!Q15</f>
        <v>374.54943506848412</v>
      </c>
      <c r="L15" s="149">
        <f>Rates!R15</f>
        <v>472.17387995004088</v>
      </c>
      <c r="M15" s="149">
        <f>Rates!S15</f>
        <v>493.51298431943826</v>
      </c>
      <c r="N15" s="149">
        <f>Rates!T15</f>
        <v>533.47760923493445</v>
      </c>
      <c r="O15" s="149">
        <f>Rates!U15</f>
        <v>416.26091057680179</v>
      </c>
      <c r="P15" s="149">
        <f>Rates!V15</f>
        <v>336.40905340911473</v>
      </c>
      <c r="Q15" s="149">
        <f>Rates!W15</f>
        <v>377.16825728284357</v>
      </c>
      <c r="R15" s="149">
        <f>Rates!X15</f>
        <v>494.38129788223404</v>
      </c>
      <c r="S15" s="526">
        <f>Rates!Y15</f>
        <v>5267.1903685576444</v>
      </c>
      <c r="T15" s="149">
        <f>Rates!Z15</f>
        <v>548.56241299857913</v>
      </c>
      <c r="U15" s="149">
        <f>Rates!AA15</f>
        <v>489.59701333226968</v>
      </c>
      <c r="V15" s="149">
        <f>Rates!AB15</f>
        <v>425.32392228478767</v>
      </c>
      <c r="W15" s="149">
        <f>Rates!AC15</f>
        <v>333.26684508975012</v>
      </c>
      <c r="X15" s="149">
        <f>Rates!AD15</f>
        <v>380.07221055024843</v>
      </c>
      <c r="Y15" s="149">
        <f>Rates!AE15</f>
        <v>479.13352411736156</v>
      </c>
      <c r="Z15" s="149">
        <f>Rates!AF15</f>
        <v>500.78690408520919</v>
      </c>
      <c r="AA15" s="149">
        <f>Rates!AG15</f>
        <v>541.33449919618909</v>
      </c>
      <c r="AB15" s="149">
        <f>Rates!AH15</f>
        <v>422.41288528817722</v>
      </c>
      <c r="AC15" s="149">
        <f>Rates!AI15</f>
        <v>341.34280563543973</v>
      </c>
      <c r="AD15" s="149">
        <f>Rates!AJ15</f>
        <v>383.0593849815703</v>
      </c>
      <c r="AE15" s="149">
        <f>Rates!AK15</f>
        <v>502.05660288026729</v>
      </c>
      <c r="AF15" s="526">
        <f>Rates!AL15</f>
        <v>5346.9490104398483</v>
      </c>
      <c r="AG15" s="149">
        <f>Rates!AM15</f>
        <v>5410.4289682932076</v>
      </c>
      <c r="AH15" s="149">
        <f>Rates!AN15</f>
        <v>5491.8591983965698</v>
      </c>
      <c r="AI15" s="149">
        <f>Rates!AO15</f>
        <v>5567.856575417527</v>
      </c>
      <c r="AJ15" s="149">
        <f>Rates!AP15</f>
        <v>5624.5912478893533</v>
      </c>
      <c r="AK15" s="149">
        <f>Rates!AQ15</f>
        <v>5681.152551670566</v>
      </c>
      <c r="AL15" s="149">
        <f>Rates!AR15</f>
        <v>5751.297665740085</v>
      </c>
      <c r="AM15" s="149">
        <f>Rates!AS15</f>
        <v>5823.3590934616495</v>
      </c>
      <c r="AN15" s="149">
        <f>Rates!AT15</f>
        <v>5897.7628031303275</v>
      </c>
      <c r="AO15" s="149">
        <f>Rates!AU15</f>
        <v>5973.7284759417334</v>
      </c>
      <c r="AP15" s="149">
        <f>Rates!AV15</f>
        <v>6051.6713337058372</v>
      </c>
      <c r="AQ15" s="149">
        <f>Rates!AW15</f>
        <v>6128.9470988251414</v>
      </c>
      <c r="AR15" s="149"/>
      <c r="AS15" s="149"/>
    </row>
    <row r="16" spans="1:45" s="114" customFormat="1">
      <c r="A16" s="422">
        <f t="shared" si="1"/>
        <v>14</v>
      </c>
      <c r="B16" s="126" t="s">
        <v>134</v>
      </c>
      <c r="C16" s="149"/>
      <c r="D16" s="149"/>
      <c r="E16" s="149">
        <v>1708.5060000000001</v>
      </c>
      <c r="F16" s="526"/>
      <c r="G16" s="149">
        <f>Rates!M16</f>
        <v>139.274</v>
      </c>
      <c r="H16" s="149">
        <f>Rates!N16</f>
        <v>139.89700000000002</v>
      </c>
      <c r="I16" s="149">
        <f>Rates!O16</f>
        <v>139.11200000000005</v>
      </c>
      <c r="J16" s="149">
        <f>Rates!P16</f>
        <v>139.40100000000004</v>
      </c>
      <c r="K16" s="149">
        <f>Rates!Q16</f>
        <v>138.43100000000001</v>
      </c>
      <c r="L16" s="149">
        <f>Rates!R16</f>
        <v>138.52900000000002</v>
      </c>
      <c r="M16" s="149">
        <f>Rates!S16</f>
        <v>143.18800000000002</v>
      </c>
      <c r="N16" s="149">
        <f>Rates!T16</f>
        <v>143.54300000000003</v>
      </c>
      <c r="O16" s="149">
        <f>Rates!U16</f>
        <v>136.42100000000002</v>
      </c>
      <c r="P16" s="149">
        <f>Rates!V16</f>
        <v>138.47200000000004</v>
      </c>
      <c r="Q16" s="149">
        <f>Rates!W16</f>
        <v>138.43100000000001</v>
      </c>
      <c r="R16" s="149">
        <f>Rates!X16</f>
        <v>138.59500000000003</v>
      </c>
      <c r="S16" s="526">
        <f>Rates!Y16</f>
        <v>1673.2940000000003</v>
      </c>
      <c r="T16" s="149">
        <f>Rates!Z16</f>
        <v>140.57400000000001</v>
      </c>
      <c r="U16" s="149">
        <f>Rates!AA16</f>
        <v>139.89700000000002</v>
      </c>
      <c r="V16" s="149">
        <f>Rates!AB16</f>
        <v>139.11200000000005</v>
      </c>
      <c r="W16" s="149">
        <f>Rates!AC16</f>
        <v>139.40100000000004</v>
      </c>
      <c r="X16" s="149">
        <f>Rates!AD16</f>
        <v>138.43100000000001</v>
      </c>
      <c r="Y16" s="149">
        <f>Rates!AE16</f>
        <v>138.52900000000002</v>
      </c>
      <c r="Z16" s="149">
        <f>Rates!AF16</f>
        <v>143.18800000000002</v>
      </c>
      <c r="AA16" s="149">
        <f>Rates!AG16</f>
        <v>143.54300000000003</v>
      </c>
      <c r="AB16" s="149">
        <f>Rates!AH16</f>
        <v>136.42100000000002</v>
      </c>
      <c r="AC16" s="149">
        <f>Rates!AI16</f>
        <v>138.47200000000004</v>
      </c>
      <c r="AD16" s="149">
        <f>Rates!AJ16</f>
        <v>138.43100000000001</v>
      </c>
      <c r="AE16" s="149">
        <f>Rates!AK16</f>
        <v>138.59500000000003</v>
      </c>
      <c r="AF16" s="526">
        <f>Rates!AL16</f>
        <v>1674.5940000000003</v>
      </c>
      <c r="AG16" s="149">
        <f>Rates!AM16</f>
        <v>1674.5940000000003</v>
      </c>
      <c r="AH16" s="149">
        <f>Rates!AN16</f>
        <v>1674.5940000000003</v>
      </c>
      <c r="AI16" s="149">
        <f>Rates!AO16</f>
        <v>1674.5940000000001</v>
      </c>
      <c r="AJ16" s="149">
        <f>Rates!AP16</f>
        <v>1674.5940000000001</v>
      </c>
      <c r="AK16" s="149">
        <f>Rates!AQ16</f>
        <v>1674.5940000000001</v>
      </c>
      <c r="AL16" s="149">
        <f>Rates!AR16</f>
        <v>1674.5940000000001</v>
      </c>
      <c r="AM16" s="149">
        <f>Rates!AS16</f>
        <v>1674.5940000000001</v>
      </c>
      <c r="AN16" s="149">
        <f>Rates!AT16</f>
        <v>1674.5940000000001</v>
      </c>
      <c r="AO16" s="149">
        <f>Rates!AU16</f>
        <v>1674.5940000000001</v>
      </c>
      <c r="AP16" s="149">
        <f>Rates!AV16</f>
        <v>1674.5940000000001</v>
      </c>
      <c r="AQ16" s="149">
        <f>Rates!AW16</f>
        <v>1674.5940000000001</v>
      </c>
      <c r="AR16" s="149"/>
      <c r="AS16" s="149"/>
    </row>
    <row r="17" spans="1:45" s="114" customFormat="1">
      <c r="A17" s="422">
        <f t="shared" si="1"/>
        <v>15</v>
      </c>
      <c r="B17" s="120"/>
      <c r="C17" s="141"/>
      <c r="D17" s="141"/>
      <c r="E17" s="141"/>
      <c r="F17" s="5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524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5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30"/>
      <c r="AS17" s="130"/>
    </row>
    <row r="18" spans="1:45" s="114" customFormat="1" ht="15.75">
      <c r="A18" s="422">
        <f t="shared" si="1"/>
        <v>16</v>
      </c>
      <c r="B18" s="118" t="s">
        <v>282</v>
      </c>
      <c r="C18" s="141"/>
      <c r="D18" s="141"/>
      <c r="E18" s="141"/>
      <c r="F18" s="5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524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5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30"/>
      <c r="AS18" s="130"/>
    </row>
    <row r="19" spans="1:45" s="114" customFormat="1">
      <c r="A19" s="422">
        <f t="shared" si="1"/>
        <v>17</v>
      </c>
      <c r="B19" s="134" t="s">
        <v>371</v>
      </c>
      <c r="C19" s="296"/>
      <c r="D19" s="296"/>
      <c r="E19" s="296"/>
      <c r="F19" s="527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527"/>
      <c r="T19" s="296">
        <f>Rates!Z20</f>
        <v>0</v>
      </c>
      <c r="U19" s="296">
        <f>Rates!AA20</f>
        <v>0</v>
      </c>
      <c r="V19" s="296">
        <f>Rates!AB20</f>
        <v>0</v>
      </c>
      <c r="W19" s="296">
        <f>Rates!AC20</f>
        <v>0</v>
      </c>
      <c r="X19" s="296">
        <f>Rates!AD20</f>
        <v>0</v>
      </c>
      <c r="Y19" s="296">
        <f>Rates!AE20</f>
        <v>0</v>
      </c>
      <c r="Z19" s="296">
        <f>Rates!AF20</f>
        <v>0</v>
      </c>
      <c r="AA19" s="296">
        <f>Rates!AG20</f>
        <v>0</v>
      </c>
      <c r="AB19" s="296">
        <f>Rates!AH20</f>
        <v>0</v>
      </c>
      <c r="AC19" s="296">
        <f>Rates!AI20</f>
        <v>0</v>
      </c>
      <c r="AD19" s="296">
        <f>Rates!AJ20</f>
        <v>0</v>
      </c>
      <c r="AE19" s="296">
        <f>Rates!AK20</f>
        <v>0</v>
      </c>
      <c r="AF19" s="527">
        <f>Rates!AL20</f>
        <v>0</v>
      </c>
      <c r="AG19" s="296">
        <f>Rates!AM20</f>
        <v>0</v>
      </c>
      <c r="AH19" s="296">
        <f>Rates!AN20</f>
        <v>0</v>
      </c>
      <c r="AI19" s="296">
        <f>Rates!AO20</f>
        <v>0</v>
      </c>
      <c r="AJ19" s="296">
        <f>Rates!AP20</f>
        <v>0</v>
      </c>
      <c r="AK19" s="296">
        <f>Rates!AQ20</f>
        <v>0</v>
      </c>
      <c r="AL19" s="296">
        <f>Rates!AR20</f>
        <v>0</v>
      </c>
      <c r="AM19" s="296">
        <f>Rates!AS20</f>
        <v>0</v>
      </c>
      <c r="AN19" s="296">
        <f>Rates!AT20</f>
        <v>0</v>
      </c>
      <c r="AO19" s="296">
        <f>Rates!AU20</f>
        <v>0</v>
      </c>
      <c r="AP19" s="296">
        <f>Rates!AV20</f>
        <v>0</v>
      </c>
      <c r="AQ19" s="296">
        <f>Rates!AW20</f>
        <v>0</v>
      </c>
      <c r="AR19" s="902"/>
      <c r="AS19" s="902"/>
    </row>
    <row r="20" spans="1:45" s="114" customFormat="1">
      <c r="A20" s="422">
        <f t="shared" si="1"/>
        <v>18</v>
      </c>
      <c r="B20" s="134" t="s">
        <v>372</v>
      </c>
      <c r="C20" s="141"/>
      <c r="D20" s="141"/>
      <c r="E20" s="141"/>
      <c r="F20" s="524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527"/>
      <c r="T20" s="296">
        <f>Rates!Z21</f>
        <v>0</v>
      </c>
      <c r="U20" s="296">
        <f>Rates!AA21</f>
        <v>0</v>
      </c>
      <c r="V20" s="296">
        <f>Rates!AB21</f>
        <v>0</v>
      </c>
      <c r="W20" s="296">
        <f>Rates!AC21</f>
        <v>0</v>
      </c>
      <c r="X20" s="296">
        <f>Rates!AD21</f>
        <v>0</v>
      </c>
      <c r="Y20" s="296">
        <f>Rates!AE21</f>
        <v>0</v>
      </c>
      <c r="Z20" s="296">
        <f>Rates!AF21</f>
        <v>0</v>
      </c>
      <c r="AA20" s="296">
        <f>Rates!AG21</f>
        <v>0</v>
      </c>
      <c r="AB20" s="296">
        <f>Rates!AH21</f>
        <v>0</v>
      </c>
      <c r="AC20" s="296">
        <f>Rates!AI21</f>
        <v>0</v>
      </c>
      <c r="AD20" s="296">
        <f>Rates!AJ21</f>
        <v>0</v>
      </c>
      <c r="AE20" s="296">
        <f>Rates!AK21</f>
        <v>0</v>
      </c>
      <c r="AF20" s="527">
        <f>Rates!AL21</f>
        <v>0</v>
      </c>
      <c r="AG20" s="296">
        <f>Rates!AM21</f>
        <v>0</v>
      </c>
      <c r="AH20" s="296">
        <f>Rates!AN21</f>
        <v>0</v>
      </c>
      <c r="AI20" s="296">
        <f>Rates!AO21</f>
        <v>0</v>
      </c>
      <c r="AJ20" s="296">
        <f>Rates!AP21</f>
        <v>0</v>
      </c>
      <c r="AK20" s="296">
        <f>Rates!AQ21</f>
        <v>0</v>
      </c>
      <c r="AL20" s="296">
        <f>Rates!AR21</f>
        <v>0</v>
      </c>
      <c r="AM20" s="296">
        <f>Rates!AS21</f>
        <v>0</v>
      </c>
      <c r="AN20" s="296">
        <f>Rates!AT21</f>
        <v>0</v>
      </c>
      <c r="AO20" s="296">
        <f>Rates!AU21</f>
        <v>0</v>
      </c>
      <c r="AP20" s="296">
        <f>Rates!AV21</f>
        <v>0</v>
      </c>
      <c r="AQ20" s="296">
        <f>Rates!AW21</f>
        <v>0</v>
      </c>
      <c r="AR20" s="902"/>
      <c r="AS20" s="902"/>
    </row>
    <row r="21" spans="1:45" s="114" customFormat="1">
      <c r="A21" s="422">
        <f t="shared" si="1"/>
        <v>19</v>
      </c>
      <c r="B21" s="119"/>
      <c r="C21" s="141"/>
      <c r="D21" s="141"/>
      <c r="E21" s="141"/>
      <c r="F21" s="524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527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527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902"/>
      <c r="AS21" s="902"/>
    </row>
    <row r="22" spans="1:45" s="114" customFormat="1" ht="15.75">
      <c r="A22" s="422">
        <f t="shared" si="1"/>
        <v>20</v>
      </c>
      <c r="B22" s="115" t="s">
        <v>133</v>
      </c>
      <c r="C22" s="141"/>
      <c r="D22" s="141"/>
      <c r="E22" s="141"/>
      <c r="F22" s="524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524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526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30"/>
      <c r="AS22" s="130"/>
    </row>
    <row r="23" spans="1:45" s="114" customFormat="1">
      <c r="A23" s="422">
        <f t="shared" si="1"/>
        <v>21</v>
      </c>
      <c r="B23" s="122" t="s">
        <v>140</v>
      </c>
      <c r="C23" s="296"/>
      <c r="D23" s="296"/>
      <c r="E23" s="296">
        <v>0.61850000000000005</v>
      </c>
      <c r="F23" s="527"/>
      <c r="G23" s="296">
        <f>Rates!M169</f>
        <v>0.62007717865555445</v>
      </c>
      <c r="H23" s="296">
        <f>Rates!N169</f>
        <v>0.6421071040542512</v>
      </c>
      <c r="I23" s="296">
        <f>Rates!O169</f>
        <v>0.60225478278805455</v>
      </c>
      <c r="J23" s="296">
        <f>Rates!P169</f>
        <v>0.62588127198433741</v>
      </c>
      <c r="K23" s="296">
        <f>Rates!Q169</f>
        <v>0.59278391830929833</v>
      </c>
      <c r="L23" s="296">
        <f>Rates!R169</f>
        <v>0.63759468352508031</v>
      </c>
      <c r="M23" s="296">
        <f>Rates!S169</f>
        <v>0.66248216110860136</v>
      </c>
      <c r="N23" s="296">
        <f>Rates!T169</f>
        <v>0.58999412621152492</v>
      </c>
      <c r="O23" s="296">
        <f>Rates!U169</f>
        <v>0.59689126143435378</v>
      </c>
      <c r="P23" s="296">
        <f>Rates!V169</f>
        <v>0.61518647901424628</v>
      </c>
      <c r="Q23" s="296">
        <f>Rates!W169</f>
        <v>0.66012020916749126</v>
      </c>
      <c r="R23" s="296">
        <f>Rates!X169</f>
        <v>0.6676124459819347</v>
      </c>
      <c r="S23" s="527">
        <f>Rates!Y169</f>
        <v>0.6267358411815569</v>
      </c>
      <c r="T23" s="296">
        <f>Rates!Z169</f>
        <v>0.62043400373191437</v>
      </c>
      <c r="U23" s="296">
        <f>Rates!AA169</f>
        <v>0.64246229139912725</v>
      </c>
      <c r="V23" s="296">
        <f>Rates!AB169</f>
        <v>0.60260522845273723</v>
      </c>
      <c r="W23" s="296">
        <f>Rates!AC169</f>
        <v>0.62624991477063163</v>
      </c>
      <c r="X23" s="296">
        <f>Rates!AD169</f>
        <v>0.59364426524473113</v>
      </c>
      <c r="Y23" s="296">
        <f>Rates!AE169</f>
        <v>0.63853402059300746</v>
      </c>
      <c r="Z23" s="296">
        <f>Rates!AF169</f>
        <v>0.66345047987002659</v>
      </c>
      <c r="AA23" s="296">
        <f>Rates!AG169</f>
        <v>0.59087102603416286</v>
      </c>
      <c r="AB23" s="296">
        <f>Rates!AH169</f>
        <v>0.59773994674262954</v>
      </c>
      <c r="AC23" s="296">
        <f>Rates!AI169</f>
        <v>0.61610720943528086</v>
      </c>
      <c r="AD23" s="296">
        <f>Rates!AJ169</f>
        <v>0.66046475335513422</v>
      </c>
      <c r="AE23" s="296">
        <f>Rates!AK169</f>
        <v>0.66797559720524868</v>
      </c>
      <c r="AF23" s="527">
        <f>Rates!AL169</f>
        <v>0.6273694254831087</v>
      </c>
      <c r="AG23" s="121">
        <f>Rates!AM169</f>
        <v>0.62782250002765549</v>
      </c>
      <c r="AH23" s="121">
        <f>Rates!AN169</f>
        <v>0.62671924038793869</v>
      </c>
      <c r="AI23" s="121">
        <f>Rates!AO169</f>
        <v>0.62898595107032895</v>
      </c>
      <c r="AJ23" s="121">
        <f>Rates!AP169</f>
        <v>0.62933437542435455</v>
      </c>
      <c r="AK23" s="121">
        <f>Rates!AQ169</f>
        <v>0.62967238891181321</v>
      </c>
      <c r="AL23" s="121">
        <f>Rates!AR169</f>
        <v>0.6284174118968795</v>
      </c>
      <c r="AM23" s="121">
        <f>Rates!AS169</f>
        <v>0.63061230814641067</v>
      </c>
      <c r="AN23" s="121">
        <f>Rates!AT169</f>
        <v>0.63108850845459619</v>
      </c>
      <c r="AO23" s="121">
        <f>Rates!AU169</f>
        <v>0.63156353660383147</v>
      </c>
      <c r="AP23" s="121">
        <f>Rates!AV169</f>
        <v>0.63031291025674219</v>
      </c>
      <c r="AQ23" s="121">
        <f>Rates!AW169</f>
        <v>0.63250272799411034</v>
      </c>
      <c r="AR23" s="903"/>
      <c r="AS23" s="903"/>
    </row>
    <row r="24" spans="1:45" s="114" customFormat="1">
      <c r="A24" s="422">
        <f t="shared" si="1"/>
        <v>22</v>
      </c>
      <c r="B24" s="123" t="s">
        <v>141</v>
      </c>
      <c r="C24" s="141"/>
      <c r="D24" s="141"/>
      <c r="E24" s="141">
        <v>9.5</v>
      </c>
      <c r="F24" s="524"/>
      <c r="G24" s="141">
        <f>Rates!M170</f>
        <v>9.5</v>
      </c>
      <c r="H24" s="141">
        <f>Rates!N170</f>
        <v>9.5</v>
      </c>
      <c r="I24" s="141">
        <f>Rates!O170</f>
        <v>9.5</v>
      </c>
      <c r="J24" s="141">
        <f>Rates!P170</f>
        <v>9.5</v>
      </c>
      <c r="K24" s="141">
        <f>Rates!Q170</f>
        <v>9.5</v>
      </c>
      <c r="L24" s="141">
        <f>Rates!R170</f>
        <v>9.5</v>
      </c>
      <c r="M24" s="141">
        <f>Rates!S170</f>
        <v>9.5</v>
      </c>
      <c r="N24" s="141">
        <f>Rates!T170</f>
        <v>12.143548387096773</v>
      </c>
      <c r="O24" s="141">
        <f>Rates!U170</f>
        <v>16.95</v>
      </c>
      <c r="P24" s="141">
        <f>Rates!V170</f>
        <v>16.95</v>
      </c>
      <c r="Q24" s="141">
        <f>Rates!W170</f>
        <v>16.95</v>
      </c>
      <c r="R24" s="141">
        <f>Rates!X170</f>
        <v>16.95</v>
      </c>
      <c r="S24" s="526">
        <f>SUMPRODUCT(G$7:R$7,G24:R24)/S$7</f>
        <v>12.099289413133546</v>
      </c>
      <c r="T24" s="141">
        <f>Rates!Z170</f>
        <v>16.95</v>
      </c>
      <c r="U24" s="141">
        <f>Rates!AA170</f>
        <v>16.95</v>
      </c>
      <c r="V24" s="141">
        <f>Rates!AB170</f>
        <v>16.95</v>
      </c>
      <c r="W24" s="141">
        <f>Rates!AC170</f>
        <v>16.95</v>
      </c>
      <c r="X24" s="141">
        <f>Rates!AD170</f>
        <v>16.95</v>
      </c>
      <c r="Y24" s="141">
        <f>Rates!AE170</f>
        <v>16.95</v>
      </c>
      <c r="Z24" s="141">
        <f>Rates!AF170</f>
        <v>16.95</v>
      </c>
      <c r="AA24" s="141">
        <f>Rates!AG170</f>
        <v>16.95</v>
      </c>
      <c r="AB24" s="141">
        <f>Rates!AH170</f>
        <v>16.95</v>
      </c>
      <c r="AC24" s="141">
        <f>Rates!AI170</f>
        <v>16.95</v>
      </c>
      <c r="AD24" s="141">
        <f>Rates!AJ170</f>
        <v>16.95</v>
      </c>
      <c r="AE24" s="141">
        <f>Rates!AK170</f>
        <v>16.95</v>
      </c>
      <c r="AF24" s="526">
        <f>SUMPRODUCT(T$7:AE$7,T24:AE24)/AF$7</f>
        <v>16.949999999999996</v>
      </c>
      <c r="AG24" s="124">
        <f>Rates!AM170</f>
        <v>16.95</v>
      </c>
      <c r="AH24" s="124">
        <f>Rates!AN170</f>
        <v>16.95</v>
      </c>
      <c r="AI24" s="124">
        <f>Rates!AO170</f>
        <v>16.95</v>
      </c>
      <c r="AJ24" s="124">
        <f>Rates!AP170</f>
        <v>16.95</v>
      </c>
      <c r="AK24" s="124">
        <f>Rates!AQ170</f>
        <v>16.95</v>
      </c>
      <c r="AL24" s="124">
        <f>Rates!AR170</f>
        <v>16.95</v>
      </c>
      <c r="AM24" s="124">
        <f>Rates!AS170</f>
        <v>16.95</v>
      </c>
      <c r="AN24" s="124">
        <f>Rates!AT170</f>
        <v>16.95</v>
      </c>
      <c r="AO24" s="124">
        <f>Rates!AU170</f>
        <v>16.95</v>
      </c>
      <c r="AP24" s="124">
        <f>Rates!AV170</f>
        <v>16.95</v>
      </c>
      <c r="AQ24" s="124">
        <f>Rates!AW170</f>
        <v>16.95</v>
      </c>
      <c r="AR24" s="130"/>
      <c r="AS24" s="130"/>
    </row>
    <row r="25" spans="1:45" s="114" customFormat="1">
      <c r="A25" s="422">
        <f t="shared" si="1"/>
        <v>23</v>
      </c>
      <c r="B25" s="123" t="s">
        <v>142</v>
      </c>
      <c r="C25" s="141"/>
      <c r="D25" s="141"/>
      <c r="E25" s="141">
        <v>29.736000000000001</v>
      </c>
      <c r="F25" s="524"/>
      <c r="G25" s="141">
        <f>Rates!M171</f>
        <v>29.736000000000001</v>
      </c>
      <c r="H25" s="141">
        <f>Rates!N171</f>
        <v>29.736000000000001</v>
      </c>
      <c r="I25" s="141">
        <f>Rates!O171</f>
        <v>29.736000000000001</v>
      </c>
      <c r="J25" s="141">
        <f>Rates!P171</f>
        <v>29.736000000000001</v>
      </c>
      <c r="K25" s="141">
        <f>Rates!Q171</f>
        <v>29.736000000000001</v>
      </c>
      <c r="L25" s="141">
        <f>Rates!R171</f>
        <v>29.736000000000001</v>
      </c>
      <c r="M25" s="141">
        <f>Rates!S171</f>
        <v>29.736000000000001</v>
      </c>
      <c r="N25" s="141">
        <f>Rates!T171</f>
        <v>29.829677419354841</v>
      </c>
      <c r="O25" s="141">
        <f>Rates!U171</f>
        <v>30</v>
      </c>
      <c r="P25" s="141">
        <f>Rates!V171</f>
        <v>30</v>
      </c>
      <c r="Q25" s="141">
        <f>Rates!W171</f>
        <v>30</v>
      </c>
      <c r="R25" s="141">
        <f>Rates!X171</f>
        <v>30</v>
      </c>
      <c r="S25" s="528">
        <f>SUMPRODUCT(G$7:R$7,G25:R25)/S$7</f>
        <v>29.828109047660032</v>
      </c>
      <c r="T25" s="141">
        <f>Rates!Z171</f>
        <v>30</v>
      </c>
      <c r="U25" s="141">
        <f>Rates!AA171</f>
        <v>30</v>
      </c>
      <c r="V25" s="141">
        <f>Rates!AB171</f>
        <v>30</v>
      </c>
      <c r="W25" s="141">
        <f>Rates!AC171</f>
        <v>30</v>
      </c>
      <c r="X25" s="141">
        <f>Rates!AD171</f>
        <v>30</v>
      </c>
      <c r="Y25" s="141">
        <f>Rates!AE171</f>
        <v>30</v>
      </c>
      <c r="Z25" s="141">
        <f>Rates!AF171</f>
        <v>30</v>
      </c>
      <c r="AA25" s="141">
        <f>Rates!AG171</f>
        <v>30</v>
      </c>
      <c r="AB25" s="141">
        <f>Rates!AH171</f>
        <v>30</v>
      </c>
      <c r="AC25" s="141">
        <f>Rates!AI171</f>
        <v>30</v>
      </c>
      <c r="AD25" s="141">
        <f>Rates!AJ171</f>
        <v>30</v>
      </c>
      <c r="AE25" s="141">
        <f>Rates!AK171</f>
        <v>30</v>
      </c>
      <c r="AF25" s="528">
        <f>SUMPRODUCT(T$7:AE$7,T25:AE25)/AF$7</f>
        <v>29.999999999999996</v>
      </c>
      <c r="AG25" s="124">
        <f>Rates!AM171</f>
        <v>30</v>
      </c>
      <c r="AH25" s="124">
        <f>Rates!AN171</f>
        <v>30</v>
      </c>
      <c r="AI25" s="124">
        <f>Rates!AO171</f>
        <v>30</v>
      </c>
      <c r="AJ25" s="124">
        <f>Rates!AP171</f>
        <v>30</v>
      </c>
      <c r="AK25" s="124">
        <f>Rates!AQ171</f>
        <v>30</v>
      </c>
      <c r="AL25" s="124">
        <f>Rates!AR171</f>
        <v>30</v>
      </c>
      <c r="AM25" s="124">
        <f>Rates!AS171</f>
        <v>30</v>
      </c>
      <c r="AN25" s="124">
        <f>Rates!AT171</f>
        <v>30</v>
      </c>
      <c r="AO25" s="124">
        <f>Rates!AU171</f>
        <v>30</v>
      </c>
      <c r="AP25" s="124">
        <f>Rates!AV171</f>
        <v>30</v>
      </c>
      <c r="AQ25" s="124">
        <f>Rates!AW171</f>
        <v>30</v>
      </c>
      <c r="AR25" s="130"/>
      <c r="AS25" s="130"/>
    </row>
    <row r="26" spans="1:45" s="114" customFormat="1" ht="15.75" thickBot="1">
      <c r="A26" s="422">
        <f t="shared" si="1"/>
        <v>24</v>
      </c>
      <c r="B26" s="122" t="s">
        <v>65</v>
      </c>
      <c r="C26" s="152"/>
      <c r="D26" s="152"/>
      <c r="E26" s="152">
        <v>50.78</v>
      </c>
      <c r="F26" s="525"/>
      <c r="G26" s="152">
        <f>Rates!M172</f>
        <v>50.328303093602486</v>
      </c>
      <c r="H26" s="152">
        <f>Rates!N172</f>
        <v>51.752427902206087</v>
      </c>
      <c r="I26" s="152">
        <f>Rates!O172</f>
        <v>50.937686676840691</v>
      </c>
      <c r="J26" s="152">
        <f>Rates!P172</f>
        <v>50.817385615856288</v>
      </c>
      <c r="K26" s="152">
        <f>Rates!Q172</f>
        <v>51.276424444575873</v>
      </c>
      <c r="L26" s="152">
        <f>Rates!R172</f>
        <v>50.430094203383419</v>
      </c>
      <c r="M26" s="152">
        <f>Rates!S172</f>
        <v>49.010205335482034</v>
      </c>
      <c r="N26" s="152">
        <f>Rates!T172</f>
        <v>57.494314935964915</v>
      </c>
      <c r="O26" s="152">
        <f>Rates!U172</f>
        <v>69.44046124933223</v>
      </c>
      <c r="P26" s="152">
        <f>Rates!V172</f>
        <v>67.033092959100202</v>
      </c>
      <c r="Q26" s="152">
        <f>Rates!W172</f>
        <v>65.662696490319789</v>
      </c>
      <c r="R26" s="152">
        <f>Rates!X172</f>
        <v>64.124975053464794</v>
      </c>
      <c r="S26" s="529">
        <f>SUMPRODUCT(G$7:R$7,G26:R26)/S$7</f>
        <v>56.198856275646158</v>
      </c>
      <c r="T26" s="152">
        <f>Rates!Z172</f>
        <v>66.719873391014517</v>
      </c>
      <c r="U26" s="152">
        <f>Rates!AA172</f>
        <v>69.260225266737805</v>
      </c>
      <c r="V26" s="152">
        <f>Rates!AB172</f>
        <v>67.80627347527728</v>
      </c>
      <c r="W26" s="152">
        <f>Rates!AC172</f>
        <v>67.591488815274261</v>
      </c>
      <c r="X26" s="152">
        <f>Rates!AD172</f>
        <v>68.376952997472472</v>
      </c>
      <c r="Y26" s="152">
        <f>Rates!AE172</f>
        <v>66.868304440229338</v>
      </c>
      <c r="Z26" s="152">
        <f>Rates!AF172</f>
        <v>64.339048287340589</v>
      </c>
      <c r="AA26" s="152">
        <f>Rates!AG172</f>
        <v>68.557074320308445</v>
      </c>
      <c r="AB26" s="152">
        <f>Rates!AH172</f>
        <v>69.384462749990931</v>
      </c>
      <c r="AC26" s="152">
        <f>Rates!AI172</f>
        <v>66.977749514403783</v>
      </c>
      <c r="AD26" s="152">
        <f>Rates!AJ172</f>
        <v>65.644092356292987</v>
      </c>
      <c r="AE26" s="152">
        <f>Rates!AK172</f>
        <v>64.106422689444187</v>
      </c>
      <c r="AF26" s="529">
        <f>SUMPRODUCT(T$7:AE$7,T26:AE26)/AF$7</f>
        <v>67.01037560813829</v>
      </c>
      <c r="AG26" s="125">
        <f>Rates!AM172</f>
        <v>66.98366669109339</v>
      </c>
      <c r="AH26" s="125">
        <f>Rates!AN172</f>
        <v>66.94754558769354</v>
      </c>
      <c r="AI26" s="125">
        <f>Rates!AO172</f>
        <v>66.915257077968604</v>
      </c>
      <c r="AJ26" s="125">
        <f>Rates!AP172</f>
        <v>66.894819334372599</v>
      </c>
      <c r="AK26" s="125">
        <f>Rates!AQ172</f>
        <v>66.875013881931025</v>
      </c>
      <c r="AL26" s="125">
        <f>Rates!AR172</f>
        <v>66.84770228600506</v>
      </c>
      <c r="AM26" s="125">
        <f>Rates!AS172</f>
        <v>66.820052165554827</v>
      </c>
      <c r="AN26" s="125">
        <f>Rates!AT172</f>
        <v>66.792268867406065</v>
      </c>
      <c r="AO26" s="125">
        <f>Rates!AU172</f>
        <v>66.764595700142138</v>
      </c>
      <c r="AP26" s="125">
        <f>Rates!AV172</f>
        <v>66.736892626054768</v>
      </c>
      <c r="AQ26" s="125">
        <f>Rates!AW172</f>
        <v>66.710004644292994</v>
      </c>
      <c r="AR26" s="130"/>
      <c r="AS26" s="130"/>
    </row>
    <row r="27" spans="1:45" s="114" customFormat="1" ht="15.75" thickTop="1">
      <c r="A27" s="422">
        <f t="shared" si="1"/>
        <v>25</v>
      </c>
      <c r="B27" s="122"/>
      <c r="C27" s="141"/>
      <c r="D27" s="141"/>
      <c r="E27" s="141"/>
      <c r="F27" s="524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524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5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30"/>
      <c r="AS27" s="130"/>
    </row>
    <row r="28" spans="1:45" s="114" customFormat="1">
      <c r="A28" s="422">
        <f t="shared" si="1"/>
        <v>26</v>
      </c>
      <c r="B28" s="122"/>
      <c r="C28" s="141"/>
      <c r="D28" s="141"/>
      <c r="E28" s="141"/>
      <c r="F28" s="524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526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526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30"/>
      <c r="AS28" s="130"/>
    </row>
    <row r="29" spans="1:45" s="114" customFormat="1">
      <c r="A29" s="422">
        <f t="shared" si="1"/>
        <v>27</v>
      </c>
      <c r="B29" s="821" t="s">
        <v>1017</v>
      </c>
      <c r="C29" s="141"/>
      <c r="D29" s="141"/>
      <c r="E29" s="141">
        <v>-1.1399999999999999</v>
      </c>
      <c r="F29" s="524"/>
      <c r="G29" s="141">
        <f>Rates!M176</f>
        <v>-1.357</v>
      </c>
      <c r="H29" s="141">
        <f>Rates!N176</f>
        <v>-1.357</v>
      </c>
      <c r="I29" s="141">
        <f>Rates!O176</f>
        <v>-1.357</v>
      </c>
      <c r="J29" s="141">
        <f>Rates!P176</f>
        <v>-1.357</v>
      </c>
      <c r="K29" s="141">
        <f>Rates!Q176</f>
        <v>-1.357</v>
      </c>
      <c r="L29" s="141">
        <f>Rates!R176</f>
        <v>-1.357</v>
      </c>
      <c r="M29" s="141">
        <f>Rates!S176</f>
        <v>-1.357</v>
      </c>
      <c r="N29" s="141">
        <f>Rates!T176</f>
        <v>-1.357</v>
      </c>
      <c r="O29" s="141">
        <f>Rates!U176</f>
        <v>-0.68508313310372948</v>
      </c>
      <c r="P29" s="141">
        <f>Rates!V176</f>
        <v>-0.68508313310372959</v>
      </c>
      <c r="Q29" s="141">
        <f>Rates!W176</f>
        <v>-0.68508313310372948</v>
      </c>
      <c r="R29" s="141">
        <f>Rates!X176</f>
        <v>-0.68508313310372948</v>
      </c>
      <c r="S29" s="526">
        <f>SUMPRODUCT(G$7:R$7,G29:R29)/S$7</f>
        <v>-1.1457380592010633</v>
      </c>
      <c r="T29" s="141">
        <f>Rates!Z176</f>
        <v>-0.68508313310372948</v>
      </c>
      <c r="U29" s="141">
        <f>Rates!AA176</f>
        <v>-0.68508313310372948</v>
      </c>
      <c r="V29" s="141">
        <f>Rates!AB176</f>
        <v>-0.68508313310372948</v>
      </c>
      <c r="W29" s="141">
        <f>Rates!AC176</f>
        <v>-0.68508313310372948</v>
      </c>
      <c r="X29" s="141">
        <f>Rates!AD176</f>
        <v>-0.68508313310372948</v>
      </c>
      <c r="Y29" s="141">
        <f>Rates!AE176</f>
        <v>-0.68508313310372948</v>
      </c>
      <c r="Z29" s="141">
        <f>Rates!AF176</f>
        <v>-0.68508313310372948</v>
      </c>
      <c r="AA29" s="141">
        <f>Rates!AG176</f>
        <v>-0.68508313310372948</v>
      </c>
      <c r="AB29" s="141">
        <f>Rates!AH176</f>
        <v>-0.31995189662832124</v>
      </c>
      <c r="AC29" s="141">
        <f>Rates!AI176</f>
        <v>-0.31995189662832124</v>
      </c>
      <c r="AD29" s="141">
        <f>Rates!AJ176</f>
        <v>-0.31995189662832124</v>
      </c>
      <c r="AE29" s="141">
        <f>Rates!AK176</f>
        <v>-0.31995189662832124</v>
      </c>
      <c r="AF29" s="526">
        <f t="shared" ref="AF29:AF37" si="2">SUMPRODUCT(T$7:AE$7,T29:AE29)/AF$7</f>
        <v>-0.57028182166755392</v>
      </c>
      <c r="AG29" s="124">
        <f>Rates!AM176</f>
        <v>-0.31995189662832124</v>
      </c>
      <c r="AH29" s="124">
        <f>Rates!AN176</f>
        <v>1.0340520374622204</v>
      </c>
      <c r="AI29" s="124">
        <f>Rates!AO176</f>
        <v>0.98724368665736029</v>
      </c>
      <c r="AJ29" s="124">
        <f>Rates!AP176</f>
        <v>0.98100747577917535</v>
      </c>
      <c r="AK29" s="124">
        <f>Rates!AQ176</f>
        <v>1.0689326218597828</v>
      </c>
      <c r="AL29" s="124">
        <f>Rates!AR176</f>
        <v>1.0603839309684941</v>
      </c>
      <c r="AM29" s="124">
        <f>Rates!AS176</f>
        <v>1.0459570615534537</v>
      </c>
      <c r="AN29" s="124">
        <f>Rates!AT176</f>
        <v>1.1348643260993998</v>
      </c>
      <c r="AO29" s="124">
        <f>Rates!AU176</f>
        <v>1.1228930852424654</v>
      </c>
      <c r="AP29" s="124">
        <f>Rates!AV176</f>
        <v>1.112034742502348</v>
      </c>
      <c r="AQ29" s="124">
        <f>Rates!AW176</f>
        <v>1.1974052163063931</v>
      </c>
      <c r="AR29" s="130"/>
      <c r="AS29" s="130"/>
    </row>
    <row r="30" spans="1:45" s="114" customFormat="1">
      <c r="A30" s="422">
        <f t="shared" si="1"/>
        <v>28</v>
      </c>
      <c r="B30" s="126" t="s">
        <v>231</v>
      </c>
      <c r="C30" s="141"/>
      <c r="D30" s="141"/>
      <c r="E30" s="141">
        <v>2.89</v>
      </c>
      <c r="F30" s="524"/>
      <c r="G30" s="141">
        <f>Rates!M178</f>
        <v>3.7963383636932448</v>
      </c>
      <c r="H30" s="141">
        <f>Rates!N178</f>
        <v>3.9251281468845747</v>
      </c>
      <c r="I30" s="141">
        <f>Rates!O178</f>
        <v>3.9177526208667715</v>
      </c>
      <c r="J30" s="141">
        <f>Rates!P178</f>
        <v>3.9583829858781563</v>
      </c>
      <c r="K30" s="141">
        <f>Rates!Q178</f>
        <v>3.9650535434312602</v>
      </c>
      <c r="L30" s="141">
        <f>Rates!R178</f>
        <v>4.1057147400882172</v>
      </c>
      <c r="M30" s="141">
        <f>Rates!S178</f>
        <v>4.6280961821621247</v>
      </c>
      <c r="N30" s="141">
        <f>Rates!T178</f>
        <v>4.2085144107267354</v>
      </c>
      <c r="O30" s="141">
        <f>Rates!U178</f>
        <v>4.6894785183502243</v>
      </c>
      <c r="P30" s="141">
        <f>Rates!V178</f>
        <v>4.4699835305300013</v>
      </c>
      <c r="Q30" s="141">
        <f>Rates!W178</f>
        <v>4.5930663428745611</v>
      </c>
      <c r="R30" s="141">
        <f>Rates!X178</f>
        <v>4.6583515678101328</v>
      </c>
      <c r="S30" s="526">
        <f>SUMPRODUCT(G$7:R$7,G30:R30)/S$7</f>
        <v>4.2467073131519903</v>
      </c>
      <c r="T30" s="141">
        <f>Rates!Z178</f>
        <v>4.8866856798061171</v>
      </c>
      <c r="U30" s="141">
        <f>Rates!AA178</f>
        <v>5.0551684882073182</v>
      </c>
      <c r="V30" s="141">
        <f>Rates!AB178</f>
        <v>5.2005594622076536</v>
      </c>
      <c r="W30" s="141">
        <f>Rates!AC178</f>
        <v>5.3225046534309719</v>
      </c>
      <c r="X30" s="141">
        <f>Rates!AD178</f>
        <v>5.4315731102566787</v>
      </c>
      <c r="Y30" s="141">
        <f>Rates!AE178</f>
        <v>5.6299815605481953</v>
      </c>
      <c r="Z30" s="141">
        <f>Rates!AF178</f>
        <v>5.6517894361783796</v>
      </c>
      <c r="AA30" s="141">
        <f>Rates!AG178</f>
        <v>5.690344155591383</v>
      </c>
      <c r="AB30" s="141">
        <f>Rates!AH178</f>
        <v>5.7617463416336498</v>
      </c>
      <c r="AC30" s="141">
        <f>Rates!AI178</f>
        <v>5.3798392292094768</v>
      </c>
      <c r="AD30" s="141">
        <f>Rates!AJ178</f>
        <v>5.424671823074668</v>
      </c>
      <c r="AE30" s="141">
        <f>Rates!AK178</f>
        <v>5.4400767169142874</v>
      </c>
      <c r="AF30" s="526">
        <f t="shared" si="2"/>
        <v>5.4048400049679719</v>
      </c>
      <c r="AG30" s="124">
        <f>Rates!AM178</f>
        <v>6.4429337942454907</v>
      </c>
      <c r="AH30" s="124">
        <f>Rates!AN178</f>
        <v>6.9344556727440256</v>
      </c>
      <c r="AI30" s="124">
        <f>Rates!AO178</f>
        <v>8.1711410789152517</v>
      </c>
      <c r="AJ30" s="124">
        <f>Rates!AP178</f>
        <v>9.089843981659989</v>
      </c>
      <c r="AK30" s="124">
        <f>Rates!AQ178</f>
        <v>9.6600154495524251</v>
      </c>
      <c r="AL30" s="124">
        <f>Rates!AR178</f>
        <v>11.262019941767477</v>
      </c>
      <c r="AM30" s="124">
        <f>Rates!AS178</f>
        <v>12.718998434024591</v>
      </c>
      <c r="AN30" s="124">
        <f>Rates!AT178</f>
        <v>13.973213946999408</v>
      </c>
      <c r="AO30" s="124">
        <f>Rates!AU178</f>
        <v>15.594056537842711</v>
      </c>
      <c r="AP30" s="124">
        <f>Rates!AV178</f>
        <v>16.312925925514492</v>
      </c>
      <c r="AQ30" s="124">
        <f>Rates!AW178</f>
        <v>19.349098915653869</v>
      </c>
      <c r="AR30" s="130"/>
      <c r="AS30" s="130"/>
    </row>
    <row r="31" spans="1:45" s="114" customFormat="1">
      <c r="A31" s="422">
        <f t="shared" si="1"/>
        <v>29</v>
      </c>
      <c r="B31" s="126" t="s">
        <v>232</v>
      </c>
      <c r="C31" s="141"/>
      <c r="D31" s="141"/>
      <c r="E31" s="141">
        <v>2.25</v>
      </c>
      <c r="F31" s="524"/>
      <c r="G31" s="141">
        <f>Rates!M179</f>
        <v>3.1716008942705818</v>
      </c>
      <c r="H31" s="141">
        <f>Rates!N179</f>
        <v>3.2516177651844176</v>
      </c>
      <c r="I31" s="141">
        <f>Rates!O179</f>
        <v>3.2867814766008636</v>
      </c>
      <c r="J31" s="141">
        <f>Rates!P179</f>
        <v>3.0664376898739589</v>
      </c>
      <c r="K31" s="141">
        <f>Rates!Q179</f>
        <v>3.2114127880318817</v>
      </c>
      <c r="L31" s="141">
        <f>Rates!R179</f>
        <v>3.1903880663020314</v>
      </c>
      <c r="M31" s="141">
        <f>Rates!S179</f>
        <v>3.0324515301554542</v>
      </c>
      <c r="N31" s="141">
        <f>Rates!T179</f>
        <v>3.6736420697614207</v>
      </c>
      <c r="O31" s="141">
        <f>Rates!U179</f>
        <v>4.3494677537455511</v>
      </c>
      <c r="P31" s="141">
        <f>Rates!V179</f>
        <v>4.1292081857888565</v>
      </c>
      <c r="Q31" s="141">
        <f>Rates!W179</f>
        <v>3.7169998578352357</v>
      </c>
      <c r="R31" s="141">
        <f>Rates!X179</f>
        <v>3.4175989362609904</v>
      </c>
      <c r="S31" s="526">
        <f t="shared" ref="S31:S37" si="3">SUMPRODUCT(G$7:R$7,G31:R31)/S$7</f>
        <v>3.4344456346191237</v>
      </c>
      <c r="T31" s="141">
        <f>Rates!Z179</f>
        <v>3.7265445363547869</v>
      </c>
      <c r="U31" s="141">
        <f>Rates!AA179</f>
        <v>3.8787078339803682</v>
      </c>
      <c r="V31" s="141">
        <f>Rates!AB179</f>
        <v>3.6717318384035744</v>
      </c>
      <c r="W31" s="141">
        <f>Rates!AC179</f>
        <v>3.9876040463156892</v>
      </c>
      <c r="X31" s="141">
        <f>Rates!AD179</f>
        <v>3.9441644219119927</v>
      </c>
      <c r="Y31" s="141">
        <f>Rates!AE179</f>
        <v>3.8736173167602712</v>
      </c>
      <c r="Z31" s="141">
        <f>Rates!AF179</f>
        <v>3.700551469842623</v>
      </c>
      <c r="AA31" s="141">
        <f>Rates!AG179</f>
        <v>4.5535475651693043</v>
      </c>
      <c r="AB31" s="141">
        <f>Rates!AH179</f>
        <v>5.3544830264802865</v>
      </c>
      <c r="AC31" s="141">
        <f>Rates!AI179</f>
        <v>5.1019312871038807</v>
      </c>
      <c r="AD31" s="141">
        <f>Rates!AJ179</f>
        <v>4.6479825071632437</v>
      </c>
      <c r="AE31" s="141">
        <f>Rates!AK179</f>
        <v>4.2190082620016724</v>
      </c>
      <c r="AF31" s="526">
        <f t="shared" si="2"/>
        <v>4.1847797672373224</v>
      </c>
      <c r="AG31" s="124">
        <f>Rates!AM179</f>
        <v>5.201019736123552</v>
      </c>
      <c r="AH31" s="124">
        <f>Rates!AN179</f>
        <v>5.4894471129056619</v>
      </c>
      <c r="AI31" s="124">
        <f>Rates!AO179</f>
        <v>5.568374913728201</v>
      </c>
      <c r="AJ31" s="124">
        <f>Rates!AP179</f>
        <v>5.6360879902848682</v>
      </c>
      <c r="AK31" s="124">
        <f>Rates!AQ179</f>
        <v>5.7014712995706232</v>
      </c>
      <c r="AL31" s="124">
        <f>Rates!AR179</f>
        <v>5.4309972122314019</v>
      </c>
      <c r="AM31" s="124">
        <f>Rates!AS179</f>
        <v>5.216122612612426</v>
      </c>
      <c r="AN31" s="124">
        <f>Rates!AT179</f>
        <v>5.3478965715691151</v>
      </c>
      <c r="AO31" s="124">
        <f>Rates!AU179</f>
        <v>5.5137202453999388</v>
      </c>
      <c r="AP31" s="124">
        <f>Rates!AV179</f>
        <v>5.5837821652791719</v>
      </c>
      <c r="AQ31" s="124">
        <f>Rates!AW179</f>
        <v>5.7348489131511311</v>
      </c>
      <c r="AR31" s="130"/>
      <c r="AS31" s="130"/>
    </row>
    <row r="32" spans="1:45" s="114" customFormat="1">
      <c r="A32" s="422">
        <f t="shared" si="1"/>
        <v>30</v>
      </c>
      <c r="B32" s="126" t="s">
        <v>236</v>
      </c>
      <c r="C32" s="156"/>
      <c r="D32" s="156"/>
      <c r="E32" s="156">
        <v>-4.2</v>
      </c>
      <c r="F32" s="528"/>
      <c r="G32" s="156">
        <f>Rates!M180</f>
        <v>-3.5419987678431255</v>
      </c>
      <c r="H32" s="156">
        <f>Rates!N180</f>
        <v>-3.8534978053181028</v>
      </c>
      <c r="I32" s="156">
        <f>Rates!O180</f>
        <v>-4.3303966389368087</v>
      </c>
      <c r="J32" s="156">
        <f>Rates!P180</f>
        <v>-5.048932403708319</v>
      </c>
      <c r="K32" s="156">
        <f>Rates!Q180</f>
        <v>-4.7533128779436753</v>
      </c>
      <c r="L32" s="156">
        <f>Rates!R180</f>
        <v>-3.8706361659587825</v>
      </c>
      <c r="M32" s="156">
        <f>Rates!S180</f>
        <v>-3.5315807075026906</v>
      </c>
      <c r="N32" s="156">
        <f>Rates!T180</f>
        <v>-2.8660062033734497</v>
      </c>
      <c r="O32" s="156">
        <f>Rates!U180</f>
        <v>-1.9099490423013319</v>
      </c>
      <c r="P32" s="156">
        <f>Rates!V180</f>
        <v>-2.1420632362953818</v>
      </c>
      <c r="Q32" s="156">
        <f>Rates!W180</f>
        <v>-1.9063198549526461</v>
      </c>
      <c r="R32" s="156">
        <f>Rates!X180</f>
        <v>-1.5368370338124206</v>
      </c>
      <c r="S32" s="528">
        <f t="shared" si="3"/>
        <v>-3.2320043198286688</v>
      </c>
      <c r="T32" s="156">
        <f>Rates!Z180</f>
        <v>-1.5004831843630528</v>
      </c>
      <c r="U32" s="156">
        <f>Rates!AA180</f>
        <v>-1.6368182323109093</v>
      </c>
      <c r="V32" s="156">
        <f>Rates!AB180</f>
        <v>-1.8398813480720406</v>
      </c>
      <c r="W32" s="156">
        <f>Rates!AC180</f>
        <v>-2.1467870053988767</v>
      </c>
      <c r="X32" s="156">
        <f>Rates!AD180</f>
        <v>-2.0202342508791742</v>
      </c>
      <c r="Y32" s="156">
        <f>Rates!AE180</f>
        <v>-1.6435781306420623</v>
      </c>
      <c r="Z32" s="156">
        <f>Rates!AF180</f>
        <v>-1.5106951013206491</v>
      </c>
      <c r="AA32" s="156">
        <f>Rates!AG180</f>
        <v>-1.5579589524549675</v>
      </c>
      <c r="AB32" s="156">
        <f>Rates!AH180</f>
        <v>-1.888516000997958</v>
      </c>
      <c r="AC32" s="156">
        <f>Rates!AI180</f>
        <v>-2.1193805839546793</v>
      </c>
      <c r="AD32" s="156">
        <f>Rates!AJ180</f>
        <v>-1.8850186614847981</v>
      </c>
      <c r="AE32" s="156">
        <f>Rates!AK180</f>
        <v>-1.5183662190185225</v>
      </c>
      <c r="AF32" s="528">
        <f t="shared" si="2"/>
        <v>-1.7322366559593299</v>
      </c>
      <c r="AG32" s="127">
        <f>Rates!AM180</f>
        <v>-1.7270976087488248</v>
      </c>
      <c r="AH32" s="127">
        <f>Rates!AN180</f>
        <v>-1.7100561832913621</v>
      </c>
      <c r="AI32" s="127">
        <f>Rates!AO180</f>
        <v>-2.1941616088628115</v>
      </c>
      <c r="AJ32" s="127">
        <f>Rates!AP180</f>
        <v>-2.3243394891963254</v>
      </c>
      <c r="AK32" s="127">
        <f>Rates!AQ180</f>
        <v>-2.3064338386218677</v>
      </c>
      <c r="AL32" s="127">
        <f>Rates!AR180</f>
        <v>-2.2870896642681657</v>
      </c>
      <c r="AM32" s="127">
        <f>Rates!AS180</f>
        <v>-2.2622949474014744</v>
      </c>
      <c r="AN32" s="127">
        <f>Rates!AT180</f>
        <v>-2.2398610526860865</v>
      </c>
      <c r="AO32" s="127">
        <f>Rates!AU180</f>
        <v>-2.2174078410732232</v>
      </c>
      <c r="AP32" s="127">
        <f>Rates!AV180</f>
        <v>-2.197370348866766</v>
      </c>
      <c r="AQ32" s="127">
        <f>Rates!AW180</f>
        <v>-2.172887928901718</v>
      </c>
      <c r="AR32" s="130"/>
      <c r="AS32" s="130"/>
    </row>
    <row r="33" spans="1:45" s="114" customFormat="1">
      <c r="A33" s="422">
        <f t="shared" si="1"/>
        <v>31</v>
      </c>
      <c r="B33" s="486" t="s">
        <v>131</v>
      </c>
      <c r="C33" s="141"/>
      <c r="D33" s="141"/>
      <c r="E33" s="141">
        <f>SUM(E29:E32)</f>
        <v>-0.20000000000000018</v>
      </c>
      <c r="F33" s="524"/>
      <c r="G33" s="141">
        <f>Rates!M181</f>
        <v>3.4259404901207011</v>
      </c>
      <c r="H33" s="141">
        <f>Rates!N181</f>
        <v>3.3232481067508894</v>
      </c>
      <c r="I33" s="141">
        <f>Rates!O181</f>
        <v>2.8741374585308259</v>
      </c>
      <c r="J33" s="141">
        <f>Rates!P181</f>
        <v>1.9758882720437967</v>
      </c>
      <c r="K33" s="141">
        <f>Rates!Q181</f>
        <v>2.4231534535194665</v>
      </c>
      <c r="L33" s="141">
        <f>Rates!R181</f>
        <v>3.4254666404314658</v>
      </c>
      <c r="M33" s="141">
        <f>Rates!S181</f>
        <v>4.1289670048148874</v>
      </c>
      <c r="N33" s="141">
        <f>Rates!T181</f>
        <v>5.016150277114706</v>
      </c>
      <c r="O33" s="141">
        <f>Rates!U181</f>
        <v>7.1289972297944431</v>
      </c>
      <c r="P33" s="141">
        <f>Rates!V181</f>
        <v>6.4571284800234761</v>
      </c>
      <c r="Q33" s="141">
        <f>Rates!W181</f>
        <v>6.40374634575715</v>
      </c>
      <c r="R33" s="141">
        <f>Rates!X181</f>
        <v>6.5391134702587026</v>
      </c>
      <c r="S33" s="526">
        <f t="shared" si="3"/>
        <v>4.4491486279424457</v>
      </c>
      <c r="T33" s="141">
        <f>Rates!Z181</f>
        <v>7.1127470317978512</v>
      </c>
      <c r="U33" s="141">
        <f>Rates!AA181</f>
        <v>7.297058089876777</v>
      </c>
      <c r="V33" s="141">
        <f>Rates!AB181</f>
        <v>7.0324099525391865</v>
      </c>
      <c r="W33" s="141">
        <f>Rates!AC181</f>
        <v>7.1633216943477835</v>
      </c>
      <c r="X33" s="141">
        <f>Rates!AD181</f>
        <v>7.3555032812894972</v>
      </c>
      <c r="Y33" s="141">
        <f>Rates!AE181</f>
        <v>7.8600207466664038</v>
      </c>
      <c r="Z33" s="141">
        <f>Rates!AF181</f>
        <v>7.8416458047003532</v>
      </c>
      <c r="AA33" s="141">
        <f>Rates!AG181</f>
        <v>8.6859327683057188</v>
      </c>
      <c r="AB33" s="141">
        <f>Rates!AH181</f>
        <v>9.2277133671159781</v>
      </c>
      <c r="AC33" s="141">
        <f>Rates!AI181</f>
        <v>8.3623899323586777</v>
      </c>
      <c r="AD33" s="141">
        <f>Rates!AJ181</f>
        <v>8.1876356687531135</v>
      </c>
      <c r="AE33" s="141">
        <f>Rates!AK181</f>
        <v>8.1407187598974371</v>
      </c>
      <c r="AF33" s="526">
        <f t="shared" si="2"/>
        <v>7.8573831162459662</v>
      </c>
      <c r="AG33" s="124">
        <f>Rates!AM181</f>
        <v>9.9168559216202183</v>
      </c>
      <c r="AH33" s="124">
        <f>Rates!AN181</f>
        <v>10.713846602358325</v>
      </c>
      <c r="AI33" s="124">
        <f>Rates!AO181</f>
        <v>11.545354383780641</v>
      </c>
      <c r="AJ33" s="124">
        <f>Rates!AP181</f>
        <v>12.40159248274853</v>
      </c>
      <c r="AK33" s="124">
        <f>Rates!AQ181</f>
        <v>13.055052910501182</v>
      </c>
      <c r="AL33" s="124">
        <f>Rates!AR181</f>
        <v>14.405927489730715</v>
      </c>
      <c r="AM33" s="124">
        <f>Rates!AS181</f>
        <v>15.672826099235543</v>
      </c>
      <c r="AN33" s="124">
        <f>Rates!AT181</f>
        <v>17.081249465882436</v>
      </c>
      <c r="AO33" s="124">
        <f>Rates!AU181</f>
        <v>18.890368942169424</v>
      </c>
      <c r="AP33" s="124">
        <f>Rates!AV181</f>
        <v>19.699337741926897</v>
      </c>
      <c r="AQ33" s="124">
        <f>Rates!AW181</f>
        <v>22.911059899903282</v>
      </c>
      <c r="AR33" s="130"/>
      <c r="AS33" s="130"/>
    </row>
    <row r="34" spans="1:45" s="114" customFormat="1">
      <c r="A34" s="422">
        <f t="shared" si="1"/>
        <v>32</v>
      </c>
      <c r="B34" s="122" t="s">
        <v>146</v>
      </c>
      <c r="C34" s="141"/>
      <c r="D34" s="141"/>
      <c r="E34" s="141">
        <v>-6.12</v>
      </c>
      <c r="F34" s="524"/>
      <c r="G34" s="141">
        <f>Rates!M182</f>
        <v>-7.6379404901207009</v>
      </c>
      <c r="H34" s="141">
        <f>Rates!N182</f>
        <v>-7.5352481067508892</v>
      </c>
      <c r="I34" s="141">
        <f>Rates!O182</f>
        <v>-7.0861374585308257</v>
      </c>
      <c r="J34" s="141">
        <f>Rates!P182</f>
        <v>-6.1878882720437964</v>
      </c>
      <c r="K34" s="141">
        <f>Rates!Q182</f>
        <v>-6.6351534535194663</v>
      </c>
      <c r="L34" s="141">
        <f>Rates!R182</f>
        <v>-7.6374666404314659</v>
      </c>
      <c r="M34" s="141">
        <f>Rates!S182</f>
        <v>-7.3409670048148872</v>
      </c>
      <c r="N34" s="141">
        <f>Rates!T182</f>
        <v>-8.2281502771147057</v>
      </c>
      <c r="O34" s="141">
        <f>Rates!U182</f>
        <v>-10.340997229794443</v>
      </c>
      <c r="P34" s="141">
        <f>Rates!V182</f>
        <v>-9.6691284800234758</v>
      </c>
      <c r="Q34" s="141">
        <f>Rates!W182</f>
        <v>-9.6157463457571488</v>
      </c>
      <c r="R34" s="141">
        <f>Rates!X182</f>
        <v>-9.7511134702587015</v>
      </c>
      <c r="S34" s="526">
        <f t="shared" si="3"/>
        <v>-8.1486186984453433</v>
      </c>
      <c r="T34" s="141">
        <f>Rates!Z182</f>
        <v>-10.324747031797852</v>
      </c>
      <c r="U34" s="141">
        <f>Rates!AA182</f>
        <v>-10.509058089876778</v>
      </c>
      <c r="V34" s="141">
        <f>Rates!AB182</f>
        <v>-10.244409952539186</v>
      </c>
      <c r="W34" s="141">
        <f>Rates!AC182</f>
        <v>-10.375321694347782</v>
      </c>
      <c r="X34" s="141">
        <f>Rates!AD182</f>
        <v>-10.567503281289497</v>
      </c>
      <c r="Y34" s="141">
        <f>Rates!AE182</f>
        <v>-11.072020746666404</v>
      </c>
      <c r="Z34" s="141">
        <f>Rates!AF182</f>
        <v>-9.0536458047003521</v>
      </c>
      <c r="AA34" s="141">
        <f>Rates!AG182</f>
        <v>-9.8979327683057186</v>
      </c>
      <c r="AB34" s="141">
        <f>Rates!AH182</f>
        <v>-10.439713367115978</v>
      </c>
      <c r="AC34" s="141">
        <f>Rates!AI182</f>
        <v>-9.5743899323586774</v>
      </c>
      <c r="AD34" s="141">
        <f>Rates!AJ182</f>
        <v>-9.3996356687531133</v>
      </c>
      <c r="AE34" s="141">
        <f>Rates!AK182</f>
        <v>-9.3527187598974368</v>
      </c>
      <c r="AF34" s="526">
        <f t="shared" si="2"/>
        <v>-10.044311182877948</v>
      </c>
      <c r="AG34" s="124">
        <f>Rates!AM182</f>
        <v>-6.2570983071537754</v>
      </c>
      <c r="AH34" s="124">
        <f>Rates!AN182</f>
        <v>0</v>
      </c>
      <c r="AI34" s="124">
        <f>Rates!AO182</f>
        <v>0</v>
      </c>
      <c r="AJ34" s="124">
        <f>Rates!AP182</f>
        <v>0</v>
      </c>
      <c r="AK34" s="124">
        <f>Rates!AQ182</f>
        <v>0</v>
      </c>
      <c r="AL34" s="124">
        <f>Rates!AR182</f>
        <v>0</v>
      </c>
      <c r="AM34" s="124">
        <f>Rates!AS182</f>
        <v>0</v>
      </c>
      <c r="AN34" s="124">
        <f>Rates!AT182</f>
        <v>0</v>
      </c>
      <c r="AO34" s="124">
        <f>Rates!AU182</f>
        <v>0</v>
      </c>
      <c r="AP34" s="124">
        <f>Rates!AV182</f>
        <v>0</v>
      </c>
      <c r="AQ34" s="124">
        <f>Rates!AW182</f>
        <v>0</v>
      </c>
      <c r="AR34" s="130"/>
      <c r="AS34" s="130"/>
    </row>
    <row r="35" spans="1:45" s="114" customFormat="1">
      <c r="A35" s="422">
        <f t="shared" si="1"/>
        <v>33</v>
      </c>
      <c r="B35" s="122" t="s">
        <v>639</v>
      </c>
      <c r="C35" s="141"/>
      <c r="D35" s="141"/>
      <c r="E35" s="141">
        <v>0</v>
      </c>
      <c r="F35" s="524"/>
      <c r="G35" s="141">
        <f>Rates!M183</f>
        <v>0</v>
      </c>
      <c r="H35" s="141">
        <f>Rates!N183</f>
        <v>0</v>
      </c>
      <c r="I35" s="141">
        <f>Rates!O183</f>
        <v>0</v>
      </c>
      <c r="J35" s="141">
        <f>Rates!P183</f>
        <v>0</v>
      </c>
      <c r="K35" s="141">
        <f>Rates!Q183</f>
        <v>0</v>
      </c>
      <c r="L35" s="141">
        <f>Rates!R183</f>
        <v>0</v>
      </c>
      <c r="M35" s="141">
        <f>Rates!S183</f>
        <v>0</v>
      </c>
      <c r="N35" s="141">
        <f>Rates!T183</f>
        <v>0</v>
      </c>
      <c r="O35" s="141">
        <f>Rates!U183</f>
        <v>0</v>
      </c>
      <c r="P35" s="141">
        <f>Rates!V183</f>
        <v>0</v>
      </c>
      <c r="Q35" s="141">
        <f>Rates!W183</f>
        <v>0</v>
      </c>
      <c r="R35" s="141">
        <f>Rates!X183</f>
        <v>0</v>
      </c>
      <c r="S35" s="526">
        <f t="shared" si="3"/>
        <v>0</v>
      </c>
      <c r="T35" s="141">
        <f>Rates!Z183</f>
        <v>0</v>
      </c>
      <c r="U35" s="141">
        <f>Rates!AA183</f>
        <v>0</v>
      </c>
      <c r="V35" s="141">
        <f>Rates!AB183</f>
        <v>0</v>
      </c>
      <c r="W35" s="141">
        <f>Rates!AC183</f>
        <v>0</v>
      </c>
      <c r="X35" s="141">
        <f>Rates!AD183</f>
        <v>0</v>
      </c>
      <c r="Y35" s="141">
        <f>Rates!AE183</f>
        <v>0</v>
      </c>
      <c r="Z35" s="141">
        <f>Rates!AF183</f>
        <v>0</v>
      </c>
      <c r="AA35" s="141">
        <f>Rates!AG183</f>
        <v>0</v>
      </c>
      <c r="AB35" s="141">
        <f>Rates!AH183</f>
        <v>0</v>
      </c>
      <c r="AC35" s="141">
        <f>Rates!AI183</f>
        <v>0</v>
      </c>
      <c r="AD35" s="141">
        <f>Rates!AJ183</f>
        <v>0</v>
      </c>
      <c r="AE35" s="141">
        <f>Rates!AK183</f>
        <v>0</v>
      </c>
      <c r="AF35" s="526">
        <f t="shared" si="2"/>
        <v>0</v>
      </c>
      <c r="AG35" s="124">
        <f>Rates!AM183</f>
        <v>-4.8717576144664427</v>
      </c>
      <c r="AH35" s="124">
        <f>Rates!AN183</f>
        <v>-11.925846602358325</v>
      </c>
      <c r="AI35" s="124">
        <f>Rates!AO183</f>
        <v>-10.563227368576142</v>
      </c>
      <c r="AJ35" s="124">
        <f>Rates!AP183</f>
        <v>0</v>
      </c>
      <c r="AK35" s="124">
        <f>Rates!AQ183</f>
        <v>0</v>
      </c>
      <c r="AL35" s="124">
        <f>Rates!AR183</f>
        <v>0</v>
      </c>
      <c r="AM35" s="124">
        <f>Rates!AS183</f>
        <v>0</v>
      </c>
      <c r="AN35" s="124">
        <f>Rates!AT183</f>
        <v>0</v>
      </c>
      <c r="AO35" s="124">
        <f>Rates!AU183</f>
        <v>0</v>
      </c>
      <c r="AP35" s="124">
        <f>Rates!AV183</f>
        <v>0</v>
      </c>
      <c r="AQ35" s="124">
        <f>Rates!AW183</f>
        <v>0</v>
      </c>
      <c r="AR35" s="130"/>
      <c r="AS35" s="130"/>
    </row>
    <row r="36" spans="1:45" s="114" customFormat="1">
      <c r="A36" s="422">
        <f t="shared" si="1"/>
        <v>34</v>
      </c>
      <c r="B36" s="122" t="s">
        <v>160</v>
      </c>
      <c r="C36" s="141"/>
      <c r="D36" s="141"/>
      <c r="E36" s="141">
        <v>0</v>
      </c>
      <c r="F36" s="524"/>
      <c r="G36" s="141">
        <f>Rates!M184</f>
        <v>0</v>
      </c>
      <c r="H36" s="141">
        <f>Rates!N184</f>
        <v>0</v>
      </c>
      <c r="I36" s="141">
        <f>Rates!O184</f>
        <v>0</v>
      </c>
      <c r="J36" s="141">
        <f>Rates!P184</f>
        <v>0</v>
      </c>
      <c r="K36" s="141">
        <f>Rates!Q184</f>
        <v>0</v>
      </c>
      <c r="L36" s="141">
        <f>Rates!R184</f>
        <v>0</v>
      </c>
      <c r="M36" s="141">
        <f>Rates!S184</f>
        <v>0</v>
      </c>
      <c r="N36" s="141">
        <f>Rates!T184</f>
        <v>0</v>
      </c>
      <c r="O36" s="141">
        <f>Rates!U184</f>
        <v>0</v>
      </c>
      <c r="P36" s="141">
        <f>Rates!V184</f>
        <v>0</v>
      </c>
      <c r="Q36" s="141">
        <f>Rates!W184</f>
        <v>0</v>
      </c>
      <c r="R36" s="141">
        <f>Rates!X184</f>
        <v>0</v>
      </c>
      <c r="S36" s="526">
        <f t="shared" si="3"/>
        <v>0</v>
      </c>
      <c r="T36" s="141">
        <f>Rates!Z184</f>
        <v>0</v>
      </c>
      <c r="U36" s="141">
        <f>Rates!AA184</f>
        <v>0</v>
      </c>
      <c r="V36" s="141">
        <f>Rates!AB184</f>
        <v>0</v>
      </c>
      <c r="W36" s="141">
        <f>Rates!AC184</f>
        <v>0</v>
      </c>
      <c r="X36" s="141">
        <f>Rates!AD184</f>
        <v>0</v>
      </c>
      <c r="Y36" s="141">
        <f>Rates!AE184</f>
        <v>0</v>
      </c>
      <c r="Z36" s="141">
        <f>Rates!AF184</f>
        <v>0</v>
      </c>
      <c r="AA36" s="141">
        <f>Rates!AG184</f>
        <v>0</v>
      </c>
      <c r="AB36" s="141">
        <f>Rates!AH184</f>
        <v>0</v>
      </c>
      <c r="AC36" s="141">
        <f>Rates!AI184</f>
        <v>0</v>
      </c>
      <c r="AD36" s="141">
        <f>Rates!AJ184</f>
        <v>0</v>
      </c>
      <c r="AE36" s="141">
        <f>Rates!AK184</f>
        <v>0</v>
      </c>
      <c r="AF36" s="526">
        <f t="shared" si="2"/>
        <v>0</v>
      </c>
      <c r="AG36" s="124">
        <f>Rates!AM184</f>
        <v>0</v>
      </c>
      <c r="AH36" s="124">
        <f>Rates!AN184</f>
        <v>0</v>
      </c>
      <c r="AI36" s="124">
        <f>Rates!AO184</f>
        <v>0</v>
      </c>
      <c r="AJ36" s="124">
        <f>Rates!AP184</f>
        <v>0</v>
      </c>
      <c r="AK36" s="124">
        <f>Rates!AQ184</f>
        <v>-0.3327625152637439</v>
      </c>
      <c r="AL36" s="124">
        <f>Rates!AR184</f>
        <v>-9.0619164144189952</v>
      </c>
      <c r="AM36" s="124">
        <f>Rates!AS184</f>
        <v>-13.057998330283063</v>
      </c>
      <c r="AN36" s="124">
        <f>Rates!AT184</f>
        <v>-13.567875291498778</v>
      </c>
      <c r="AO36" s="124">
        <f>Rates!AU184</f>
        <v>-10.36518903330656</v>
      </c>
      <c r="AP36" s="124">
        <f>Rates!AV184</f>
        <v>-7.5551275024524882</v>
      </c>
      <c r="AQ36" s="124">
        <f>Rates!AW184</f>
        <v>-5.5074485855882385</v>
      </c>
      <c r="AR36" s="130"/>
      <c r="AS36" s="130"/>
    </row>
    <row r="37" spans="1:45" s="114" customFormat="1" ht="15.75" thickBot="1">
      <c r="A37" s="422">
        <f t="shared" si="1"/>
        <v>35</v>
      </c>
      <c r="B37" s="122" t="s">
        <v>161</v>
      </c>
      <c r="C37" s="152"/>
      <c r="D37" s="152"/>
      <c r="E37" s="152">
        <f>SUM(E33:E36)+E26</f>
        <v>44.46</v>
      </c>
      <c r="F37" s="525"/>
      <c r="G37" s="152">
        <f>Rates!M185</f>
        <v>44.75930309360249</v>
      </c>
      <c r="H37" s="152">
        <f>Rates!N185</f>
        <v>46.183427902206084</v>
      </c>
      <c r="I37" s="152">
        <f>Rates!O185</f>
        <v>45.368686676840689</v>
      </c>
      <c r="J37" s="152">
        <f>Rates!P185</f>
        <v>45.248385615856293</v>
      </c>
      <c r="K37" s="152">
        <f>Rates!Q185</f>
        <v>45.707424444575878</v>
      </c>
      <c r="L37" s="152">
        <f>Rates!R185</f>
        <v>44.861094203383416</v>
      </c>
      <c r="M37" s="152">
        <f>Rates!S185</f>
        <v>44.441205335482039</v>
      </c>
      <c r="N37" s="152">
        <f>Rates!T185</f>
        <v>52.925314935964913</v>
      </c>
      <c r="O37" s="152">
        <f>Rates!U185</f>
        <v>65.54337811622851</v>
      </c>
      <c r="P37" s="152">
        <f>Rates!V185</f>
        <v>63.136009825996467</v>
      </c>
      <c r="Q37" s="152">
        <f>Rates!W185</f>
        <v>61.765613357216068</v>
      </c>
      <c r="R37" s="152">
        <f>Rates!X185</f>
        <v>60.22789192036106</v>
      </c>
      <c r="S37" s="525">
        <f t="shared" si="3"/>
        <v>51.353648145942195</v>
      </c>
      <c r="T37" s="152">
        <f>Rates!Z185</f>
        <v>62.822790257910782</v>
      </c>
      <c r="U37" s="152">
        <f>Rates!AA185</f>
        <v>65.363142133634071</v>
      </c>
      <c r="V37" s="152">
        <f>Rates!AB185</f>
        <v>63.909190342173545</v>
      </c>
      <c r="W37" s="152">
        <f>Rates!AC185</f>
        <v>63.694405682170533</v>
      </c>
      <c r="X37" s="152">
        <f>Rates!AD185</f>
        <v>64.479869864368737</v>
      </c>
      <c r="Y37" s="152">
        <f>Rates!AE185</f>
        <v>62.97122130712561</v>
      </c>
      <c r="Z37" s="152">
        <f>Rates!AF185</f>
        <v>62.441965154236854</v>
      </c>
      <c r="AA37" s="152">
        <f>Rates!AG185</f>
        <v>66.65999118720471</v>
      </c>
      <c r="AB37" s="152">
        <f>Rates!AH185</f>
        <v>67.852510853362617</v>
      </c>
      <c r="AC37" s="152">
        <f>Rates!AI185</f>
        <v>65.445797617775469</v>
      </c>
      <c r="AD37" s="152">
        <f>Rates!AJ185</f>
        <v>64.112140459664658</v>
      </c>
      <c r="AE37" s="152">
        <f>Rates!AK185</f>
        <v>62.574470792815866</v>
      </c>
      <c r="AF37" s="525">
        <f t="shared" si="2"/>
        <v>64.253165719838762</v>
      </c>
      <c r="AG37" s="125">
        <f>Rates!AM185</f>
        <v>65.451714794465062</v>
      </c>
      <c r="AH37" s="125">
        <f>Rates!AN185</f>
        <v>66.769597625155768</v>
      </c>
      <c r="AI37" s="125">
        <f>Rates!AO185</f>
        <v>68.884627779830467</v>
      </c>
      <c r="AJ37" s="125">
        <f>Rates!AP185</f>
        <v>80.277419292900305</v>
      </c>
      <c r="AK37" s="125">
        <f>Rates!AQ185</f>
        <v>80.666236899028263</v>
      </c>
      <c r="AL37" s="125">
        <f>Rates!AR185</f>
        <v>73.252097292285271</v>
      </c>
      <c r="AM37" s="125">
        <f>Rates!AS185</f>
        <v>70.480836996060759</v>
      </c>
      <c r="AN37" s="125">
        <f>Rates!AT185</f>
        <v>71.440507367889126</v>
      </c>
      <c r="AO37" s="125">
        <f>Rates!AU185</f>
        <v>76.412668694247458</v>
      </c>
      <c r="AP37" s="125">
        <f>Rates!AV185</f>
        <v>79.993137608031518</v>
      </c>
      <c r="AQ37" s="125">
        <f>Rates!AW185</f>
        <v>85.31102117491443</v>
      </c>
      <c r="AR37" s="130"/>
      <c r="AS37" s="130"/>
    </row>
    <row r="38" spans="1:45" s="114" customFormat="1" ht="15.75" thickTop="1">
      <c r="A38" s="422">
        <f t="shared" si="1"/>
        <v>36</v>
      </c>
      <c r="B38" s="128"/>
      <c r="C38" s="141"/>
      <c r="D38" s="141"/>
      <c r="E38" s="141"/>
      <c r="F38" s="524"/>
      <c r="G38" s="141"/>
      <c r="H38" s="141"/>
      <c r="I38" s="141"/>
      <c r="J38" s="141"/>
      <c r="K38" s="141"/>
      <c r="L38" s="141"/>
      <c r="M38" s="141"/>
      <c r="N38" s="141"/>
      <c r="O38" s="141"/>
      <c r="P38" s="574"/>
      <c r="Q38" s="141"/>
      <c r="R38" s="141"/>
      <c r="S38" s="524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5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30"/>
      <c r="AS38" s="130"/>
    </row>
    <row r="39" spans="1:45" s="114" customFormat="1" ht="15.75">
      <c r="A39" s="422">
        <f t="shared" si="1"/>
        <v>37</v>
      </c>
      <c r="B39" s="129" t="s">
        <v>134</v>
      </c>
      <c r="C39" s="141"/>
      <c r="D39" s="141"/>
      <c r="E39" s="141"/>
      <c r="F39" s="524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524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5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30"/>
      <c r="AS39" s="130"/>
    </row>
    <row r="40" spans="1:45" s="114" customFormat="1">
      <c r="A40" s="422">
        <f t="shared" si="1"/>
        <v>38</v>
      </c>
      <c r="B40" s="122" t="s">
        <v>140</v>
      </c>
      <c r="C40" s="296"/>
      <c r="D40" s="296"/>
      <c r="E40" s="296">
        <v>0.77080000000000004</v>
      </c>
      <c r="F40" s="527"/>
      <c r="G40" s="296">
        <f>Rates!M188</f>
        <v>0.75770500395213813</v>
      </c>
      <c r="H40" s="296">
        <f>Rates!N188</f>
        <v>0.79037002393257327</v>
      </c>
      <c r="I40" s="296">
        <f>Rates!O188</f>
        <v>0.7767788134817647</v>
      </c>
      <c r="J40" s="296">
        <f>Rates!P188</f>
        <v>0.76938819185897722</v>
      </c>
      <c r="K40" s="296">
        <f>Rates!Q188</f>
        <v>0.76721420857703027</v>
      </c>
      <c r="L40" s="296">
        <f>Rates!R188</f>
        <v>0.77063823780179175</v>
      </c>
      <c r="M40" s="296">
        <f>Rates!S188</f>
        <v>0.77876753353212469</v>
      </c>
      <c r="N40" s="296">
        <f>Rates!T188</f>
        <v>0.76936055053451791</v>
      </c>
      <c r="O40" s="296">
        <f>Rates!U188</f>
        <v>0.78198583999367954</v>
      </c>
      <c r="P40" s="296">
        <f>Rates!V188</f>
        <v>0.76554607794627294</v>
      </c>
      <c r="Q40" s="296">
        <f>Rates!W188</f>
        <v>0.77180334125545091</v>
      </c>
      <c r="R40" s="296">
        <f>Rates!X188</f>
        <v>0.76592920813990772</v>
      </c>
      <c r="S40" s="527">
        <f>Rates!Y188</f>
        <v>0.77202118335008796</v>
      </c>
      <c r="T40" s="296">
        <f>Rates!Z188</f>
        <v>0.75711587292408333</v>
      </c>
      <c r="U40" s="296">
        <f>Rates!AA188</f>
        <v>0.79037002393257327</v>
      </c>
      <c r="V40" s="296">
        <f>Rates!AB188</f>
        <v>0.7767788134817647</v>
      </c>
      <c r="W40" s="296">
        <f>Rates!AC188</f>
        <v>0.76938819185897722</v>
      </c>
      <c r="X40" s="296">
        <f>Rates!AD188</f>
        <v>0.76721420857703027</v>
      </c>
      <c r="Y40" s="296">
        <f>Rates!AE188</f>
        <v>0.77063823780179175</v>
      </c>
      <c r="Z40" s="296">
        <f>Rates!AF188</f>
        <v>0.77876753353212469</v>
      </c>
      <c r="AA40" s="296">
        <f>Rates!AG188</f>
        <v>0.76936055053451791</v>
      </c>
      <c r="AB40" s="296">
        <f>Rates!AH188</f>
        <v>0.78198583999367954</v>
      </c>
      <c r="AC40" s="296">
        <f>Rates!AI188</f>
        <v>0.76554607794627294</v>
      </c>
      <c r="AD40" s="296">
        <f>Rates!AJ188</f>
        <v>0.77180334125545091</v>
      </c>
      <c r="AE40" s="296">
        <f>Rates!AK188</f>
        <v>0.76592920813990772</v>
      </c>
      <c r="AF40" s="527">
        <f>Rates!AL188</f>
        <v>0.77197094724951576</v>
      </c>
      <c r="AG40" s="121">
        <f>Rates!AM188</f>
        <v>0.77197094724951598</v>
      </c>
      <c r="AH40" s="121">
        <f>Rates!AN188</f>
        <v>0.77019449787391903</v>
      </c>
      <c r="AI40" s="121">
        <f>Rates!AO188</f>
        <v>0.77197094724951609</v>
      </c>
      <c r="AJ40" s="121">
        <f>Rates!AP188</f>
        <v>0.77197094724951609</v>
      </c>
      <c r="AK40" s="121">
        <f>Rates!AQ188</f>
        <v>0.77197094724951609</v>
      </c>
      <c r="AL40" s="121">
        <f>Rates!AR188</f>
        <v>0.77019449787391914</v>
      </c>
      <c r="AM40" s="121">
        <f>Rates!AS188</f>
        <v>0.77197094724951609</v>
      </c>
      <c r="AN40" s="121">
        <f>Rates!AT188</f>
        <v>0.77197094724951609</v>
      </c>
      <c r="AO40" s="121">
        <f>Rates!AU188</f>
        <v>0.77197094724951609</v>
      </c>
      <c r="AP40" s="121">
        <f>Rates!AV188</f>
        <v>0.77019449787391914</v>
      </c>
      <c r="AQ40" s="121">
        <f>Rates!AW188</f>
        <v>0.77197094724951609</v>
      </c>
      <c r="AR40" s="903"/>
      <c r="AS40" s="903"/>
    </row>
    <row r="41" spans="1:45" s="114" customFormat="1">
      <c r="A41" s="422">
        <f t="shared" si="1"/>
        <v>39</v>
      </c>
      <c r="B41" s="123" t="s">
        <v>141</v>
      </c>
      <c r="C41" s="141"/>
      <c r="D41" s="141"/>
      <c r="E41" s="141">
        <v>10.5</v>
      </c>
      <c r="F41" s="524"/>
      <c r="G41" s="141">
        <f>Rates!M189</f>
        <v>10.5</v>
      </c>
      <c r="H41" s="141">
        <f>Rates!N189</f>
        <v>10.5</v>
      </c>
      <c r="I41" s="141">
        <f>Rates!O189</f>
        <v>10.5</v>
      </c>
      <c r="J41" s="141">
        <f>Rates!P189</f>
        <v>10.5</v>
      </c>
      <c r="K41" s="141">
        <f>Rates!Q189</f>
        <v>10.5</v>
      </c>
      <c r="L41" s="141">
        <f>Rates!R189</f>
        <v>10.5</v>
      </c>
      <c r="M41" s="141">
        <f>Rates!S189</f>
        <v>10.5</v>
      </c>
      <c r="N41" s="141">
        <f>Rates!T189</f>
        <v>11.177741935483871</v>
      </c>
      <c r="O41" s="141">
        <f>Rates!U189</f>
        <v>12.41</v>
      </c>
      <c r="P41" s="141">
        <f>Rates!V189</f>
        <v>12.41</v>
      </c>
      <c r="Q41" s="141">
        <f>Rates!W189</f>
        <v>12.41</v>
      </c>
      <c r="R41" s="141">
        <f>Rates!X189</f>
        <v>12.41</v>
      </c>
      <c r="S41" s="526">
        <f>SUMPRODUCT(G$8:R$8,G41:R41)/S$8</f>
        <v>11.190127308301436</v>
      </c>
      <c r="T41" s="141">
        <f>Rates!Z189</f>
        <v>12.41</v>
      </c>
      <c r="U41" s="141">
        <f>Rates!AA189</f>
        <v>12.41</v>
      </c>
      <c r="V41" s="141">
        <f>Rates!AB189</f>
        <v>12.41</v>
      </c>
      <c r="W41" s="141">
        <f>Rates!AC189</f>
        <v>12.41</v>
      </c>
      <c r="X41" s="141">
        <f>Rates!AD189</f>
        <v>12.41</v>
      </c>
      <c r="Y41" s="141">
        <f>Rates!AE189</f>
        <v>12.41</v>
      </c>
      <c r="Z41" s="141">
        <f>Rates!AF189</f>
        <v>12.41</v>
      </c>
      <c r="AA41" s="141">
        <f>Rates!AG189</f>
        <v>12.41</v>
      </c>
      <c r="AB41" s="141">
        <f>Rates!AH189</f>
        <v>12.41</v>
      </c>
      <c r="AC41" s="141">
        <f>Rates!AI189</f>
        <v>12.41</v>
      </c>
      <c r="AD41" s="141">
        <f>Rates!AJ189</f>
        <v>12.41</v>
      </c>
      <c r="AE41" s="141">
        <f>Rates!AK189</f>
        <v>12.41</v>
      </c>
      <c r="AF41" s="526">
        <f>SUMPRODUCT(T$8:AE$8,T41:AE41)/AF$8</f>
        <v>12.410000000000005</v>
      </c>
      <c r="AG41" s="124">
        <f>Rates!AM189</f>
        <v>12.41</v>
      </c>
      <c r="AH41" s="124">
        <f>Rates!AN189</f>
        <v>12.41</v>
      </c>
      <c r="AI41" s="124">
        <f>Rates!AO189</f>
        <v>12.41</v>
      </c>
      <c r="AJ41" s="124">
        <f>Rates!AP189</f>
        <v>12.41</v>
      </c>
      <c r="AK41" s="124">
        <f>Rates!AQ189</f>
        <v>12.41</v>
      </c>
      <c r="AL41" s="124">
        <f>Rates!AR189</f>
        <v>12.41</v>
      </c>
      <c r="AM41" s="124">
        <f>Rates!AS189</f>
        <v>12.41</v>
      </c>
      <c r="AN41" s="124">
        <f>Rates!AT189</f>
        <v>12.41</v>
      </c>
      <c r="AO41" s="124">
        <f>Rates!AU189</f>
        <v>12.41</v>
      </c>
      <c r="AP41" s="124">
        <f>Rates!AV189</f>
        <v>12.41</v>
      </c>
      <c r="AQ41" s="124">
        <f>Rates!AW189</f>
        <v>12.41</v>
      </c>
      <c r="AR41" s="130"/>
      <c r="AS41" s="130"/>
    </row>
    <row r="42" spans="1:45" s="114" customFormat="1">
      <c r="A42" s="422">
        <f t="shared" si="1"/>
        <v>40</v>
      </c>
      <c r="B42" s="123" t="s">
        <v>142</v>
      </c>
      <c r="C42" s="141"/>
      <c r="D42" s="141"/>
      <c r="E42" s="141">
        <v>24.504999999999999</v>
      </c>
      <c r="F42" s="524"/>
      <c r="G42" s="141">
        <f>Rates!M190</f>
        <v>24.504999999999999</v>
      </c>
      <c r="H42" s="141">
        <f>Rates!N190</f>
        <v>24.504999999999999</v>
      </c>
      <c r="I42" s="141">
        <f>Rates!O190</f>
        <v>24.504999999999999</v>
      </c>
      <c r="J42" s="141">
        <f>Rates!P190</f>
        <v>24.504999999999999</v>
      </c>
      <c r="K42" s="141">
        <f>Rates!Q190</f>
        <v>24.504999999999999</v>
      </c>
      <c r="L42" s="141">
        <f>Rates!R190</f>
        <v>24.504999999999999</v>
      </c>
      <c r="M42" s="141">
        <f>Rates!S190</f>
        <v>24.504999999999999</v>
      </c>
      <c r="N42" s="141">
        <f>Rates!T190</f>
        <v>26.454838709677418</v>
      </c>
      <c r="O42" s="141">
        <f>Rates!U190</f>
        <v>30</v>
      </c>
      <c r="P42" s="141">
        <f>Rates!V190</f>
        <v>30</v>
      </c>
      <c r="Q42" s="141">
        <f>Rates!W190</f>
        <v>30</v>
      </c>
      <c r="R42" s="141">
        <f>Rates!X190</f>
        <v>30</v>
      </c>
      <c r="S42" s="526">
        <f>SUMPRODUCT(G$8:R$8,G42:R42)/S$8</f>
        <v>26.490470973359361</v>
      </c>
      <c r="T42" s="141">
        <f>Rates!Z190</f>
        <v>30</v>
      </c>
      <c r="U42" s="141">
        <f>Rates!AA190</f>
        <v>30</v>
      </c>
      <c r="V42" s="141">
        <f>Rates!AB190</f>
        <v>30</v>
      </c>
      <c r="W42" s="141">
        <f>Rates!AC190</f>
        <v>30</v>
      </c>
      <c r="X42" s="141">
        <f>Rates!AD190</f>
        <v>30</v>
      </c>
      <c r="Y42" s="141">
        <f>Rates!AE190</f>
        <v>30</v>
      </c>
      <c r="Z42" s="141">
        <f>Rates!AF190</f>
        <v>30</v>
      </c>
      <c r="AA42" s="141">
        <f>Rates!AG190</f>
        <v>30</v>
      </c>
      <c r="AB42" s="141">
        <f>Rates!AH190</f>
        <v>30</v>
      </c>
      <c r="AC42" s="141">
        <f>Rates!AI190</f>
        <v>30</v>
      </c>
      <c r="AD42" s="141">
        <f>Rates!AJ190</f>
        <v>30</v>
      </c>
      <c r="AE42" s="141">
        <f>Rates!AK190</f>
        <v>30</v>
      </c>
      <c r="AF42" s="526">
        <f>SUMPRODUCT(T$8:AE$8,T42:AE42)/AF$8</f>
        <v>30.000000000000007</v>
      </c>
      <c r="AG42" s="124">
        <f>Rates!AM190</f>
        <v>30</v>
      </c>
      <c r="AH42" s="124">
        <f>Rates!AN190</f>
        <v>30</v>
      </c>
      <c r="AI42" s="124">
        <f>Rates!AO190</f>
        <v>30</v>
      </c>
      <c r="AJ42" s="124">
        <f>Rates!AP190</f>
        <v>30</v>
      </c>
      <c r="AK42" s="124">
        <f>Rates!AQ190</f>
        <v>30</v>
      </c>
      <c r="AL42" s="124">
        <f>Rates!AR190</f>
        <v>30</v>
      </c>
      <c r="AM42" s="124">
        <f>Rates!AS190</f>
        <v>30</v>
      </c>
      <c r="AN42" s="124">
        <f>Rates!AT190</f>
        <v>30</v>
      </c>
      <c r="AO42" s="124">
        <f>Rates!AU190</f>
        <v>30</v>
      </c>
      <c r="AP42" s="124">
        <f>Rates!AV190</f>
        <v>30</v>
      </c>
      <c r="AQ42" s="124">
        <f>Rates!AW190</f>
        <v>30</v>
      </c>
      <c r="AR42" s="130"/>
      <c r="AS42" s="130"/>
    </row>
    <row r="43" spans="1:45" s="114" customFormat="1">
      <c r="A43" s="422">
        <f t="shared" si="1"/>
        <v>41</v>
      </c>
      <c r="B43" s="123" t="s">
        <v>162</v>
      </c>
      <c r="C43" s="141"/>
      <c r="D43" s="141"/>
      <c r="E43" s="141">
        <v>0.22</v>
      </c>
      <c r="F43" s="524"/>
      <c r="G43" s="141">
        <f>Rates!M191</f>
        <v>0</v>
      </c>
      <c r="H43" s="141">
        <f>Rates!N191</f>
        <v>0</v>
      </c>
      <c r="I43" s="141">
        <f>Rates!O191</f>
        <v>0</v>
      </c>
      <c r="J43" s="141">
        <f>Rates!P191</f>
        <v>0</v>
      </c>
      <c r="K43" s="141">
        <f>Rates!Q191</f>
        <v>0</v>
      </c>
      <c r="L43" s="141">
        <f>Rates!R191</f>
        <v>0</v>
      </c>
      <c r="M43" s="141">
        <f>Rates!S191</f>
        <v>0</v>
      </c>
      <c r="N43" s="141">
        <f>Rates!T191</f>
        <v>0</v>
      </c>
      <c r="O43" s="141">
        <f>Rates!U191</f>
        <v>0</v>
      </c>
      <c r="P43" s="141">
        <f>Rates!V191</f>
        <v>0</v>
      </c>
      <c r="Q43" s="141">
        <f>Rates!W191</f>
        <v>0</v>
      </c>
      <c r="R43" s="141">
        <f>Rates!X191</f>
        <v>0</v>
      </c>
      <c r="S43" s="528">
        <f>SUMPRODUCT(G$8:R$8,G43:R43)/S$8</f>
        <v>0</v>
      </c>
      <c r="T43" s="141">
        <f>Rates!Z191</f>
        <v>0</v>
      </c>
      <c r="U43" s="141">
        <f>Rates!AA191</f>
        <v>0</v>
      </c>
      <c r="V43" s="141">
        <f>Rates!AB191</f>
        <v>0</v>
      </c>
      <c r="W43" s="141">
        <f>Rates!AC191</f>
        <v>0</v>
      </c>
      <c r="X43" s="141">
        <f>Rates!AD191</f>
        <v>0</v>
      </c>
      <c r="Y43" s="141">
        <f>Rates!AE191</f>
        <v>0</v>
      </c>
      <c r="Z43" s="141">
        <f>Rates!AF191</f>
        <v>0</v>
      </c>
      <c r="AA43" s="141">
        <f>Rates!AG191</f>
        <v>0</v>
      </c>
      <c r="AB43" s="141">
        <f>Rates!AH191</f>
        <v>0</v>
      </c>
      <c r="AC43" s="141">
        <f>Rates!AI191</f>
        <v>0</v>
      </c>
      <c r="AD43" s="141">
        <f>Rates!AJ191</f>
        <v>0</v>
      </c>
      <c r="AE43" s="141">
        <f>Rates!AK191</f>
        <v>0</v>
      </c>
      <c r="AF43" s="528">
        <f>SUMPRODUCT(T$8:AE$8,T43:AE43)/AF$8</f>
        <v>0</v>
      </c>
      <c r="AG43" s="124">
        <f>Rates!AM191</f>
        <v>0</v>
      </c>
      <c r="AH43" s="124">
        <f>Rates!AN191</f>
        <v>0</v>
      </c>
      <c r="AI43" s="124">
        <f>Rates!AO191</f>
        <v>0</v>
      </c>
      <c r="AJ43" s="124">
        <f>Rates!AP191</f>
        <v>0</v>
      </c>
      <c r="AK43" s="124">
        <f>Rates!AQ191</f>
        <v>0</v>
      </c>
      <c r="AL43" s="124">
        <f>Rates!AR191</f>
        <v>0</v>
      </c>
      <c r="AM43" s="124">
        <f>Rates!AS191</f>
        <v>0</v>
      </c>
      <c r="AN43" s="124">
        <f>Rates!AT191</f>
        <v>0</v>
      </c>
      <c r="AO43" s="124">
        <f>Rates!AU191</f>
        <v>0</v>
      </c>
      <c r="AP43" s="124">
        <f>Rates!AV191</f>
        <v>0</v>
      </c>
      <c r="AQ43" s="124">
        <f>Rates!AW191</f>
        <v>0</v>
      </c>
      <c r="AR43" s="130"/>
      <c r="AS43" s="130"/>
    </row>
    <row r="44" spans="1:45" s="114" customFormat="1" ht="15.75" thickBot="1">
      <c r="A44" s="422">
        <f t="shared" si="1"/>
        <v>42</v>
      </c>
      <c r="B44" s="122" t="s">
        <v>65</v>
      </c>
      <c r="C44" s="152"/>
      <c r="D44" s="152"/>
      <c r="E44" s="152">
        <f>43.17+0.22</f>
        <v>43.39</v>
      </c>
      <c r="F44" s="525"/>
      <c r="G44" s="152">
        <f>Rates!M192</f>
        <v>43.130854590103674</v>
      </c>
      <c r="H44" s="152">
        <f>Rates!N192</f>
        <v>44.27422141132844</v>
      </c>
      <c r="I44" s="152">
        <f>Rates!O192</f>
        <v>42.673496592418658</v>
      </c>
      <c r="J44" s="152">
        <f>Rates!P192</f>
        <v>43.459454315314396</v>
      </c>
      <c r="K44" s="152">
        <f>Rates!Q192</f>
        <v>42.899997209425997</v>
      </c>
      <c r="L44" s="152">
        <f>Rates!R192</f>
        <v>43.428708450973808</v>
      </c>
      <c r="M44" s="152">
        <f>Rates!S192</f>
        <v>42.627100136605506</v>
      </c>
      <c r="N44" s="152">
        <f>Rates!T192</f>
        <v>45.982544772901498</v>
      </c>
      <c r="O44" s="152">
        <f>Rates!U192</f>
        <v>52.041461916050075</v>
      </c>
      <c r="P44" s="152">
        <f>Rates!V192</f>
        <v>51.788508892409688</v>
      </c>
      <c r="Q44" s="152">
        <f>Rates!W192</f>
        <v>52.332257700613297</v>
      </c>
      <c r="R44" s="152">
        <f>Rates!X192</f>
        <v>51.777609927411021</v>
      </c>
      <c r="S44" s="529">
        <f>SUMPRODUCT(G$8:R$8,G44:R44)/S$8</f>
        <v>46.34253101200536</v>
      </c>
      <c r="T44" s="152">
        <f>Rates!Z192</f>
        <v>52.031115874589837</v>
      </c>
      <c r="U44" s="152">
        <f>Rates!AA192</f>
        <v>53.365336925198655</v>
      </c>
      <c r="V44" s="152">
        <f>Rates!AB192</f>
        <v>51.473432639230055</v>
      </c>
      <c r="W44" s="152">
        <f>Rates!AC192</f>
        <v>52.40235981457635</v>
      </c>
      <c r="X44" s="152">
        <f>Rates!AD192</f>
        <v>51.741134797045397</v>
      </c>
      <c r="Y44" s="152">
        <f>Rates!AE192</f>
        <v>52.366021131103331</v>
      </c>
      <c r="Z44" s="152">
        <f>Rates!AF192</f>
        <v>51.418596447168994</v>
      </c>
      <c r="AA44" s="152">
        <f>Rates!AG192</f>
        <v>51.680481947369302</v>
      </c>
      <c r="AB44" s="152">
        <f>Rates!AH192</f>
        <v>52.041461916050075</v>
      </c>
      <c r="AC44" s="152">
        <f>Rates!AI192</f>
        <v>51.788508892409688</v>
      </c>
      <c r="AD44" s="152">
        <f>Rates!AJ192</f>
        <v>52.332257700613297</v>
      </c>
      <c r="AE44" s="152">
        <f>Rates!AK192</f>
        <v>51.777609927411021</v>
      </c>
      <c r="AF44" s="529">
        <f>SUMPRODUCT(T$8:AE$8,T44:AE44)/AF$8</f>
        <v>52.021554127872221</v>
      </c>
      <c r="AG44" s="125">
        <f>Rates!AM192</f>
        <v>52.021554127872214</v>
      </c>
      <c r="AH44" s="125">
        <f>Rates!AN192</f>
        <v>52.012039763160715</v>
      </c>
      <c r="AI44" s="125">
        <f>Rates!AO192</f>
        <v>52.021554127872207</v>
      </c>
      <c r="AJ44" s="125">
        <f>Rates!AP192</f>
        <v>52.021554127872207</v>
      </c>
      <c r="AK44" s="125">
        <f>Rates!AQ192</f>
        <v>52.021554127872207</v>
      </c>
      <c r="AL44" s="125">
        <f>Rates!AR192</f>
        <v>52.012039763160715</v>
      </c>
      <c r="AM44" s="125">
        <f>Rates!AS192</f>
        <v>52.021554127872207</v>
      </c>
      <c r="AN44" s="125">
        <f>Rates!AT192</f>
        <v>52.021554127872207</v>
      </c>
      <c r="AO44" s="125">
        <f>Rates!AU192</f>
        <v>52.021554127872207</v>
      </c>
      <c r="AP44" s="125">
        <f>Rates!AV192</f>
        <v>52.012039763160715</v>
      </c>
      <c r="AQ44" s="125">
        <f>Rates!AW192</f>
        <v>52.021554127872207</v>
      </c>
      <c r="AR44" s="130"/>
      <c r="AS44" s="130"/>
    </row>
    <row r="45" spans="1:45" s="114" customFormat="1" ht="15.75" thickTop="1">
      <c r="A45" s="422">
        <f t="shared" si="1"/>
        <v>43</v>
      </c>
      <c r="B45" s="122"/>
      <c r="C45" s="141"/>
      <c r="D45" s="141"/>
      <c r="E45" s="141"/>
      <c r="F45" s="524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526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526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30"/>
      <c r="AS45" s="130"/>
    </row>
    <row r="46" spans="1:45" s="114" customFormat="1">
      <c r="A46" s="422">
        <f t="shared" si="1"/>
        <v>44</v>
      </c>
      <c r="B46" s="122"/>
      <c r="C46" s="141"/>
      <c r="D46" s="141"/>
      <c r="E46" s="141"/>
      <c r="F46" s="524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526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526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30"/>
      <c r="AS46" s="130"/>
    </row>
    <row r="47" spans="1:45" s="114" customFormat="1">
      <c r="A47" s="422">
        <f t="shared" si="1"/>
        <v>45</v>
      </c>
      <c r="B47" s="821" t="s">
        <v>1017</v>
      </c>
      <c r="C47" s="141"/>
      <c r="D47" s="141"/>
      <c r="E47" s="141">
        <v>-1.1399999999999999</v>
      </c>
      <c r="F47" s="524"/>
      <c r="G47" s="141">
        <f>Rates!M196</f>
        <v>-1.357</v>
      </c>
      <c r="H47" s="141">
        <f>Rates!N196</f>
        <v>-1.357</v>
      </c>
      <c r="I47" s="141">
        <f>Rates!O196</f>
        <v>-1.357</v>
      </c>
      <c r="J47" s="141">
        <f>Rates!P196</f>
        <v>-1.357</v>
      </c>
      <c r="K47" s="141">
        <f>Rates!Q196</f>
        <v>-1.357</v>
      </c>
      <c r="L47" s="141">
        <f>Rates!R196</f>
        <v>-1.357</v>
      </c>
      <c r="M47" s="141">
        <f>Rates!S196</f>
        <v>-1.357</v>
      </c>
      <c r="N47" s="141">
        <f>Rates!T196</f>
        <v>-1.357</v>
      </c>
      <c r="O47" s="141">
        <f>Rates!U196</f>
        <v>-0.68508313310372948</v>
      </c>
      <c r="P47" s="141">
        <f>Rates!V196</f>
        <v>-0.68508313310372959</v>
      </c>
      <c r="Q47" s="141">
        <f>Rates!W196</f>
        <v>-0.68508313310372948</v>
      </c>
      <c r="R47" s="141">
        <f>Rates!X196</f>
        <v>-0.68508313310372948</v>
      </c>
      <c r="S47" s="526">
        <f>SUMPRODUCT(G$8:R$8,G47:R47)/S$8</f>
        <v>-1.1349942243208799</v>
      </c>
      <c r="T47" s="141">
        <f>Rates!Z196</f>
        <v>-0.68508313310372948</v>
      </c>
      <c r="U47" s="141">
        <f>Rates!AA196</f>
        <v>-0.68508313310372948</v>
      </c>
      <c r="V47" s="141">
        <f>Rates!AB196</f>
        <v>-0.68508313310372948</v>
      </c>
      <c r="W47" s="141">
        <f>Rates!AC196</f>
        <v>-0.68508313310372948</v>
      </c>
      <c r="X47" s="141">
        <f>Rates!AD196</f>
        <v>-0.68508313310372948</v>
      </c>
      <c r="Y47" s="141">
        <f>Rates!AE196</f>
        <v>-0.68508313310372948</v>
      </c>
      <c r="Z47" s="141">
        <f>Rates!AF196</f>
        <v>-0.68508313310372948</v>
      </c>
      <c r="AA47" s="141">
        <f>Rates!AG196</f>
        <v>-0.68508313310372948</v>
      </c>
      <c r="AB47" s="141">
        <f>Rates!AH196</f>
        <v>-0.31995189662832124</v>
      </c>
      <c r="AC47" s="141">
        <f>Rates!AI196</f>
        <v>-0.31995189662832124</v>
      </c>
      <c r="AD47" s="141">
        <f>Rates!AJ196</f>
        <v>-0.31995189662832124</v>
      </c>
      <c r="AE47" s="141">
        <f>Rates!AK196</f>
        <v>-0.31995189662832124</v>
      </c>
      <c r="AF47" s="526">
        <f>SUMPRODUCT(T$8:AE$8,T47:AE47)/AF$8</f>
        <v>-0.56452716868723829</v>
      </c>
      <c r="AG47" s="124">
        <f>Rates!AM196</f>
        <v>-0.31995189662832124</v>
      </c>
      <c r="AH47" s="124">
        <f>Rates!AN196</f>
        <v>1.0340520374622204</v>
      </c>
      <c r="AI47" s="124">
        <f>Rates!AO196</f>
        <v>0.98724368665736029</v>
      </c>
      <c r="AJ47" s="124">
        <f>Rates!AP196</f>
        <v>0.98100747577917535</v>
      </c>
      <c r="AK47" s="124">
        <f>Rates!AQ196</f>
        <v>1.0689326218597828</v>
      </c>
      <c r="AL47" s="124">
        <f>Rates!AR196</f>
        <v>1.0603839309684941</v>
      </c>
      <c r="AM47" s="124">
        <f>Rates!AS196</f>
        <v>1.0459570615534537</v>
      </c>
      <c r="AN47" s="124">
        <f>Rates!AT196</f>
        <v>1.1348643260993998</v>
      </c>
      <c r="AO47" s="124">
        <f>Rates!AU196</f>
        <v>1.1228930852424654</v>
      </c>
      <c r="AP47" s="124">
        <f>Rates!AV196</f>
        <v>1.112034742502348</v>
      </c>
      <c r="AQ47" s="124">
        <f>Rates!AW196</f>
        <v>1.1974052163063931</v>
      </c>
      <c r="AR47" s="130"/>
      <c r="AS47" s="130"/>
    </row>
    <row r="48" spans="1:45" s="114" customFormat="1">
      <c r="A48" s="422">
        <f t="shared" si="1"/>
        <v>46</v>
      </c>
      <c r="B48" s="126" t="s">
        <v>231</v>
      </c>
      <c r="C48" s="141"/>
      <c r="D48" s="141"/>
      <c r="E48" s="141">
        <v>2.92</v>
      </c>
      <c r="F48" s="524"/>
      <c r="G48" s="141">
        <f>Rates!M198</f>
        <v>3.7963383636932448</v>
      </c>
      <c r="H48" s="141">
        <f>Rates!N198</f>
        <v>3.9251281468845747</v>
      </c>
      <c r="I48" s="141">
        <f>Rates!O198</f>
        <v>3.9177526208667715</v>
      </c>
      <c r="J48" s="141">
        <f>Rates!P198</f>
        <v>3.9583829858781563</v>
      </c>
      <c r="K48" s="141">
        <f>Rates!Q198</f>
        <v>3.9650535434312602</v>
      </c>
      <c r="L48" s="141">
        <f>Rates!R198</f>
        <v>4.1057147400882172</v>
      </c>
      <c r="M48" s="141">
        <f>Rates!S198</f>
        <v>4.6280961821621247</v>
      </c>
      <c r="N48" s="141">
        <f>Rates!T198</f>
        <v>4.2085144107267354</v>
      </c>
      <c r="O48" s="141">
        <f>Rates!U198</f>
        <v>4.6894785183502243</v>
      </c>
      <c r="P48" s="141">
        <f>Rates!V198</f>
        <v>4.4699835305300013</v>
      </c>
      <c r="Q48" s="141">
        <f>Rates!W198</f>
        <v>4.5930663428745611</v>
      </c>
      <c r="R48" s="141">
        <f>Rates!X198</f>
        <v>4.6583515678101328</v>
      </c>
      <c r="S48" s="526">
        <f t="shared" ref="S48:S54" si="4">SUMPRODUCT(G$8:R$8,G48:R48)/S$8</f>
        <v>4.2448174070207472</v>
      </c>
      <c r="T48" s="141">
        <f>Rates!Z198</f>
        <v>4.8866856798061171</v>
      </c>
      <c r="U48" s="141">
        <f>Rates!AA198</f>
        <v>5.0551684882073182</v>
      </c>
      <c r="V48" s="141">
        <f>Rates!AB198</f>
        <v>5.2005594622076536</v>
      </c>
      <c r="W48" s="141">
        <f>Rates!AC198</f>
        <v>5.3225046534309719</v>
      </c>
      <c r="X48" s="141">
        <f>Rates!AD198</f>
        <v>5.4315731102566787</v>
      </c>
      <c r="Y48" s="141">
        <f>Rates!AE198</f>
        <v>5.6299815605481953</v>
      </c>
      <c r="Z48" s="141">
        <f>Rates!AF198</f>
        <v>5.6517894361783796</v>
      </c>
      <c r="AA48" s="141">
        <f>Rates!AG198</f>
        <v>5.690344155591383</v>
      </c>
      <c r="AB48" s="141">
        <f>Rates!AH198</f>
        <v>5.7617463416336498</v>
      </c>
      <c r="AC48" s="141">
        <f>Rates!AI198</f>
        <v>5.3798392292094768</v>
      </c>
      <c r="AD48" s="141">
        <f>Rates!AJ198</f>
        <v>5.424671823074668</v>
      </c>
      <c r="AE48" s="141">
        <f>Rates!AK198</f>
        <v>5.4400767169142874</v>
      </c>
      <c r="AF48" s="526">
        <f>SUMPRODUCT(T$8:AE$8,T48:AE48)/AF$8</f>
        <v>5.4083593254276767</v>
      </c>
      <c r="AG48" s="124">
        <f>Rates!AM198</f>
        <v>6.4429337942454907</v>
      </c>
      <c r="AH48" s="124">
        <f>Rates!AN198</f>
        <v>6.9344556727440256</v>
      </c>
      <c r="AI48" s="124">
        <f>Rates!AO198</f>
        <v>8.1711410789152517</v>
      </c>
      <c r="AJ48" s="124">
        <f>Rates!AP198</f>
        <v>9.089843981659989</v>
      </c>
      <c r="AK48" s="124">
        <f>Rates!AQ198</f>
        <v>9.6600154495524251</v>
      </c>
      <c r="AL48" s="124">
        <f>Rates!AR198</f>
        <v>11.262019941767477</v>
      </c>
      <c r="AM48" s="124">
        <f>Rates!AS198</f>
        <v>12.718998434024591</v>
      </c>
      <c r="AN48" s="124">
        <f>Rates!AT198</f>
        <v>13.973213946999408</v>
      </c>
      <c r="AO48" s="124">
        <f>Rates!AU198</f>
        <v>15.594056537842711</v>
      </c>
      <c r="AP48" s="124">
        <f>Rates!AV198</f>
        <v>16.312925925514492</v>
      </c>
      <c r="AQ48" s="124">
        <f>Rates!AW198</f>
        <v>19.349098915653869</v>
      </c>
      <c r="AR48" s="130"/>
      <c r="AS48" s="130"/>
    </row>
    <row r="49" spans="1:45" s="114" customFormat="1">
      <c r="A49" s="422">
        <f t="shared" si="1"/>
        <v>47</v>
      </c>
      <c r="B49" s="126" t="s">
        <v>232</v>
      </c>
      <c r="C49" s="141"/>
      <c r="D49" s="141"/>
      <c r="E49" s="141">
        <v>2.1800000000000002</v>
      </c>
      <c r="F49" s="524"/>
      <c r="G49" s="141">
        <f>Rates!M199</f>
        <v>2.7498441214673086</v>
      </c>
      <c r="H49" s="141">
        <f>Rates!N199</f>
        <v>2.8148839930336496</v>
      </c>
      <c r="I49" s="141">
        <f>Rates!O199</f>
        <v>2.7916147759721062</v>
      </c>
      <c r="J49" s="141">
        <f>Rates!P199</f>
        <v>2.6545285841609165</v>
      </c>
      <c r="K49" s="141">
        <f>Rates!Q199</f>
        <v>2.7244568534564375</v>
      </c>
      <c r="L49" s="141">
        <f>Rates!R199</f>
        <v>2.7808014481734187</v>
      </c>
      <c r="M49" s="141">
        <f>Rates!S199</f>
        <v>2.6715814694002846</v>
      </c>
      <c r="N49" s="141">
        <f>Rates!T199</f>
        <v>2.9882582127127075</v>
      </c>
      <c r="O49" s="141">
        <f>Rates!U199</f>
        <v>3.3286064555343953</v>
      </c>
      <c r="P49" s="141">
        <f>Rates!V199</f>
        <v>3.2488535995599137</v>
      </c>
      <c r="Q49" s="141">
        <f>Rates!W199</f>
        <v>3.0117304665703051</v>
      </c>
      <c r="R49" s="141">
        <f>Rates!X199</f>
        <v>2.8041022649997411</v>
      </c>
      <c r="S49" s="526">
        <f t="shared" si="4"/>
        <v>2.8797891651903682</v>
      </c>
      <c r="T49" s="141">
        <f>Rates!Z199</f>
        <v>2.9621130404280636</v>
      </c>
      <c r="U49" s="141">
        <f>Rates!AA199</f>
        <v>3.0491135222840962</v>
      </c>
      <c r="V49" s="141">
        <f>Rates!AB199</f>
        <v>2.8503044555633377</v>
      </c>
      <c r="W49" s="141">
        <f>Rates!AC199</f>
        <v>3.1569235502708537</v>
      </c>
      <c r="X49" s="141">
        <f>Rates!AD199</f>
        <v>3.0551830841766852</v>
      </c>
      <c r="Y49" s="141">
        <f>Rates!AE199</f>
        <v>3.0987535391781158</v>
      </c>
      <c r="Z49" s="141">
        <f>Rates!AF199</f>
        <v>3.0174220974374788</v>
      </c>
      <c r="AA49" s="141">
        <f>Rates!AG199</f>
        <v>3.5185167494770879</v>
      </c>
      <c r="AB49" s="141">
        <f>Rates!AH199</f>
        <v>4.1134373417874057</v>
      </c>
      <c r="AC49" s="141">
        <f>Rates!AI199</f>
        <v>4.0261816463805626</v>
      </c>
      <c r="AD49" s="141">
        <f>Rates!AJ199</f>
        <v>3.7734353222496688</v>
      </c>
      <c r="AE49" s="141">
        <f>Rates!AK199</f>
        <v>3.4676294228882734</v>
      </c>
      <c r="AF49" s="526">
        <f t="shared" ref="AF49:AF54" si="5">SUMPRODUCT(T$8:AE$8,T49:AE49)/AF$8</f>
        <v>3.3386869140723543</v>
      </c>
      <c r="AG49" s="124">
        <f>Rates!AM199</f>
        <v>4.1365715055226415</v>
      </c>
      <c r="AH49" s="124">
        <f>Rates!AN199</f>
        <v>4.3950532451154336</v>
      </c>
      <c r="AI49" s="124">
        <f>Rates!AO199</f>
        <v>4.4781980815160098</v>
      </c>
      <c r="AJ49" s="124">
        <f>Rates!AP199</f>
        <v>4.5469396655281527</v>
      </c>
      <c r="AK49" s="124">
        <f>Rates!AQ199</f>
        <v>4.610205179188668</v>
      </c>
      <c r="AL49" s="124">
        <f>Rates!AR199</f>
        <v>4.4132842683884217</v>
      </c>
      <c r="AM49" s="124">
        <f>Rates!AS199</f>
        <v>4.2582424499443157</v>
      </c>
      <c r="AN49" s="124">
        <f>Rates!AT199</f>
        <v>4.3834042650876466</v>
      </c>
      <c r="AO49" s="124">
        <f>Rates!AU199</f>
        <v>4.5399839964953514</v>
      </c>
      <c r="AP49" s="124">
        <f>Rates!AV199</f>
        <v>4.606850603245956</v>
      </c>
      <c r="AQ49" s="124">
        <f>Rates!AW199</f>
        <v>4.7694648327959168</v>
      </c>
      <c r="AR49" s="130"/>
      <c r="AS49" s="130"/>
    </row>
    <row r="50" spans="1:45" s="114" customFormat="1">
      <c r="A50" s="422">
        <f t="shared" si="1"/>
        <v>48</v>
      </c>
      <c r="B50" s="126" t="s">
        <v>236</v>
      </c>
      <c r="C50" s="156"/>
      <c r="D50" s="156"/>
      <c r="E50" s="156">
        <v>-4.2</v>
      </c>
      <c r="F50" s="528"/>
      <c r="G50" s="156">
        <f>Rates!M200</f>
        <v>-3.5419987678431255</v>
      </c>
      <c r="H50" s="156">
        <f>Rates!N200</f>
        <v>-3.8534978053181028</v>
      </c>
      <c r="I50" s="156">
        <f>Rates!O200</f>
        <v>-4.3303966389368087</v>
      </c>
      <c r="J50" s="156">
        <f>Rates!P200</f>
        <v>-5.048932403708319</v>
      </c>
      <c r="K50" s="156">
        <f>Rates!Q200</f>
        <v>-4.7533128779436753</v>
      </c>
      <c r="L50" s="156">
        <f>Rates!R200</f>
        <v>-3.8706361659587825</v>
      </c>
      <c r="M50" s="156">
        <f>Rates!S200</f>
        <v>-3.5315807075026906</v>
      </c>
      <c r="N50" s="156">
        <f>Rates!T200</f>
        <v>-2.8660062033734497</v>
      </c>
      <c r="O50" s="156">
        <f>Rates!U200</f>
        <v>-1.9099490423013319</v>
      </c>
      <c r="P50" s="156">
        <f>Rates!V200</f>
        <v>-2.1420632362953818</v>
      </c>
      <c r="Q50" s="156">
        <f>Rates!W200</f>
        <v>-1.9063198549526461</v>
      </c>
      <c r="R50" s="156">
        <f>Rates!X200</f>
        <v>-1.5368370338124206</v>
      </c>
      <c r="S50" s="528">
        <f t="shared" si="4"/>
        <v>-3.2742531407098139</v>
      </c>
      <c r="T50" s="156">
        <f>Rates!Z200</f>
        <v>-1.5004831843630528</v>
      </c>
      <c r="U50" s="156">
        <f>Rates!AA200</f>
        <v>-1.6368182323109093</v>
      </c>
      <c r="V50" s="156">
        <f>Rates!AB200</f>
        <v>-1.8398813480720406</v>
      </c>
      <c r="W50" s="156">
        <f>Rates!AC200</f>
        <v>-2.1467870053988767</v>
      </c>
      <c r="X50" s="156">
        <f>Rates!AD200</f>
        <v>-2.0202342508791742</v>
      </c>
      <c r="Y50" s="156">
        <f>Rates!AE200</f>
        <v>-1.6435781306420623</v>
      </c>
      <c r="Z50" s="156">
        <f>Rates!AF200</f>
        <v>-1.5106951013206491</v>
      </c>
      <c r="AA50" s="156">
        <f>Rates!AG200</f>
        <v>-1.5579589524549675</v>
      </c>
      <c r="AB50" s="156">
        <f>Rates!AH200</f>
        <v>-1.888516000997958</v>
      </c>
      <c r="AC50" s="156">
        <f>Rates!AI200</f>
        <v>-2.1193805839546793</v>
      </c>
      <c r="AD50" s="156">
        <f>Rates!AJ200</f>
        <v>-1.8850186614847981</v>
      </c>
      <c r="AE50" s="156">
        <f>Rates!AK200</f>
        <v>-1.5183662190185225</v>
      </c>
      <c r="AF50" s="528">
        <f t="shared" si="5"/>
        <v>-1.7702440275501636</v>
      </c>
      <c r="AG50" s="127">
        <f>Rates!AM200</f>
        <v>-1.7270976087488248</v>
      </c>
      <c r="AH50" s="127">
        <f>Rates!AN200</f>
        <v>-1.7100561832913621</v>
      </c>
      <c r="AI50" s="127">
        <f>Rates!AO200</f>
        <v>-2.1941616088628115</v>
      </c>
      <c r="AJ50" s="127">
        <f>Rates!AP200</f>
        <v>-2.3243394891963254</v>
      </c>
      <c r="AK50" s="127">
        <f>Rates!AQ200</f>
        <v>-2.3064338386218677</v>
      </c>
      <c r="AL50" s="127">
        <f>Rates!AR200</f>
        <v>-2.2870896642681657</v>
      </c>
      <c r="AM50" s="127">
        <f>Rates!AS200</f>
        <v>-2.2622949474014744</v>
      </c>
      <c r="AN50" s="127">
        <f>Rates!AT200</f>
        <v>-2.2398610526860865</v>
      </c>
      <c r="AO50" s="127">
        <f>Rates!AU200</f>
        <v>-2.2174078410732232</v>
      </c>
      <c r="AP50" s="127">
        <f>Rates!AV200</f>
        <v>-2.197370348866766</v>
      </c>
      <c r="AQ50" s="127">
        <f>Rates!AW200</f>
        <v>-2.172887928901718</v>
      </c>
      <c r="AR50" s="130"/>
      <c r="AS50" s="130"/>
    </row>
    <row r="51" spans="1:45" s="114" customFormat="1">
      <c r="A51" s="422">
        <f t="shared" si="1"/>
        <v>49</v>
      </c>
      <c r="B51" s="486" t="s">
        <v>131</v>
      </c>
      <c r="C51" s="141"/>
      <c r="D51" s="141"/>
      <c r="E51" s="141">
        <f>SUM(E46:E50)</f>
        <v>-0.24000000000000021</v>
      </c>
      <c r="F51" s="524"/>
      <c r="G51" s="141">
        <f>Rates!M201</f>
        <v>3.0041837173174279</v>
      </c>
      <c r="H51" s="141">
        <f>Rates!N201</f>
        <v>2.8865143346001219</v>
      </c>
      <c r="I51" s="141">
        <f>Rates!O201</f>
        <v>2.3789707579020689</v>
      </c>
      <c r="J51" s="141">
        <f>Rates!P201</f>
        <v>1.5639791663307534</v>
      </c>
      <c r="K51" s="141">
        <f>Rates!Q201</f>
        <v>1.9361975189440228</v>
      </c>
      <c r="L51" s="141">
        <f>Rates!R201</f>
        <v>3.0158800223028535</v>
      </c>
      <c r="M51" s="141">
        <f>Rates!S201</f>
        <v>3.7680969440597187</v>
      </c>
      <c r="N51" s="141">
        <f>Rates!T201</f>
        <v>4.3307664200659932</v>
      </c>
      <c r="O51" s="141">
        <f>Rates!U201</f>
        <v>6.1081359315832877</v>
      </c>
      <c r="P51" s="141">
        <f>Rates!V201</f>
        <v>5.5767738937945328</v>
      </c>
      <c r="Q51" s="141">
        <f>Rates!W201</f>
        <v>5.6984769544922198</v>
      </c>
      <c r="R51" s="141">
        <f>Rates!X201</f>
        <v>5.9256167989974537</v>
      </c>
      <c r="S51" s="526">
        <f t="shared" si="4"/>
        <v>3.8503534315013024</v>
      </c>
      <c r="T51" s="141">
        <f>Rates!Z201</f>
        <v>6.3483155358711274</v>
      </c>
      <c r="U51" s="141">
        <f>Rates!AA201</f>
        <v>6.4674637781805044</v>
      </c>
      <c r="V51" s="141">
        <f>Rates!AB201</f>
        <v>6.2109825696989507</v>
      </c>
      <c r="W51" s="141">
        <f>Rates!AC201</f>
        <v>6.3326411983029489</v>
      </c>
      <c r="X51" s="141">
        <f>Rates!AD201</f>
        <v>6.4665219435541896</v>
      </c>
      <c r="Y51" s="141">
        <f>Rates!AE201</f>
        <v>7.0851569690842489</v>
      </c>
      <c r="Z51" s="141">
        <f>Rates!AF201</f>
        <v>7.1585164322952091</v>
      </c>
      <c r="AA51" s="141">
        <f>Rates!AG201</f>
        <v>7.6509019526135038</v>
      </c>
      <c r="AB51" s="141">
        <f>Rates!AH201</f>
        <v>7.9866676824230982</v>
      </c>
      <c r="AC51" s="141">
        <f>Rates!AI201</f>
        <v>7.2866402916353596</v>
      </c>
      <c r="AD51" s="141">
        <f>Rates!AJ201</f>
        <v>7.3130884838395378</v>
      </c>
      <c r="AE51" s="141">
        <f>Rates!AK201</f>
        <v>7.3893399207840371</v>
      </c>
      <c r="AF51" s="526">
        <f t="shared" si="5"/>
        <v>6.9768022119498667</v>
      </c>
      <c r="AG51" s="124">
        <f>Rates!AM201</f>
        <v>8.8524076910193088</v>
      </c>
      <c r="AH51" s="124">
        <f>Rates!AN201</f>
        <v>9.6194527345680978</v>
      </c>
      <c r="AI51" s="124">
        <f>Rates!AO201</f>
        <v>10.455177551568449</v>
      </c>
      <c r="AJ51" s="124">
        <f>Rates!AP201</f>
        <v>11.312444157991816</v>
      </c>
      <c r="AK51" s="124">
        <f>Rates!AQ201</f>
        <v>11.963786790119226</v>
      </c>
      <c r="AL51" s="124">
        <f>Rates!AR201</f>
        <v>13.388214545887733</v>
      </c>
      <c r="AM51" s="124">
        <f>Rates!AS201</f>
        <v>14.714945936567432</v>
      </c>
      <c r="AN51" s="124">
        <f>Rates!AT201</f>
        <v>16.116757159400969</v>
      </c>
      <c r="AO51" s="124">
        <f>Rates!AU201</f>
        <v>17.916632693264837</v>
      </c>
      <c r="AP51" s="124">
        <f>Rates!AV201</f>
        <v>18.722406179893682</v>
      </c>
      <c r="AQ51" s="124">
        <f>Rates!AW201</f>
        <v>21.945675819548068</v>
      </c>
      <c r="AR51" s="130"/>
      <c r="AS51" s="130"/>
    </row>
    <row r="52" spans="1:45" s="114" customFormat="1">
      <c r="A52" s="422">
        <f t="shared" si="1"/>
        <v>50</v>
      </c>
      <c r="B52" s="122" t="s">
        <v>146</v>
      </c>
      <c r="C52" s="141"/>
      <c r="D52" s="141"/>
      <c r="E52" s="141">
        <v>-6.11</v>
      </c>
      <c r="F52" s="524"/>
      <c r="G52" s="141">
        <f>Rates!M202</f>
        <v>-7.2161837173174277</v>
      </c>
      <c r="H52" s="141">
        <f>Rates!N202</f>
        <v>-7.0985143346001216</v>
      </c>
      <c r="I52" s="141">
        <f>Rates!O202</f>
        <v>-6.5909707579020687</v>
      </c>
      <c r="J52" s="141">
        <f>Rates!P202</f>
        <v>-5.7759791663307531</v>
      </c>
      <c r="K52" s="141">
        <f>Rates!Q202</f>
        <v>-6.1481975189440226</v>
      </c>
      <c r="L52" s="141">
        <f>Rates!R202</f>
        <v>-7.2278800223028536</v>
      </c>
      <c r="M52" s="141">
        <f>Rates!S202</f>
        <v>-6.9800969440597189</v>
      </c>
      <c r="N52" s="141">
        <f>Rates!T202</f>
        <v>-7.542766420065993</v>
      </c>
      <c r="O52" s="141">
        <f>Rates!U202</f>
        <v>-9.3201359315832875</v>
      </c>
      <c r="P52" s="141">
        <f>Rates!V202</f>
        <v>-8.7887738937945326</v>
      </c>
      <c r="Q52" s="141">
        <f>Rates!W202</f>
        <v>-8.9104769544922195</v>
      </c>
      <c r="R52" s="141">
        <f>Rates!X202</f>
        <v>-9.1376167989974526</v>
      </c>
      <c r="S52" s="526">
        <f t="shared" si="4"/>
        <v>-7.5568424914507402</v>
      </c>
      <c r="T52" s="141">
        <f>Rates!Z202</f>
        <v>-9.5603155358711263</v>
      </c>
      <c r="U52" s="141">
        <f>Rates!AA202</f>
        <v>-9.6794637781805051</v>
      </c>
      <c r="V52" s="141">
        <f>Rates!AB202</f>
        <v>-9.4229825696989504</v>
      </c>
      <c r="W52" s="141">
        <f>Rates!AC202</f>
        <v>-9.5446411983029478</v>
      </c>
      <c r="X52" s="141">
        <f>Rates!AD202</f>
        <v>-9.6785219435541894</v>
      </c>
      <c r="Y52" s="141">
        <f>Rates!AE202</f>
        <v>-10.297156969084249</v>
      </c>
      <c r="Z52" s="141">
        <f>Rates!AF202</f>
        <v>-8.3705164322952079</v>
      </c>
      <c r="AA52" s="141">
        <f>Rates!AG202</f>
        <v>-8.8629019526135036</v>
      </c>
      <c r="AB52" s="141">
        <f>Rates!AH202</f>
        <v>-9.198667682423098</v>
      </c>
      <c r="AC52" s="141">
        <f>Rates!AI202</f>
        <v>-8.4986402916353594</v>
      </c>
      <c r="AD52" s="141">
        <f>Rates!AJ202</f>
        <v>-8.5250884838395375</v>
      </c>
      <c r="AE52" s="141">
        <f>Rates!AK202</f>
        <v>-8.6013399207840369</v>
      </c>
      <c r="AF52" s="526">
        <f t="shared" si="5"/>
        <v>-9.1784994544952276</v>
      </c>
      <c r="AG52" s="124">
        <f>Rates!AM202</f>
        <v>-6.2570983071537754</v>
      </c>
      <c r="AH52" s="124">
        <f>Rates!AN202</f>
        <v>0</v>
      </c>
      <c r="AI52" s="124">
        <f>Rates!AO202</f>
        <v>0</v>
      </c>
      <c r="AJ52" s="124">
        <f>Rates!AP202</f>
        <v>0</v>
      </c>
      <c r="AK52" s="124">
        <f>Rates!AQ202</f>
        <v>0</v>
      </c>
      <c r="AL52" s="124">
        <f>Rates!AR202</f>
        <v>0</v>
      </c>
      <c r="AM52" s="124">
        <f>Rates!AS202</f>
        <v>0</v>
      </c>
      <c r="AN52" s="124">
        <f>Rates!AT202</f>
        <v>0</v>
      </c>
      <c r="AO52" s="124">
        <f>Rates!AU202</f>
        <v>0</v>
      </c>
      <c r="AP52" s="124">
        <f>Rates!AV202</f>
        <v>0</v>
      </c>
      <c r="AQ52" s="124">
        <f>Rates!AW202</f>
        <v>0</v>
      </c>
      <c r="AR52" s="130"/>
      <c r="AS52" s="130"/>
    </row>
    <row r="53" spans="1:45" s="114" customFormat="1">
      <c r="A53" s="422">
        <f t="shared" si="1"/>
        <v>51</v>
      </c>
      <c r="B53" s="122" t="s">
        <v>160</v>
      </c>
      <c r="C53" s="141"/>
      <c r="D53" s="141"/>
      <c r="E53" s="141">
        <v>0</v>
      </c>
      <c r="F53" s="524"/>
      <c r="G53" s="141">
        <f>Rates!M203</f>
        <v>0</v>
      </c>
      <c r="H53" s="141">
        <f>Rates!N203</f>
        <v>0</v>
      </c>
      <c r="I53" s="141">
        <f>Rates!O203</f>
        <v>0</v>
      </c>
      <c r="J53" s="141">
        <f>Rates!P203</f>
        <v>0</v>
      </c>
      <c r="K53" s="141">
        <f>Rates!Q203</f>
        <v>0</v>
      </c>
      <c r="L53" s="141">
        <f>Rates!R203</f>
        <v>0</v>
      </c>
      <c r="M53" s="141">
        <f>Rates!S203</f>
        <v>0</v>
      </c>
      <c r="N53" s="141">
        <f>Rates!T203</f>
        <v>0</v>
      </c>
      <c r="O53" s="141">
        <f>Rates!U203</f>
        <v>0</v>
      </c>
      <c r="P53" s="141">
        <f>Rates!V203</f>
        <v>0</v>
      </c>
      <c r="Q53" s="141">
        <f>Rates!W203</f>
        <v>0</v>
      </c>
      <c r="R53" s="141">
        <f>Rates!X203</f>
        <v>0</v>
      </c>
      <c r="S53" s="526">
        <f t="shared" si="4"/>
        <v>0</v>
      </c>
      <c r="T53" s="141">
        <f>Rates!Z203</f>
        <v>0</v>
      </c>
      <c r="U53" s="141">
        <f>Rates!AA203</f>
        <v>0</v>
      </c>
      <c r="V53" s="141">
        <f>Rates!AB203</f>
        <v>0</v>
      </c>
      <c r="W53" s="141">
        <f>Rates!AC203</f>
        <v>0</v>
      </c>
      <c r="X53" s="141">
        <f>Rates!AD203</f>
        <v>0</v>
      </c>
      <c r="Y53" s="141">
        <f>Rates!AE203</f>
        <v>0</v>
      </c>
      <c r="Z53" s="141">
        <f>Rates!AF203</f>
        <v>0</v>
      </c>
      <c r="AA53" s="141">
        <f>Rates!AG203</f>
        <v>0</v>
      </c>
      <c r="AB53" s="141">
        <f>Rates!AH203</f>
        <v>0</v>
      </c>
      <c r="AC53" s="141">
        <f>Rates!AI203</f>
        <v>0</v>
      </c>
      <c r="AD53" s="141">
        <f>Rates!AJ203</f>
        <v>0</v>
      </c>
      <c r="AE53" s="141">
        <f>Rates!AK203</f>
        <v>0</v>
      </c>
      <c r="AF53" s="526">
        <f t="shared" si="5"/>
        <v>0</v>
      </c>
      <c r="AG53" s="124">
        <f>Rates!AM203</f>
        <v>0</v>
      </c>
      <c r="AH53" s="124">
        <f>Rates!AN203</f>
        <v>0</v>
      </c>
      <c r="AI53" s="124">
        <f>Rates!AO203</f>
        <v>0</v>
      </c>
      <c r="AJ53" s="124">
        <f>Rates!AP203</f>
        <v>0</v>
      </c>
      <c r="AK53" s="124">
        <f>Rates!AQ203</f>
        <v>-0.25885337728800034</v>
      </c>
      <c r="AL53" s="124">
        <f>Rates!AR203</f>
        <v>-7.0507847055182165</v>
      </c>
      <c r="AM53" s="124">
        <f>Rates!AS203</f>
        <v>-10.166070586976545</v>
      </c>
      <c r="AN53" s="124">
        <f>Rates!AT203</f>
        <v>-10.567420015003524</v>
      </c>
      <c r="AO53" s="124">
        <f>Rates!AU203</f>
        <v>-8.0763350198889423</v>
      </c>
      <c r="AP53" s="124">
        <f>Rates!AV203</f>
        <v>-5.8881613543974503</v>
      </c>
      <c r="AQ53" s="124">
        <f>Rates!AW203</f>
        <v>-4.2947986022387754</v>
      </c>
      <c r="AR53" s="130"/>
      <c r="AS53" s="130"/>
    </row>
    <row r="54" spans="1:45" s="114" customFormat="1" ht="15.75" thickBot="1">
      <c r="A54" s="422">
        <f t="shared" si="1"/>
        <v>52</v>
      </c>
      <c r="B54" s="126" t="s">
        <v>161</v>
      </c>
      <c r="C54" s="152"/>
      <c r="D54" s="152"/>
      <c r="E54" s="152">
        <f>SUM(E51:E53)+E44</f>
        <v>37.04</v>
      </c>
      <c r="F54" s="525"/>
      <c r="G54" s="152">
        <f>Rates!M204</f>
        <v>37.561854590103671</v>
      </c>
      <c r="H54" s="152">
        <f>Rates!N204</f>
        <v>38.705221411328438</v>
      </c>
      <c r="I54" s="152">
        <f>Rates!O204</f>
        <v>37.104496592418656</v>
      </c>
      <c r="J54" s="152">
        <f>Rates!P204</f>
        <v>37.8904543153144</v>
      </c>
      <c r="K54" s="152">
        <f>Rates!Q204</f>
        <v>37.330997209425995</v>
      </c>
      <c r="L54" s="152">
        <f>Rates!R204</f>
        <v>37.859708450973805</v>
      </c>
      <c r="M54" s="152">
        <f>Rates!S204</f>
        <v>38.05810013660551</v>
      </c>
      <c r="N54" s="152">
        <f>Rates!T204</f>
        <v>41.413544772901496</v>
      </c>
      <c r="O54" s="152">
        <f>Rates!U204</f>
        <v>48.14437878294634</v>
      </c>
      <c r="P54" s="152">
        <f>Rates!V204</f>
        <v>47.891425759305953</v>
      </c>
      <c r="Q54" s="152">
        <f>Rates!W204</f>
        <v>48.43517456750957</v>
      </c>
      <c r="R54" s="152">
        <f>Rates!X204</f>
        <v>47.880526794307286</v>
      </c>
      <c r="S54" s="525">
        <f t="shared" si="4"/>
        <v>41.501047727735035</v>
      </c>
      <c r="T54" s="152">
        <f>Rates!Z204</f>
        <v>48.134032741486109</v>
      </c>
      <c r="U54" s="152">
        <f>Rates!AA204</f>
        <v>49.46825379209492</v>
      </c>
      <c r="V54" s="152">
        <f>Rates!AB204</f>
        <v>47.57634950612632</v>
      </c>
      <c r="W54" s="152">
        <f>Rates!AC204</f>
        <v>48.505276681472623</v>
      </c>
      <c r="X54" s="152">
        <f>Rates!AD204</f>
        <v>47.84405166394167</v>
      </c>
      <c r="Y54" s="152">
        <f>Rates!AE204</f>
        <v>48.468937997999596</v>
      </c>
      <c r="Z54" s="152">
        <f>Rates!AF204</f>
        <v>49.52151331406526</v>
      </c>
      <c r="AA54" s="152">
        <f>Rates!AG204</f>
        <v>49.783398814265567</v>
      </c>
      <c r="AB54" s="152">
        <f>Rates!AH204</f>
        <v>50.509510019421754</v>
      </c>
      <c r="AC54" s="152">
        <f>Rates!AI204</f>
        <v>50.256556995781366</v>
      </c>
      <c r="AD54" s="152">
        <f>Rates!AJ204</f>
        <v>50.800305803984976</v>
      </c>
      <c r="AE54" s="152">
        <f>Rates!AK204</f>
        <v>50.245658030782707</v>
      </c>
      <c r="AF54" s="525">
        <f t="shared" si="5"/>
        <v>49.255329716639622</v>
      </c>
      <c r="AG54" s="125">
        <f>Rates!AM204</f>
        <v>54.29691161510943</v>
      </c>
      <c r="AH54" s="125">
        <f>Rates!AN204</f>
        <v>62.665544535191032</v>
      </c>
      <c r="AI54" s="125">
        <f>Rates!AO204</f>
        <v>63.463975366098012</v>
      </c>
      <c r="AJ54" s="125">
        <f>Rates!AP204</f>
        <v>64.315005761643192</v>
      </c>
      <c r="AK54" s="125">
        <f>Rates!AQ204</f>
        <v>64.795420162563204</v>
      </c>
      <c r="AL54" s="125">
        <f>Rates!AR204</f>
        <v>59.409853534498716</v>
      </c>
      <c r="AM54" s="125">
        <f>Rates!AS204</f>
        <v>57.616386539016545</v>
      </c>
      <c r="AN54" s="125">
        <f>Rates!AT204</f>
        <v>58.705755598369052</v>
      </c>
      <c r="AO54" s="125">
        <f>Rates!AU204</f>
        <v>62.984744886490574</v>
      </c>
      <c r="AP54" s="125">
        <f>Rates!AV204</f>
        <v>65.958319331159288</v>
      </c>
      <c r="AQ54" s="125">
        <f>Rates!AW204</f>
        <v>70.869836561487901</v>
      </c>
      <c r="AR54" s="130"/>
      <c r="AS54" s="130"/>
    </row>
    <row r="55" spans="1:45" s="114" customFormat="1" ht="15.75" thickTop="1">
      <c r="A55" s="422">
        <f t="shared" si="1"/>
        <v>53</v>
      </c>
      <c r="C55" s="149"/>
      <c r="D55" s="149"/>
      <c r="E55" s="149"/>
      <c r="F55" s="526"/>
      <c r="G55" s="149"/>
      <c r="H55" s="149"/>
      <c r="I55" s="149"/>
      <c r="J55" s="149"/>
      <c r="K55" s="149"/>
      <c r="L55" s="149"/>
      <c r="M55" s="149"/>
      <c r="N55" s="149"/>
      <c r="O55" s="149"/>
      <c r="P55" s="574"/>
      <c r="Q55" s="149"/>
      <c r="R55" s="149"/>
      <c r="S55" s="526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526"/>
      <c r="AG55" s="130"/>
      <c r="AH55" s="577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</row>
    <row r="56" spans="1:45" s="114" customFormat="1" ht="15.75">
      <c r="A56" s="422">
        <f t="shared" si="1"/>
        <v>54</v>
      </c>
      <c r="B56" s="129" t="s">
        <v>274</v>
      </c>
      <c r="C56" s="149"/>
      <c r="D56" s="149"/>
      <c r="E56" s="149"/>
      <c r="F56" s="526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526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526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</row>
    <row r="57" spans="1:45" s="114" customFormat="1">
      <c r="A57" s="422">
        <f t="shared" si="1"/>
        <v>55</v>
      </c>
      <c r="B57" s="122" t="s">
        <v>65</v>
      </c>
      <c r="C57" s="149"/>
      <c r="D57" s="149"/>
      <c r="E57" s="149">
        <f>E26*E$7/(E$7+E$8)+E44*E$8/(E$7+E$8)</f>
        <v>48.615979639251591</v>
      </c>
      <c r="F57" s="526"/>
      <c r="G57" s="149">
        <f>G26*G$7/(G$7+G$8)+G44*G$8/(G$7+G$8)</f>
        <v>48.603981033797666</v>
      </c>
      <c r="H57" s="149">
        <f t="shared" ref="H57:AP57" si="6">H26*H$7/(H$7+H$8)+H44*H$8/(H$7+H$8)</f>
        <v>49.78433763690424</v>
      </c>
      <c r="I57" s="149">
        <f t="shared" si="6"/>
        <v>48.459059831763447</v>
      </c>
      <c r="J57" s="149">
        <f t="shared" si="6"/>
        <v>48.29317792758561</v>
      </c>
      <c r="K57" s="149">
        <f t="shared" si="6"/>
        <v>48.566067913326272</v>
      </c>
      <c r="L57" s="149">
        <f t="shared" si="6"/>
        <v>48.597290286127532</v>
      </c>
      <c r="M57" s="149">
        <f t="shared" si="6"/>
        <v>47.386815921681915</v>
      </c>
      <c r="N57" s="149">
        <f t="shared" si="6"/>
        <v>54.504280907622032</v>
      </c>
      <c r="O57" s="149">
        <f t="shared" si="6"/>
        <v>64.214061678146038</v>
      </c>
      <c r="P57" s="149">
        <f t="shared" si="6"/>
        <v>61.869420779495996</v>
      </c>
      <c r="Q57" s="149">
        <f t="shared" si="6"/>
        <v>61.659963074839226</v>
      </c>
      <c r="R57" s="149">
        <f t="shared" si="6"/>
        <v>61.120173484189216</v>
      </c>
      <c r="S57" s="526">
        <f t="shared" si="6"/>
        <v>53.426658124339262</v>
      </c>
      <c r="T57" s="149">
        <f t="shared" si="6"/>
        <v>63.220735611997668</v>
      </c>
      <c r="U57" s="149">
        <f t="shared" si="6"/>
        <v>65.126069509677393</v>
      </c>
      <c r="V57" s="149">
        <f t="shared" si="6"/>
        <v>62.962419884276052</v>
      </c>
      <c r="W57" s="149">
        <f t="shared" si="6"/>
        <v>62.435527214246825</v>
      </c>
      <c r="X57" s="149">
        <f t="shared" si="6"/>
        <v>63.052519784069041</v>
      </c>
      <c r="Y57" s="149">
        <f t="shared" si="6"/>
        <v>63.116895299204494</v>
      </c>
      <c r="Z57" s="149">
        <f t="shared" si="6"/>
        <v>61.092316012333349</v>
      </c>
      <c r="AA57" s="149">
        <f t="shared" si="6"/>
        <v>64.225655299563684</v>
      </c>
      <c r="AB57" s="149">
        <f t="shared" si="6"/>
        <v>64.233345071487264</v>
      </c>
      <c r="AC57" s="149">
        <f t="shared" si="6"/>
        <v>61.887303814199804</v>
      </c>
      <c r="AD57" s="149">
        <f t="shared" si="6"/>
        <v>61.691609278384902</v>
      </c>
      <c r="AE57" s="149">
        <f t="shared" si="6"/>
        <v>61.142195551408477</v>
      </c>
      <c r="AF57" s="526">
        <f t="shared" si="6"/>
        <v>62.840895414930209</v>
      </c>
      <c r="AG57" s="130">
        <f t="shared" si="6"/>
        <v>62.859137629709181</v>
      </c>
      <c r="AH57" s="130">
        <f t="shared" si="6"/>
        <v>62.876365601266471</v>
      </c>
      <c r="AI57" s="130">
        <f t="shared" si="6"/>
        <v>62.899763635637321</v>
      </c>
      <c r="AJ57" s="130">
        <f t="shared" si="6"/>
        <v>62.916073873070907</v>
      </c>
      <c r="AK57" s="130">
        <f t="shared" si="6"/>
        <v>62.932176199464053</v>
      </c>
      <c r="AL57" s="130">
        <f t="shared" si="6"/>
        <v>62.945872544263828</v>
      </c>
      <c r="AM57" s="130">
        <f t="shared" si="6"/>
        <v>62.966980042308684</v>
      </c>
      <c r="AN57" s="130">
        <f t="shared" si="6"/>
        <v>62.984567651738807</v>
      </c>
      <c r="AO57" s="130">
        <f t="shared" si="6"/>
        <v>63.002126593511996</v>
      </c>
      <c r="AP57" s="130">
        <f t="shared" si="6"/>
        <v>63.016126251435885</v>
      </c>
      <c r="AQ57" s="130">
        <f>AQ26*AQ$7/(AQ$7+AQ$8)+AQ44*AQ$8/(AQ$7+AQ$8)</f>
        <v>63.036728440565071</v>
      </c>
      <c r="AR57" s="130"/>
      <c r="AS57" s="130"/>
    </row>
    <row r="58" spans="1:45" s="114" customFormat="1">
      <c r="A58" s="422">
        <f t="shared" si="1"/>
        <v>56</v>
      </c>
      <c r="B58" s="122"/>
      <c r="C58" s="149"/>
      <c r="D58" s="149"/>
      <c r="E58" s="149"/>
      <c r="F58" s="526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526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526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</row>
    <row r="59" spans="1:45" s="114" customFormat="1">
      <c r="A59" s="422">
        <f t="shared" si="1"/>
        <v>57</v>
      </c>
      <c r="B59" s="122"/>
      <c r="C59" s="149"/>
      <c r="D59" s="149"/>
      <c r="E59" s="149"/>
      <c r="F59" s="526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526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526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</row>
    <row r="60" spans="1:45" s="114" customFormat="1">
      <c r="A60" s="422">
        <f t="shared" si="1"/>
        <v>58</v>
      </c>
      <c r="B60" s="821" t="s">
        <v>1017</v>
      </c>
      <c r="C60" s="149"/>
      <c r="D60" s="149"/>
      <c r="E60" s="149">
        <f t="shared" ref="E60:E65" si="7">E29*E$7/(E$7+E$8)+E47*E$8/(E$7+E$8)</f>
        <v>-1.1400000000000001</v>
      </c>
      <c r="F60" s="526"/>
      <c r="G60" s="149">
        <f t="shared" ref="G60:AP60" si="8">G29*G$7/(G$7+G$8)+G47*G$8/(G$7+G$8)</f>
        <v>-1.357</v>
      </c>
      <c r="H60" s="149">
        <f t="shared" si="8"/>
        <v>-1.3569999999999998</v>
      </c>
      <c r="I60" s="149">
        <f t="shared" si="8"/>
        <v>-1.357</v>
      </c>
      <c r="J60" s="149">
        <f t="shared" si="8"/>
        <v>-1.357</v>
      </c>
      <c r="K60" s="149">
        <f t="shared" si="8"/>
        <v>-1.3569999999999998</v>
      </c>
      <c r="L60" s="149">
        <f t="shared" si="8"/>
        <v>-1.357</v>
      </c>
      <c r="M60" s="149">
        <f t="shared" si="8"/>
        <v>-1.357</v>
      </c>
      <c r="N60" s="149">
        <f t="shared" si="8"/>
        <v>-1.357</v>
      </c>
      <c r="O60" s="149">
        <f t="shared" si="8"/>
        <v>-0.68508313310372937</v>
      </c>
      <c r="P60" s="149">
        <f t="shared" si="8"/>
        <v>-0.68508313310372959</v>
      </c>
      <c r="Q60" s="149">
        <f t="shared" si="8"/>
        <v>-0.68508313310372948</v>
      </c>
      <c r="R60" s="149">
        <f t="shared" si="8"/>
        <v>-0.68508313310372948</v>
      </c>
      <c r="S60" s="526">
        <f t="shared" si="8"/>
        <v>-1.1427162393649564</v>
      </c>
      <c r="T60" s="149">
        <f t="shared" si="8"/>
        <v>-0.68508313310372948</v>
      </c>
      <c r="U60" s="149">
        <f t="shared" si="8"/>
        <v>-0.68508313310372948</v>
      </c>
      <c r="V60" s="149">
        <f t="shared" si="8"/>
        <v>-0.68508313310372948</v>
      </c>
      <c r="W60" s="149">
        <f t="shared" si="8"/>
        <v>-0.68508313310372948</v>
      </c>
      <c r="X60" s="149">
        <f t="shared" si="8"/>
        <v>-0.68508313310372948</v>
      </c>
      <c r="Y60" s="149">
        <f t="shared" si="8"/>
        <v>-0.68508313310372959</v>
      </c>
      <c r="Z60" s="149">
        <f t="shared" si="8"/>
        <v>-0.68508313310372959</v>
      </c>
      <c r="AA60" s="149">
        <f t="shared" si="8"/>
        <v>-0.68508313310372937</v>
      </c>
      <c r="AB60" s="149">
        <f t="shared" si="8"/>
        <v>-0.3199518966283213</v>
      </c>
      <c r="AC60" s="149">
        <f t="shared" si="8"/>
        <v>-0.31995189662832124</v>
      </c>
      <c r="AD60" s="149">
        <f t="shared" si="8"/>
        <v>-0.31995189662832124</v>
      </c>
      <c r="AE60" s="149">
        <f t="shared" si="8"/>
        <v>-0.31995189662832124</v>
      </c>
      <c r="AF60" s="526">
        <f t="shared" si="8"/>
        <v>-0.56868103459754971</v>
      </c>
      <c r="AG60" s="130">
        <f t="shared" si="8"/>
        <v>-0.31995189662832124</v>
      </c>
      <c r="AH60" s="130">
        <f t="shared" si="8"/>
        <v>1.0340520374622204</v>
      </c>
      <c r="AI60" s="130">
        <f t="shared" si="8"/>
        <v>0.98724368665736018</v>
      </c>
      <c r="AJ60" s="130">
        <f t="shared" si="8"/>
        <v>0.98100747577917535</v>
      </c>
      <c r="AK60" s="130">
        <f t="shared" si="8"/>
        <v>1.0689326218597828</v>
      </c>
      <c r="AL60" s="130">
        <f t="shared" si="8"/>
        <v>1.0603839309684941</v>
      </c>
      <c r="AM60" s="130">
        <f t="shared" si="8"/>
        <v>1.0459570615534537</v>
      </c>
      <c r="AN60" s="130">
        <f t="shared" si="8"/>
        <v>1.1348643260993998</v>
      </c>
      <c r="AO60" s="130">
        <f t="shared" si="8"/>
        <v>1.1228930852424654</v>
      </c>
      <c r="AP60" s="130">
        <f t="shared" si="8"/>
        <v>1.112034742502348</v>
      </c>
      <c r="AQ60" s="130">
        <f t="shared" ref="AQ60:AQ65" si="9">AQ29*AQ$7/(AQ$7+AQ$8)+AQ47*AQ$8/(AQ$7+AQ$8)</f>
        <v>1.1974052163063931</v>
      </c>
      <c r="AR60" s="130"/>
      <c r="AS60" s="130"/>
    </row>
    <row r="61" spans="1:45" s="114" customFormat="1">
      <c r="A61" s="422">
        <f t="shared" si="1"/>
        <v>59</v>
      </c>
      <c r="B61" s="126" t="s">
        <v>231</v>
      </c>
      <c r="C61" s="149"/>
      <c r="D61" s="149"/>
      <c r="E61" s="149">
        <f t="shared" si="7"/>
        <v>2.8987849270395745</v>
      </c>
      <c r="F61" s="526"/>
      <c r="G61" s="149">
        <f t="shared" ref="G61:AP61" si="10">G30*G$7/(G$7+G$8)+G48*G$8/(G$7+G$8)</f>
        <v>3.7963383636932448</v>
      </c>
      <c r="H61" s="149">
        <f t="shared" si="10"/>
        <v>3.9251281468845747</v>
      </c>
      <c r="I61" s="149">
        <f t="shared" si="10"/>
        <v>3.9177526208667715</v>
      </c>
      <c r="J61" s="149">
        <f t="shared" si="10"/>
        <v>3.9583829858781563</v>
      </c>
      <c r="K61" s="149">
        <f t="shared" si="10"/>
        <v>3.9650535434312602</v>
      </c>
      <c r="L61" s="149">
        <f t="shared" si="10"/>
        <v>4.1057147400882172</v>
      </c>
      <c r="M61" s="149">
        <f t="shared" si="10"/>
        <v>4.6280961821621247</v>
      </c>
      <c r="N61" s="149">
        <f t="shared" si="10"/>
        <v>4.2085144107267354</v>
      </c>
      <c r="O61" s="149">
        <f t="shared" si="10"/>
        <v>4.6894785183502243</v>
      </c>
      <c r="P61" s="149">
        <f t="shared" si="10"/>
        <v>4.4699835305300013</v>
      </c>
      <c r="Q61" s="149">
        <f t="shared" si="10"/>
        <v>4.5930663428745611</v>
      </c>
      <c r="R61" s="149">
        <f t="shared" si="10"/>
        <v>4.6583515678101328</v>
      </c>
      <c r="S61" s="526">
        <f t="shared" si="10"/>
        <v>4.2461757565989107</v>
      </c>
      <c r="T61" s="149">
        <f t="shared" si="10"/>
        <v>4.8866856798061171</v>
      </c>
      <c r="U61" s="149">
        <f t="shared" si="10"/>
        <v>5.0551684882073182</v>
      </c>
      <c r="V61" s="149">
        <f t="shared" si="10"/>
        <v>5.2005594622076536</v>
      </c>
      <c r="W61" s="149">
        <f t="shared" si="10"/>
        <v>5.3225046534309719</v>
      </c>
      <c r="X61" s="149">
        <f t="shared" si="10"/>
        <v>5.4315731102566787</v>
      </c>
      <c r="Y61" s="149">
        <f t="shared" si="10"/>
        <v>5.6299815605481953</v>
      </c>
      <c r="Z61" s="149">
        <f t="shared" si="10"/>
        <v>5.6517894361783796</v>
      </c>
      <c r="AA61" s="149">
        <f t="shared" si="10"/>
        <v>5.6903441555913821</v>
      </c>
      <c r="AB61" s="149">
        <f t="shared" si="10"/>
        <v>5.7617463416336498</v>
      </c>
      <c r="AC61" s="149">
        <f t="shared" si="10"/>
        <v>5.3798392292094768</v>
      </c>
      <c r="AD61" s="149">
        <f t="shared" si="10"/>
        <v>5.424671823074668</v>
      </c>
      <c r="AE61" s="149">
        <f t="shared" si="10"/>
        <v>5.4400767169142883</v>
      </c>
      <c r="AF61" s="526">
        <f t="shared" si="10"/>
        <v>5.4058189836668387</v>
      </c>
      <c r="AG61" s="130">
        <f t="shared" si="10"/>
        <v>6.4429337942454907</v>
      </c>
      <c r="AH61" s="130">
        <f t="shared" si="10"/>
        <v>6.9344556727440256</v>
      </c>
      <c r="AI61" s="130">
        <f t="shared" si="10"/>
        <v>8.1711410789152517</v>
      </c>
      <c r="AJ61" s="130">
        <f t="shared" si="10"/>
        <v>9.089843981659989</v>
      </c>
      <c r="AK61" s="130">
        <f t="shared" si="10"/>
        <v>9.6600154495524251</v>
      </c>
      <c r="AL61" s="130">
        <f t="shared" si="10"/>
        <v>11.262019941767477</v>
      </c>
      <c r="AM61" s="130">
        <f t="shared" si="10"/>
        <v>12.718998434024593</v>
      </c>
      <c r="AN61" s="130">
        <f t="shared" si="10"/>
        <v>13.973213946999406</v>
      </c>
      <c r="AO61" s="130">
        <f t="shared" si="10"/>
        <v>15.594056537842711</v>
      </c>
      <c r="AP61" s="130">
        <f t="shared" si="10"/>
        <v>16.312925925514492</v>
      </c>
      <c r="AQ61" s="130">
        <f t="shared" si="9"/>
        <v>19.349098915653869</v>
      </c>
      <c r="AR61" s="130"/>
      <c r="AS61" s="130"/>
    </row>
    <row r="62" spans="1:45" s="114" customFormat="1">
      <c r="A62" s="422">
        <f t="shared" si="1"/>
        <v>60</v>
      </c>
      <c r="B62" s="126" t="s">
        <v>232</v>
      </c>
      <c r="C62" s="149"/>
      <c r="D62" s="149"/>
      <c r="E62" s="149">
        <f t="shared" si="7"/>
        <v>2.2295018369076609</v>
      </c>
      <c r="F62" s="526"/>
      <c r="G62" s="149">
        <f t="shared" ref="G62:AP62" si="11">G31*G$7/(G$7+G$8)+G49*G$8/(G$7+G$8)</f>
        <v>3.0705589060072067</v>
      </c>
      <c r="H62" s="149">
        <f t="shared" si="11"/>
        <v>3.1366795795984768</v>
      </c>
      <c r="I62" s="149">
        <f t="shared" si="11"/>
        <v>3.1382692250155229</v>
      </c>
      <c r="J62" s="149">
        <f t="shared" si="11"/>
        <v>2.9251283885173418</v>
      </c>
      <c r="K62" s="149">
        <f t="shared" si="11"/>
        <v>3.0538486905167801</v>
      </c>
      <c r="L62" s="149">
        <f t="shared" si="11"/>
        <v>3.0831675838563455</v>
      </c>
      <c r="M62" s="149">
        <f t="shared" si="11"/>
        <v>2.9406729023348666</v>
      </c>
      <c r="N62" s="149">
        <f t="shared" si="11"/>
        <v>3.4956224406319252</v>
      </c>
      <c r="O62" s="149">
        <f t="shared" si="11"/>
        <v>4.0428162648288675</v>
      </c>
      <c r="P62" s="149">
        <f t="shared" si="11"/>
        <v>3.831012940499738</v>
      </c>
      <c r="Q62" s="149">
        <f t="shared" si="11"/>
        <v>3.5052284822739419</v>
      </c>
      <c r="R62" s="149">
        <f t="shared" si="11"/>
        <v>3.2683010300492943</v>
      </c>
      <c r="S62" s="526">
        <f t="shared" si="11"/>
        <v>3.2784424997760646</v>
      </c>
      <c r="T62" s="149">
        <f>T31*T$7/(T$7+T$8)+T49*T$8/(T$7+T$8)</f>
        <v>3.5444426040520312</v>
      </c>
      <c r="U62" s="149">
        <f t="shared" si="11"/>
        <v>3.6629358180951908</v>
      </c>
      <c r="V62" s="149">
        <f t="shared" si="11"/>
        <v>3.428119963527779</v>
      </c>
      <c r="W62" s="149">
        <f t="shared" si="11"/>
        <v>3.7056289086937229</v>
      </c>
      <c r="X62" s="149">
        <f t="shared" si="11"/>
        <v>3.659638484942318</v>
      </c>
      <c r="Y62" s="149">
        <f t="shared" si="11"/>
        <v>3.673177772427171</v>
      </c>
      <c r="Z62" s="149">
        <f t="shared" si="11"/>
        <v>3.5288904312946272</v>
      </c>
      <c r="AA62" s="149">
        <f t="shared" si="11"/>
        <v>4.2879043557418628</v>
      </c>
      <c r="AB62" s="149">
        <f t="shared" si="11"/>
        <v>4.9858748238132309</v>
      </c>
      <c r="AC62" s="149">
        <f t="shared" si="11"/>
        <v>4.7414099635304918</v>
      </c>
      <c r="AD62" s="149">
        <f t="shared" si="11"/>
        <v>4.3883163500473099</v>
      </c>
      <c r="AE62" s="149">
        <f t="shared" si="11"/>
        <v>4.0383535964766519</v>
      </c>
      <c r="AF62" s="526">
        <f t="shared" si="11"/>
        <v>3.9494198760323456</v>
      </c>
      <c r="AG62" s="130">
        <f t="shared" si="11"/>
        <v>4.9075887354609513</v>
      </c>
      <c r="AH62" s="130">
        <f t="shared" si="11"/>
        <v>5.1911328499566567</v>
      </c>
      <c r="AI62" s="130">
        <f t="shared" si="11"/>
        <v>5.274452177696916</v>
      </c>
      <c r="AJ62" s="130">
        <f t="shared" si="11"/>
        <v>5.3447300474495458</v>
      </c>
      <c r="AK62" s="130">
        <f t="shared" si="11"/>
        <v>5.4117956783830561</v>
      </c>
      <c r="AL62" s="130">
        <f t="shared" si="11"/>
        <v>5.1633352438678726</v>
      </c>
      <c r="AM62" s="130">
        <f t="shared" si="11"/>
        <v>4.9667201838802102</v>
      </c>
      <c r="AN62" s="130">
        <f t="shared" si="11"/>
        <v>5.0992627990908099</v>
      </c>
      <c r="AO62" s="130">
        <f t="shared" si="11"/>
        <v>5.2652197893339148</v>
      </c>
      <c r="AP62" s="130">
        <f t="shared" si="11"/>
        <v>5.3369250903621817</v>
      </c>
      <c r="AQ62" s="130">
        <f t="shared" si="9"/>
        <v>5.4934264182554156</v>
      </c>
      <c r="AR62" s="130"/>
      <c r="AS62" s="130"/>
    </row>
    <row r="63" spans="1:45" s="114" customFormat="1">
      <c r="A63" s="422">
        <f t="shared" si="1"/>
        <v>61</v>
      </c>
      <c r="B63" s="126" t="s">
        <v>236</v>
      </c>
      <c r="C63" s="156"/>
      <c r="D63" s="156"/>
      <c r="E63" s="156">
        <f t="shared" si="7"/>
        <v>-4.2</v>
      </c>
      <c r="F63" s="528"/>
      <c r="G63" s="156">
        <f t="shared" ref="G63:AP63" si="12">G32*G$7/(G$7+G$8)+G50*G$8/(G$7+G$8)</f>
        <v>-3.5419987678431255</v>
      </c>
      <c r="H63" s="156">
        <f t="shared" si="12"/>
        <v>-3.8534978053181028</v>
      </c>
      <c r="I63" s="156">
        <f t="shared" si="12"/>
        <v>-4.3303966389368096</v>
      </c>
      <c r="J63" s="156">
        <f t="shared" si="12"/>
        <v>-5.048932403708319</v>
      </c>
      <c r="K63" s="156">
        <f t="shared" si="12"/>
        <v>-4.7533128779436753</v>
      </c>
      <c r="L63" s="156">
        <f t="shared" si="12"/>
        <v>-3.8706361659587829</v>
      </c>
      <c r="M63" s="156">
        <f t="shared" si="12"/>
        <v>-3.531580707502691</v>
      </c>
      <c r="N63" s="156">
        <f t="shared" si="12"/>
        <v>-2.8660062033734497</v>
      </c>
      <c r="O63" s="156">
        <f t="shared" si="12"/>
        <v>-1.9099490423013317</v>
      </c>
      <c r="P63" s="156">
        <f t="shared" si="12"/>
        <v>-2.1420632362953818</v>
      </c>
      <c r="Q63" s="156">
        <f t="shared" si="12"/>
        <v>-1.9063198549526459</v>
      </c>
      <c r="R63" s="156">
        <f t="shared" si="12"/>
        <v>-1.5368370338124206</v>
      </c>
      <c r="S63" s="528">
        <f t="shared" si="12"/>
        <v>-3.243887257942903</v>
      </c>
      <c r="T63" s="156">
        <f t="shared" si="12"/>
        <v>-1.5004831843630528</v>
      </c>
      <c r="U63" s="156">
        <f t="shared" si="12"/>
        <v>-1.6368182323109093</v>
      </c>
      <c r="V63" s="156">
        <f t="shared" si="12"/>
        <v>-1.8398813480720406</v>
      </c>
      <c r="W63" s="156">
        <f t="shared" si="12"/>
        <v>-2.1467870053988767</v>
      </c>
      <c r="X63" s="156">
        <f t="shared" si="12"/>
        <v>-2.0202342508791742</v>
      </c>
      <c r="Y63" s="156">
        <f t="shared" si="12"/>
        <v>-1.6435781306420623</v>
      </c>
      <c r="Z63" s="156">
        <f t="shared" si="12"/>
        <v>-1.5106951013206491</v>
      </c>
      <c r="AA63" s="156">
        <f t="shared" si="12"/>
        <v>-1.5579589524549675</v>
      </c>
      <c r="AB63" s="156">
        <f t="shared" si="12"/>
        <v>-1.8885160009979582</v>
      </c>
      <c r="AC63" s="156">
        <f t="shared" si="12"/>
        <v>-2.1193805839546793</v>
      </c>
      <c r="AD63" s="156">
        <f t="shared" si="12"/>
        <v>-1.8850186614847981</v>
      </c>
      <c r="AE63" s="156">
        <f t="shared" si="12"/>
        <v>-1.5183662190185225</v>
      </c>
      <c r="AF63" s="528">
        <f t="shared" si="12"/>
        <v>-1.7428092672385103</v>
      </c>
      <c r="AG63" s="127">
        <f t="shared" si="12"/>
        <v>-1.7270976087488248</v>
      </c>
      <c r="AH63" s="127">
        <f t="shared" si="12"/>
        <v>-1.7100561832913619</v>
      </c>
      <c r="AI63" s="127">
        <f t="shared" si="12"/>
        <v>-2.194161608862812</v>
      </c>
      <c r="AJ63" s="127">
        <f t="shared" si="12"/>
        <v>-2.3243394891963254</v>
      </c>
      <c r="AK63" s="127">
        <f t="shared" si="12"/>
        <v>-2.3064338386218677</v>
      </c>
      <c r="AL63" s="127">
        <f t="shared" si="12"/>
        <v>-2.2870896642681657</v>
      </c>
      <c r="AM63" s="127">
        <f t="shared" si="12"/>
        <v>-2.2622949474014744</v>
      </c>
      <c r="AN63" s="127">
        <f t="shared" si="12"/>
        <v>-2.2398610526860865</v>
      </c>
      <c r="AO63" s="127">
        <f t="shared" si="12"/>
        <v>-2.2174078410732232</v>
      </c>
      <c r="AP63" s="127">
        <f t="shared" si="12"/>
        <v>-2.197370348866766</v>
      </c>
      <c r="AQ63" s="127">
        <f t="shared" si="9"/>
        <v>-2.172887928901718</v>
      </c>
      <c r="AR63" s="130"/>
      <c r="AS63" s="130"/>
    </row>
    <row r="64" spans="1:45" s="114" customFormat="1">
      <c r="A64" s="422">
        <f t="shared" si="1"/>
        <v>62</v>
      </c>
      <c r="B64" s="486" t="s">
        <v>131</v>
      </c>
      <c r="C64" s="149"/>
      <c r="D64" s="149"/>
      <c r="E64" s="149">
        <f t="shared" si="7"/>
        <v>-0.21171323605276565</v>
      </c>
      <c r="F64" s="526"/>
      <c r="G64" s="149">
        <f t="shared" ref="G64:AP64" si="13">G33*G$7/(G$7+G$8)+G51*G$8/(G$7+G$8)</f>
        <v>3.324898501857326</v>
      </c>
      <c r="H64" s="149">
        <f t="shared" si="13"/>
        <v>3.2083099211649491</v>
      </c>
      <c r="I64" s="149">
        <f t="shared" si="13"/>
        <v>2.7256252069454847</v>
      </c>
      <c r="J64" s="149">
        <f t="shared" si="13"/>
        <v>1.8345789706871791</v>
      </c>
      <c r="K64" s="149">
        <f t="shared" si="13"/>
        <v>2.265589356004365</v>
      </c>
      <c r="L64" s="149">
        <f t="shared" si="13"/>
        <v>3.3182461579857798</v>
      </c>
      <c r="M64" s="149">
        <f t="shared" si="13"/>
        <v>4.0371883769942993</v>
      </c>
      <c r="N64" s="149">
        <f t="shared" si="13"/>
        <v>4.83813064798521</v>
      </c>
      <c r="O64" s="149">
        <f t="shared" si="13"/>
        <v>6.8223457408777595</v>
      </c>
      <c r="P64" s="149">
        <f t="shared" si="13"/>
        <v>6.1589332347343575</v>
      </c>
      <c r="Q64" s="149">
        <f t="shared" si="13"/>
        <v>6.1919749701958562</v>
      </c>
      <c r="R64" s="149">
        <f t="shared" si="13"/>
        <v>6.389815564047006</v>
      </c>
      <c r="S64" s="526">
        <f t="shared" si="13"/>
        <v>4.2807309984320723</v>
      </c>
      <c r="T64" s="149">
        <f t="shared" si="13"/>
        <v>6.9306450994950959</v>
      </c>
      <c r="U64" s="149">
        <f t="shared" si="13"/>
        <v>7.081286073991599</v>
      </c>
      <c r="V64" s="149">
        <f t="shared" si="13"/>
        <v>6.7887980776633912</v>
      </c>
      <c r="W64" s="149">
        <f t="shared" si="13"/>
        <v>6.8813465567258172</v>
      </c>
      <c r="X64" s="149">
        <f t="shared" si="13"/>
        <v>7.0709773443198225</v>
      </c>
      <c r="Y64" s="149">
        <f t="shared" si="13"/>
        <v>7.6595812023333041</v>
      </c>
      <c r="Z64" s="149">
        <f t="shared" si="13"/>
        <v>7.6699847661523579</v>
      </c>
      <c r="AA64" s="149">
        <f t="shared" si="13"/>
        <v>8.4202895588782773</v>
      </c>
      <c r="AB64" s="149">
        <f t="shared" si="13"/>
        <v>8.8591051644489234</v>
      </c>
      <c r="AC64" s="149">
        <f t="shared" si="13"/>
        <v>8.0018686087852888</v>
      </c>
      <c r="AD64" s="149">
        <f t="shared" si="13"/>
        <v>7.9279695116371798</v>
      </c>
      <c r="AE64" s="149">
        <f t="shared" si="13"/>
        <v>7.9600640943724157</v>
      </c>
      <c r="AF64" s="526">
        <f t="shared" si="13"/>
        <v>7.6124295924606749</v>
      </c>
      <c r="AG64" s="130">
        <f t="shared" si="13"/>
        <v>9.6234249209576177</v>
      </c>
      <c r="AH64" s="130">
        <f t="shared" si="13"/>
        <v>10.415532339409319</v>
      </c>
      <c r="AI64" s="130">
        <f t="shared" si="13"/>
        <v>11.251431647749357</v>
      </c>
      <c r="AJ64" s="130">
        <f t="shared" si="13"/>
        <v>12.110234539913208</v>
      </c>
      <c r="AK64" s="130">
        <f t="shared" si="13"/>
        <v>12.765377289313614</v>
      </c>
      <c r="AL64" s="130">
        <f t="shared" si="13"/>
        <v>14.138265521367185</v>
      </c>
      <c r="AM64" s="130">
        <f t="shared" si="13"/>
        <v>15.423423670503327</v>
      </c>
      <c r="AN64" s="130">
        <f t="shared" si="13"/>
        <v>16.832615693404133</v>
      </c>
      <c r="AO64" s="130">
        <f t="shared" si="13"/>
        <v>18.641868486103398</v>
      </c>
      <c r="AP64" s="130">
        <f t="shared" si="13"/>
        <v>19.452480667009908</v>
      </c>
      <c r="AQ64" s="130">
        <f t="shared" si="9"/>
        <v>22.669637405007563</v>
      </c>
      <c r="AR64" s="130"/>
      <c r="AS64" s="130"/>
    </row>
    <row r="65" spans="1:45" s="114" customFormat="1">
      <c r="A65" s="422">
        <f t="shared" si="1"/>
        <v>63</v>
      </c>
      <c r="B65" s="122" t="s">
        <v>146</v>
      </c>
      <c r="C65" s="149"/>
      <c r="D65" s="149"/>
      <c r="E65" s="149">
        <f t="shared" si="7"/>
        <v>-6.1170716909868084</v>
      </c>
      <c r="F65" s="526"/>
      <c r="G65" s="149">
        <f t="shared" ref="G65:AP65" si="14">G34*G$7/(G$7+G$8)+G52*G$8/(G$7+G$8)</f>
        <v>-7.5368985018573262</v>
      </c>
      <c r="H65" s="149">
        <f t="shared" si="14"/>
        <v>-7.4203099211649493</v>
      </c>
      <c r="I65" s="149">
        <f t="shared" si="14"/>
        <v>-6.9376252069454853</v>
      </c>
      <c r="J65" s="149">
        <f t="shared" si="14"/>
        <v>-6.0465789706871789</v>
      </c>
      <c r="K65" s="149">
        <f t="shared" si="14"/>
        <v>-6.4775893560043656</v>
      </c>
      <c r="L65" s="149">
        <f t="shared" si="14"/>
        <v>-7.5302461579857809</v>
      </c>
      <c r="M65" s="149">
        <f t="shared" si="14"/>
        <v>-7.2491883769943</v>
      </c>
      <c r="N65" s="149">
        <f t="shared" si="14"/>
        <v>-8.0501306479852097</v>
      </c>
      <c r="O65" s="149">
        <f t="shared" si="14"/>
        <v>-10.034345740877757</v>
      </c>
      <c r="P65" s="149">
        <f t="shared" si="14"/>
        <v>-9.3709332347343572</v>
      </c>
      <c r="Q65" s="149">
        <f t="shared" si="14"/>
        <v>-9.4039749701958542</v>
      </c>
      <c r="R65" s="149">
        <f t="shared" si="14"/>
        <v>-9.6018155640470049</v>
      </c>
      <c r="S65" s="526">
        <f t="shared" si="14"/>
        <v>-7.9821752356804128</v>
      </c>
      <c r="T65" s="149">
        <f t="shared" si="14"/>
        <v>-10.142645099495095</v>
      </c>
      <c r="U65" s="149">
        <f t="shared" si="14"/>
        <v>-10.293286073991601</v>
      </c>
      <c r="V65" s="149">
        <f t="shared" si="14"/>
        <v>-10.000798077663392</v>
      </c>
      <c r="W65" s="149">
        <f t="shared" si="14"/>
        <v>-10.093346556725816</v>
      </c>
      <c r="X65" s="149">
        <f t="shared" si="14"/>
        <v>-10.282977344319821</v>
      </c>
      <c r="Y65" s="149">
        <f t="shared" si="14"/>
        <v>-10.871581202333303</v>
      </c>
      <c r="Z65" s="149">
        <f t="shared" si="14"/>
        <v>-8.8819847661523568</v>
      </c>
      <c r="AA65" s="149">
        <f t="shared" si="14"/>
        <v>-9.6322895588782771</v>
      </c>
      <c r="AB65" s="149">
        <f t="shared" si="14"/>
        <v>-10.071105164448923</v>
      </c>
      <c r="AC65" s="149">
        <f t="shared" si="14"/>
        <v>-9.2138686087852903</v>
      </c>
      <c r="AD65" s="149">
        <f t="shared" si="14"/>
        <v>-9.1399695116371795</v>
      </c>
      <c r="AE65" s="149">
        <f t="shared" si="14"/>
        <v>-9.1720640943724163</v>
      </c>
      <c r="AF65" s="526">
        <f t="shared" si="14"/>
        <v>-9.8034660398964384</v>
      </c>
      <c r="AG65" s="130">
        <f t="shared" si="14"/>
        <v>-6.2570983071537745</v>
      </c>
      <c r="AH65" s="130">
        <f t="shared" si="14"/>
        <v>0</v>
      </c>
      <c r="AI65" s="130">
        <f t="shared" si="14"/>
        <v>0</v>
      </c>
      <c r="AJ65" s="130">
        <f t="shared" si="14"/>
        <v>0</v>
      </c>
      <c r="AK65" s="130">
        <f t="shared" si="14"/>
        <v>0</v>
      </c>
      <c r="AL65" s="130">
        <f t="shared" si="14"/>
        <v>0</v>
      </c>
      <c r="AM65" s="130">
        <f t="shared" si="14"/>
        <v>0</v>
      </c>
      <c r="AN65" s="130">
        <f t="shared" si="14"/>
        <v>0</v>
      </c>
      <c r="AO65" s="130">
        <f t="shared" si="14"/>
        <v>0</v>
      </c>
      <c r="AP65" s="130">
        <f t="shared" si="14"/>
        <v>0</v>
      </c>
      <c r="AQ65" s="130">
        <f t="shared" si="9"/>
        <v>0</v>
      </c>
      <c r="AR65" s="130"/>
      <c r="AS65" s="130"/>
    </row>
    <row r="66" spans="1:45" s="114" customFormat="1">
      <c r="A66" s="422">
        <f t="shared" si="1"/>
        <v>64</v>
      </c>
      <c r="B66" s="122" t="s">
        <v>639</v>
      </c>
      <c r="C66" s="149"/>
      <c r="D66" s="149"/>
      <c r="E66" s="149">
        <f>E35*E7/(E7+E8)</f>
        <v>0</v>
      </c>
      <c r="F66" s="526"/>
      <c r="G66" s="149">
        <f t="shared" ref="G66:AP66" si="15">G35*G7/(G7+G8)</f>
        <v>0</v>
      </c>
      <c r="H66" s="149">
        <f t="shared" si="15"/>
        <v>0</v>
      </c>
      <c r="I66" s="149">
        <f t="shared" si="15"/>
        <v>0</v>
      </c>
      <c r="J66" s="149">
        <f t="shared" si="15"/>
        <v>0</v>
      </c>
      <c r="K66" s="149">
        <f t="shared" si="15"/>
        <v>0</v>
      </c>
      <c r="L66" s="149">
        <f t="shared" si="15"/>
        <v>0</v>
      </c>
      <c r="M66" s="149">
        <f t="shared" si="15"/>
        <v>0</v>
      </c>
      <c r="N66" s="149">
        <f t="shared" si="15"/>
        <v>0</v>
      </c>
      <c r="O66" s="149">
        <f t="shared" si="15"/>
        <v>0</v>
      </c>
      <c r="P66" s="149">
        <f t="shared" si="15"/>
        <v>0</v>
      </c>
      <c r="Q66" s="149">
        <f t="shared" si="15"/>
        <v>0</v>
      </c>
      <c r="R66" s="149">
        <f t="shared" si="15"/>
        <v>0</v>
      </c>
      <c r="S66" s="526">
        <f t="shared" si="15"/>
        <v>0</v>
      </c>
      <c r="T66" s="149">
        <f t="shared" si="15"/>
        <v>0</v>
      </c>
      <c r="U66" s="149">
        <f t="shared" si="15"/>
        <v>0</v>
      </c>
      <c r="V66" s="149">
        <f t="shared" si="15"/>
        <v>0</v>
      </c>
      <c r="W66" s="149">
        <f t="shared" si="15"/>
        <v>0</v>
      </c>
      <c r="X66" s="149">
        <f t="shared" si="15"/>
        <v>0</v>
      </c>
      <c r="Y66" s="149">
        <f t="shared" si="15"/>
        <v>0</v>
      </c>
      <c r="Z66" s="149">
        <f t="shared" si="15"/>
        <v>0</v>
      </c>
      <c r="AA66" s="149">
        <f t="shared" si="15"/>
        <v>0</v>
      </c>
      <c r="AB66" s="149">
        <f t="shared" si="15"/>
        <v>0</v>
      </c>
      <c r="AC66" s="149">
        <f t="shared" si="15"/>
        <v>0</v>
      </c>
      <c r="AD66" s="149">
        <f t="shared" si="15"/>
        <v>0</v>
      </c>
      <c r="AE66" s="149">
        <f t="shared" si="15"/>
        <v>0</v>
      </c>
      <c r="AF66" s="526">
        <f t="shared" si="15"/>
        <v>0</v>
      </c>
      <c r="AG66" s="149">
        <f t="shared" si="15"/>
        <v>-3.5287851046699568</v>
      </c>
      <c r="AH66" s="149">
        <f t="shared" si="15"/>
        <v>-8.6750515787998097</v>
      </c>
      <c r="AI66" s="149">
        <f t="shared" si="15"/>
        <v>-7.7152740845275067</v>
      </c>
      <c r="AJ66" s="149">
        <f t="shared" si="15"/>
        <v>0</v>
      </c>
      <c r="AK66" s="149">
        <f t="shared" si="15"/>
        <v>0</v>
      </c>
      <c r="AL66" s="149">
        <f t="shared" si="15"/>
        <v>0</v>
      </c>
      <c r="AM66" s="149">
        <f t="shared" si="15"/>
        <v>0</v>
      </c>
      <c r="AN66" s="149">
        <f t="shared" si="15"/>
        <v>0</v>
      </c>
      <c r="AO66" s="149">
        <f t="shared" si="15"/>
        <v>0</v>
      </c>
      <c r="AP66" s="149">
        <f t="shared" si="15"/>
        <v>0</v>
      </c>
      <c r="AQ66" s="149">
        <f>AQ35*AQ7/(AQ7+AQ8)</f>
        <v>0</v>
      </c>
      <c r="AR66" s="149"/>
      <c r="AS66" s="149"/>
    </row>
    <row r="67" spans="1:45" s="114" customFormat="1">
      <c r="A67" s="422">
        <f t="shared" si="1"/>
        <v>65</v>
      </c>
      <c r="B67" s="122" t="s">
        <v>160</v>
      </c>
      <c r="C67" s="149"/>
      <c r="D67" s="149"/>
      <c r="E67" s="149">
        <f>E36*E$7/(E$7+E$8)+E53*E$8/(E$7+E$8)</f>
        <v>0</v>
      </c>
      <c r="F67" s="526"/>
      <c r="G67" s="149">
        <f t="shared" ref="G67:AP67" si="16">G36*G$7/(G$7+G$8)+G53*G$8/(G$7+G$8)</f>
        <v>0</v>
      </c>
      <c r="H67" s="149">
        <f t="shared" si="16"/>
        <v>0</v>
      </c>
      <c r="I67" s="149">
        <f t="shared" si="16"/>
        <v>0</v>
      </c>
      <c r="J67" s="149">
        <f t="shared" si="16"/>
        <v>0</v>
      </c>
      <c r="K67" s="149">
        <f t="shared" si="16"/>
        <v>0</v>
      </c>
      <c r="L67" s="149">
        <f t="shared" si="16"/>
        <v>0</v>
      </c>
      <c r="M67" s="149">
        <f t="shared" si="16"/>
        <v>0</v>
      </c>
      <c r="N67" s="149">
        <f t="shared" si="16"/>
        <v>0</v>
      </c>
      <c r="O67" s="149">
        <f t="shared" si="16"/>
        <v>0</v>
      </c>
      <c r="P67" s="149">
        <f t="shared" si="16"/>
        <v>0</v>
      </c>
      <c r="Q67" s="149">
        <f t="shared" si="16"/>
        <v>0</v>
      </c>
      <c r="R67" s="149">
        <f t="shared" si="16"/>
        <v>0</v>
      </c>
      <c r="S67" s="526">
        <f t="shared" si="16"/>
        <v>0</v>
      </c>
      <c r="T67" s="149">
        <f t="shared" si="16"/>
        <v>0</v>
      </c>
      <c r="U67" s="149">
        <f t="shared" si="16"/>
        <v>0</v>
      </c>
      <c r="V67" s="149">
        <f t="shared" si="16"/>
        <v>0</v>
      </c>
      <c r="W67" s="149">
        <f t="shared" si="16"/>
        <v>0</v>
      </c>
      <c r="X67" s="149">
        <f t="shared" si="16"/>
        <v>0</v>
      </c>
      <c r="Y67" s="149">
        <f t="shared" si="16"/>
        <v>0</v>
      </c>
      <c r="Z67" s="149">
        <f t="shared" si="16"/>
        <v>0</v>
      </c>
      <c r="AA67" s="149">
        <f t="shared" si="16"/>
        <v>0</v>
      </c>
      <c r="AB67" s="149">
        <f t="shared" si="16"/>
        <v>0</v>
      </c>
      <c r="AC67" s="149">
        <f t="shared" si="16"/>
        <v>0</v>
      </c>
      <c r="AD67" s="149">
        <f t="shared" si="16"/>
        <v>0</v>
      </c>
      <c r="AE67" s="149">
        <f t="shared" si="16"/>
        <v>0</v>
      </c>
      <c r="AF67" s="526">
        <f t="shared" si="16"/>
        <v>0</v>
      </c>
      <c r="AG67" s="130">
        <f t="shared" si="16"/>
        <v>0</v>
      </c>
      <c r="AH67" s="130">
        <f t="shared" si="16"/>
        <v>0</v>
      </c>
      <c r="AI67" s="130">
        <f t="shared" si="16"/>
        <v>0</v>
      </c>
      <c r="AJ67" s="130">
        <f t="shared" si="16"/>
        <v>0</v>
      </c>
      <c r="AK67" s="130">
        <f t="shared" si="16"/>
        <v>-0.31314340031580845</v>
      </c>
      <c r="AL67" s="130">
        <f t="shared" si="16"/>
        <v>-8.5329819294059561</v>
      </c>
      <c r="AM67" s="130">
        <f t="shared" si="16"/>
        <v>-12.305029607254372</v>
      </c>
      <c r="AN67" s="130">
        <f t="shared" si="16"/>
        <v>-12.794396322787291</v>
      </c>
      <c r="AO67" s="130">
        <f t="shared" si="16"/>
        <v>-9.781066518772791</v>
      </c>
      <c r="AP67" s="130">
        <f t="shared" si="16"/>
        <v>-7.1339082448434095</v>
      </c>
      <c r="AQ67" s="130">
        <f t="shared" ref="AQ67:AQ68" si="17">AQ36*AQ$7/(AQ$7+AQ$8)+AQ53*AQ$8/(AQ$7+AQ$8)</f>
        <v>-5.2041900272870141</v>
      </c>
      <c r="AR67" s="130"/>
      <c r="AS67" s="130"/>
    </row>
    <row r="68" spans="1:45" s="114" customFormat="1" ht="15.75" thickBot="1">
      <c r="A68" s="422">
        <f t="shared" si="1"/>
        <v>66</v>
      </c>
      <c r="B68" s="126" t="s">
        <v>161</v>
      </c>
      <c r="C68" s="152"/>
      <c r="D68" s="152"/>
      <c r="E68" s="152">
        <f>E37*E$7/(E$7+E$8)+E54*E$8/(E$7+E$8)</f>
        <v>42.287194712212013</v>
      </c>
      <c r="F68" s="525"/>
      <c r="G68" s="152">
        <f t="shared" ref="G68:AP68" si="18">G37*G$7/(G$7+G$8)+G54*G$8/(G$7+G$8)</f>
        <v>43.034981033797671</v>
      </c>
      <c r="H68" s="152">
        <f t="shared" si="18"/>
        <v>44.215337636904238</v>
      </c>
      <c r="I68" s="152">
        <f t="shared" si="18"/>
        <v>42.890059831763452</v>
      </c>
      <c r="J68" s="152">
        <f t="shared" si="18"/>
        <v>42.724177927585615</v>
      </c>
      <c r="K68" s="152">
        <f t="shared" si="18"/>
        <v>42.997067913326276</v>
      </c>
      <c r="L68" s="152">
        <f t="shared" si="18"/>
        <v>43.028290286127536</v>
      </c>
      <c r="M68" s="152">
        <f t="shared" si="18"/>
        <v>42.81781592168192</v>
      </c>
      <c r="N68" s="152">
        <f t="shared" si="18"/>
        <v>49.93528090762203</v>
      </c>
      <c r="O68" s="152">
        <f t="shared" si="18"/>
        <v>60.316978545042325</v>
      </c>
      <c r="P68" s="152">
        <f t="shared" si="18"/>
        <v>57.972337646392255</v>
      </c>
      <c r="Q68" s="152">
        <f t="shared" si="18"/>
        <v>57.762879941735505</v>
      </c>
      <c r="R68" s="152">
        <f t="shared" si="18"/>
        <v>57.223090351085482</v>
      </c>
      <c r="S68" s="525">
        <f t="shared" si="18"/>
        <v>48.582497647725958</v>
      </c>
      <c r="T68" s="152">
        <f t="shared" si="18"/>
        <v>59.323652478893933</v>
      </c>
      <c r="U68" s="152">
        <f t="shared" si="18"/>
        <v>61.228986376573658</v>
      </c>
      <c r="V68" s="152">
        <f t="shared" si="18"/>
        <v>59.065336751172325</v>
      </c>
      <c r="W68" s="152">
        <f t="shared" si="18"/>
        <v>58.538444081143098</v>
      </c>
      <c r="X68" s="152">
        <f t="shared" si="18"/>
        <v>59.155436650965306</v>
      </c>
      <c r="Y68" s="152">
        <f t="shared" si="18"/>
        <v>59.219812166100759</v>
      </c>
      <c r="Z68" s="152">
        <f t="shared" si="18"/>
        <v>59.195232879229614</v>
      </c>
      <c r="AA68" s="152">
        <f t="shared" si="18"/>
        <v>62.328572166459949</v>
      </c>
      <c r="AB68" s="152">
        <f t="shared" si="18"/>
        <v>62.70139317485895</v>
      </c>
      <c r="AC68" s="152">
        <f t="shared" si="18"/>
        <v>60.355351917571483</v>
      </c>
      <c r="AD68" s="152">
        <f t="shared" si="18"/>
        <v>60.159657381756581</v>
      </c>
      <c r="AE68" s="152">
        <f t="shared" si="18"/>
        <v>59.610243654780149</v>
      </c>
      <c r="AF68" s="525">
        <f t="shared" si="18"/>
        <v>60.081177932896907</v>
      </c>
      <c r="AG68" s="125">
        <f t="shared" si="18"/>
        <v>62.376727242214734</v>
      </c>
      <c r="AH68" s="125">
        <f t="shared" si="18"/>
        <v>65.650898399338217</v>
      </c>
      <c r="AI68" s="125">
        <f t="shared" si="18"/>
        <v>67.423164885516528</v>
      </c>
      <c r="AJ68" s="125">
        <f t="shared" si="18"/>
        <v>76.007315888763287</v>
      </c>
      <c r="AK68" s="125">
        <f t="shared" si="18"/>
        <v>76.45334271032165</v>
      </c>
      <c r="AL68" s="125">
        <f t="shared" si="18"/>
        <v>69.611540067193545</v>
      </c>
      <c r="AM68" s="125">
        <f t="shared" si="18"/>
        <v>67.131331167111099</v>
      </c>
      <c r="AN68" s="125">
        <f t="shared" si="18"/>
        <v>68.157651348455047</v>
      </c>
      <c r="AO68" s="125">
        <f t="shared" si="18"/>
        <v>72.985821646085071</v>
      </c>
      <c r="AP68" s="125">
        <f t="shared" si="18"/>
        <v>76.446733416104721</v>
      </c>
      <c r="AQ68" s="125">
        <f t="shared" si="17"/>
        <v>81.699581034592015</v>
      </c>
      <c r="AR68" s="130"/>
      <c r="AS68" s="130"/>
    </row>
    <row r="69" spans="1:45" s="114" customFormat="1" ht="15.75" thickTop="1">
      <c r="A69" s="422">
        <f t="shared" si="1"/>
        <v>67</v>
      </c>
      <c r="C69" s="149"/>
      <c r="D69" s="149"/>
      <c r="E69" s="149"/>
      <c r="F69" s="526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526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526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</row>
    <row r="70" spans="1:45" s="114" customFormat="1" ht="15.75">
      <c r="A70" s="422">
        <f t="shared" ref="A70:A134" si="19">A69+1</f>
        <v>68</v>
      </c>
      <c r="B70" s="131" t="s">
        <v>164</v>
      </c>
      <c r="C70" s="141"/>
      <c r="D70" s="141"/>
      <c r="E70" s="141"/>
      <c r="F70" s="524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524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5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30"/>
      <c r="AS70" s="130"/>
    </row>
    <row r="71" spans="1:45" s="114" customFormat="1">
      <c r="A71" s="422">
        <f t="shared" si="19"/>
        <v>69</v>
      </c>
      <c r="B71" s="132" t="s">
        <v>165</v>
      </c>
      <c r="C71" s="141"/>
      <c r="D71" s="141"/>
      <c r="E71" s="141">
        <v>39.11</v>
      </c>
      <c r="F71" s="524"/>
      <c r="G71" s="141">
        <f>Rates!M208</f>
        <v>39.432103718199613</v>
      </c>
      <c r="H71" s="141">
        <f>Rates!N208</f>
        <v>39.432103718199613</v>
      </c>
      <c r="I71" s="141">
        <f>Rates!O208</f>
        <v>39.432103718199613</v>
      </c>
      <c r="J71" s="141">
        <f>Rates!P208</f>
        <v>39.432103718199613</v>
      </c>
      <c r="K71" s="141">
        <f>Rates!Q208</f>
        <v>39.432103718199613</v>
      </c>
      <c r="L71" s="141">
        <f>Rates!R208</f>
        <v>39.432103718199613</v>
      </c>
      <c r="M71" s="141">
        <f>Rates!S208</f>
        <v>39.432103718199613</v>
      </c>
      <c r="N71" s="141">
        <f>Rates!T208</f>
        <v>40.722221065031604</v>
      </c>
      <c r="O71" s="141">
        <f>Rates!U208</f>
        <v>47.59693877551021</v>
      </c>
      <c r="P71" s="141">
        <f>Rates!V208</f>
        <v>47.59693877551021</v>
      </c>
      <c r="Q71" s="141">
        <f>Rates!W208</f>
        <v>47.59693877551021</v>
      </c>
      <c r="R71" s="141">
        <f>Rates!X208</f>
        <v>47.59693877551021</v>
      </c>
      <c r="S71" s="524">
        <f t="shared" ref="S71:S79" si="20">(SUMPRODUCT(G$9:R$9,G71:R71)+SUMPRODUCT(G$10:R$10,G71:R71))/(S$9+S$10)</f>
        <v>41.020570244060984</v>
      </c>
      <c r="T71" s="141">
        <f>Rates!Z208</f>
        <v>47.59693877551021</v>
      </c>
      <c r="U71" s="141">
        <f>Rates!AA208</f>
        <v>47.59693877551021</v>
      </c>
      <c r="V71" s="141">
        <f>Rates!AB208</f>
        <v>47.59693877551021</v>
      </c>
      <c r="W71" s="141">
        <f>Rates!AC208</f>
        <v>47.59693877551021</v>
      </c>
      <c r="X71" s="141">
        <f>Rates!AD208</f>
        <v>47.59693877551021</v>
      </c>
      <c r="Y71" s="141">
        <f>Rates!AE208</f>
        <v>47.59693877551021</v>
      </c>
      <c r="Z71" s="141">
        <f>Rates!AF208</f>
        <v>47.59693877551021</v>
      </c>
      <c r="AA71" s="141">
        <f>Rates!AG208</f>
        <v>47.59693877551021</v>
      </c>
      <c r="AB71" s="141">
        <f>Rates!AH208</f>
        <v>47.59693877551021</v>
      </c>
      <c r="AC71" s="141">
        <f>Rates!AI208</f>
        <v>47.59693877551021</v>
      </c>
      <c r="AD71" s="141">
        <f>Rates!AJ208</f>
        <v>47.59693877551021</v>
      </c>
      <c r="AE71" s="141">
        <f>Rates!AK208</f>
        <v>47.59693877551021</v>
      </c>
      <c r="AF71" s="524">
        <f t="shared" ref="AF71:AF79" si="21">(SUMPRODUCT(T$9:AE$9,T71:AE71)+SUMPRODUCT(T$10:AE$10,T71:AE71))/(AF$9+AF$10)</f>
        <v>47.596938775510225</v>
      </c>
      <c r="AG71" s="124">
        <f>Rates!AM208</f>
        <v>47.59693877551021</v>
      </c>
      <c r="AH71" s="124">
        <f>Rates!AN208</f>
        <v>47.549542767926837</v>
      </c>
      <c r="AI71" s="124">
        <f>Rates!AO208</f>
        <v>47.59693877551021</v>
      </c>
      <c r="AJ71" s="124">
        <f>Rates!AP208</f>
        <v>47.59693877551021</v>
      </c>
      <c r="AK71" s="124">
        <f>Rates!AQ208</f>
        <v>47.59693877551021</v>
      </c>
      <c r="AL71" s="124">
        <f>Rates!AR208</f>
        <v>47.549542767926837</v>
      </c>
      <c r="AM71" s="124">
        <f>Rates!AS208</f>
        <v>47.59693877551021</v>
      </c>
      <c r="AN71" s="124">
        <f>Rates!AT208</f>
        <v>47.59693877551021</v>
      </c>
      <c r="AO71" s="124">
        <f>Rates!AU208</f>
        <v>47.59693877551021</v>
      </c>
      <c r="AP71" s="124">
        <f>Rates!AV208</f>
        <v>47.549542767926837</v>
      </c>
      <c r="AQ71" s="124">
        <f>Rates!AW208</f>
        <v>47.59693877551021</v>
      </c>
      <c r="AR71" s="130"/>
      <c r="AS71" s="130"/>
    </row>
    <row r="72" spans="1:45" s="114" customFormat="1">
      <c r="A72" s="422">
        <f t="shared" si="19"/>
        <v>70</v>
      </c>
      <c r="B72" s="132" t="s">
        <v>166</v>
      </c>
      <c r="C72" s="156"/>
      <c r="D72" s="156"/>
      <c r="E72" s="156">
        <v>2.75</v>
      </c>
      <c r="F72" s="528"/>
      <c r="G72" s="156">
        <f>Rates!M209</f>
        <v>2.95</v>
      </c>
      <c r="H72" s="156">
        <f>Rates!N209</f>
        <v>2.95</v>
      </c>
      <c r="I72" s="156">
        <f>Rates!O209</f>
        <v>2.95</v>
      </c>
      <c r="J72" s="156">
        <f>Rates!P209</f>
        <v>2.95</v>
      </c>
      <c r="K72" s="156">
        <f>Rates!Q209</f>
        <v>2.95</v>
      </c>
      <c r="L72" s="156">
        <f>Rates!R209</f>
        <v>2.95</v>
      </c>
      <c r="M72" s="156">
        <f>Rates!S209</f>
        <v>2.95</v>
      </c>
      <c r="N72" s="156">
        <f>Rates!T209</f>
        <v>2.95</v>
      </c>
      <c r="O72" s="156">
        <f>Rates!U209</f>
        <v>2.95</v>
      </c>
      <c r="P72" s="156">
        <f>Rates!V209</f>
        <v>2.95</v>
      </c>
      <c r="Q72" s="156">
        <f>Rates!W209</f>
        <v>2.95</v>
      </c>
      <c r="R72" s="156">
        <f>Rates!X209</f>
        <v>2.95</v>
      </c>
      <c r="S72" s="528">
        <f t="shared" si="20"/>
        <v>2.95</v>
      </c>
      <c r="T72" s="156">
        <f>Rates!Z209</f>
        <v>2.9370446903542855</v>
      </c>
      <c r="U72" s="156">
        <f>Rates!AA209</f>
        <v>2.9370446903542855</v>
      </c>
      <c r="V72" s="156">
        <f>Rates!AB209</f>
        <v>2.9370446903542855</v>
      </c>
      <c r="W72" s="156">
        <f>Rates!AC209</f>
        <v>2.9370446903542855</v>
      </c>
      <c r="X72" s="156">
        <f>Rates!AD209</f>
        <v>2.9370446903542855</v>
      </c>
      <c r="Y72" s="156">
        <f>Rates!AE209</f>
        <v>2.9370446903542855</v>
      </c>
      <c r="Z72" s="156">
        <f>Rates!AF209</f>
        <v>2.9370446903542855</v>
      </c>
      <c r="AA72" s="156">
        <f>Rates!AG209</f>
        <v>2.9370446903542855</v>
      </c>
      <c r="AB72" s="156">
        <f>Rates!AH209</f>
        <v>2.9370446903542855</v>
      </c>
      <c r="AC72" s="156">
        <f>Rates!AI209</f>
        <v>2.9370446903542855</v>
      </c>
      <c r="AD72" s="156">
        <f>Rates!AJ209</f>
        <v>2.9370446903542855</v>
      </c>
      <c r="AE72" s="156">
        <f>Rates!AK209</f>
        <v>2.9370446903542855</v>
      </c>
      <c r="AF72" s="528">
        <f t="shared" si="21"/>
        <v>2.9370446903542859</v>
      </c>
      <c r="AG72" s="127">
        <f>Rates!AM209</f>
        <v>2.3643831002009095</v>
      </c>
      <c r="AH72" s="127">
        <f>Rates!AN209</f>
        <v>3.55</v>
      </c>
      <c r="AI72" s="127">
        <f>Rates!AO209</f>
        <v>3.55</v>
      </c>
      <c r="AJ72" s="127">
        <f>Rates!AP209</f>
        <v>4.1500000000000004</v>
      </c>
      <c r="AK72" s="127">
        <f>Rates!AQ209</f>
        <v>0</v>
      </c>
      <c r="AL72" s="127">
        <f>Rates!AR209</f>
        <v>0</v>
      </c>
      <c r="AM72" s="127">
        <f>Rates!AS209</f>
        <v>0</v>
      </c>
      <c r="AN72" s="127">
        <f>Rates!AT209</f>
        <v>0</v>
      </c>
      <c r="AO72" s="127">
        <f>Rates!AU209</f>
        <v>0</v>
      </c>
      <c r="AP72" s="127">
        <f>Rates!AV209</f>
        <v>0</v>
      </c>
      <c r="AQ72" s="127">
        <f>Rates!AW209</f>
        <v>0</v>
      </c>
      <c r="AR72" s="130"/>
      <c r="AS72" s="130"/>
    </row>
    <row r="73" spans="1:45" s="114" customFormat="1">
      <c r="A73" s="422">
        <f t="shared" si="19"/>
        <v>71</v>
      </c>
      <c r="B73" s="486" t="s">
        <v>131</v>
      </c>
      <c r="C73" s="141"/>
      <c r="D73" s="141"/>
      <c r="E73" s="141">
        <f>SUM(E71:E72)</f>
        <v>41.86</v>
      </c>
      <c r="F73" s="524"/>
      <c r="G73" s="141">
        <f>Rates!M210</f>
        <v>42.382103718199616</v>
      </c>
      <c r="H73" s="141">
        <f>Rates!N210</f>
        <v>42.382103718199616</v>
      </c>
      <c r="I73" s="141">
        <f>Rates!O210</f>
        <v>42.382103718199616</v>
      </c>
      <c r="J73" s="141">
        <f>Rates!P210</f>
        <v>42.382103718199616</v>
      </c>
      <c r="K73" s="141">
        <f>Rates!Q210</f>
        <v>42.382103718199616</v>
      </c>
      <c r="L73" s="141">
        <f>Rates!R210</f>
        <v>42.382103718199616</v>
      </c>
      <c r="M73" s="141">
        <f>Rates!S210</f>
        <v>42.382103718199616</v>
      </c>
      <c r="N73" s="141">
        <f>Rates!T210</f>
        <v>43.672221065031607</v>
      </c>
      <c r="O73" s="141">
        <f>Rates!U210</f>
        <v>50.546938775510213</v>
      </c>
      <c r="P73" s="141">
        <f>Rates!V210</f>
        <v>50.546938775510213</v>
      </c>
      <c r="Q73" s="141">
        <f>Rates!W210</f>
        <v>50.546938775510213</v>
      </c>
      <c r="R73" s="141">
        <f>Rates!X210</f>
        <v>50.546938775510213</v>
      </c>
      <c r="S73" s="524">
        <f t="shared" si="20"/>
        <v>43.97057024406098</v>
      </c>
      <c r="T73" s="141">
        <f>Rates!Z210</f>
        <v>50.533983465864495</v>
      </c>
      <c r="U73" s="141">
        <f>Rates!AA210</f>
        <v>50.533983465864495</v>
      </c>
      <c r="V73" s="141">
        <f>Rates!AB210</f>
        <v>50.533983465864495</v>
      </c>
      <c r="W73" s="141">
        <f>Rates!AC210</f>
        <v>50.533983465864495</v>
      </c>
      <c r="X73" s="141">
        <f>Rates!AD210</f>
        <v>50.533983465864495</v>
      </c>
      <c r="Y73" s="141">
        <f>Rates!AE210</f>
        <v>50.533983465864495</v>
      </c>
      <c r="Z73" s="141">
        <f>Rates!AF210</f>
        <v>50.533983465864495</v>
      </c>
      <c r="AA73" s="141">
        <f>Rates!AG210</f>
        <v>50.533983465864495</v>
      </c>
      <c r="AB73" s="141">
        <f>Rates!AH210</f>
        <v>50.533983465864495</v>
      </c>
      <c r="AC73" s="141">
        <f>Rates!AI210</f>
        <v>50.533983465864495</v>
      </c>
      <c r="AD73" s="141">
        <f>Rates!AJ210</f>
        <v>50.533983465864495</v>
      </c>
      <c r="AE73" s="141">
        <f>Rates!AK210</f>
        <v>50.533983465864495</v>
      </c>
      <c r="AF73" s="524">
        <f t="shared" si="21"/>
        <v>50.533983465864495</v>
      </c>
      <c r="AG73" s="124">
        <f>Rates!AM210</f>
        <v>49.961321875711121</v>
      </c>
      <c r="AH73" s="124">
        <f>Rates!AN210</f>
        <v>51.099542767926835</v>
      </c>
      <c r="AI73" s="124">
        <f>Rates!AO210</f>
        <v>51.146938775510208</v>
      </c>
      <c r="AJ73" s="124">
        <f>Rates!AP210</f>
        <v>51.746938775510209</v>
      </c>
      <c r="AK73" s="124">
        <f>Rates!AQ210</f>
        <v>47.59693877551021</v>
      </c>
      <c r="AL73" s="124">
        <f>Rates!AR210</f>
        <v>47.549542767926837</v>
      </c>
      <c r="AM73" s="124">
        <f>Rates!AS210</f>
        <v>47.59693877551021</v>
      </c>
      <c r="AN73" s="124">
        <f>Rates!AT210</f>
        <v>47.59693877551021</v>
      </c>
      <c r="AO73" s="124">
        <f>Rates!AU210</f>
        <v>47.59693877551021</v>
      </c>
      <c r="AP73" s="124">
        <f>Rates!AV210</f>
        <v>47.549542767926837</v>
      </c>
      <c r="AQ73" s="124">
        <f>Rates!AW210</f>
        <v>47.59693877551021</v>
      </c>
      <c r="AR73" s="130"/>
      <c r="AS73" s="130"/>
    </row>
    <row r="74" spans="1:45" s="114" customFormat="1">
      <c r="A74" s="422">
        <f t="shared" si="19"/>
        <v>72</v>
      </c>
      <c r="B74" s="132" t="s">
        <v>34</v>
      </c>
      <c r="C74" s="141"/>
      <c r="D74" s="141"/>
      <c r="E74" s="141">
        <v>-0.27</v>
      </c>
      <c r="F74" s="524"/>
      <c r="G74" s="141">
        <f>'FAC, PPA, ES, SC'!M47</f>
        <v>-0.5925009641938721</v>
      </c>
      <c r="H74" s="141">
        <f>'FAC, PPA, ES, SC'!N47</f>
        <v>-0.55731927656533431</v>
      </c>
      <c r="I74" s="141">
        <f>'FAC, PPA, ES, SC'!O47</f>
        <v>-0.5737368842685836</v>
      </c>
      <c r="J74" s="141">
        <f>'FAC, PPA, ES, SC'!P47</f>
        <v>-0.55093233577754153</v>
      </c>
      <c r="K74" s="141">
        <f>'FAC, PPA, ES, SC'!Q47</f>
        <v>-0.56551745076960325</v>
      </c>
      <c r="L74" s="141">
        <f>'FAC, PPA, ES, SC'!R47</f>
        <v>-0.57551819176572117</v>
      </c>
      <c r="M74" s="141">
        <f>'FAC, PPA, ES, SC'!S47</f>
        <v>-0.58988169069912166</v>
      </c>
      <c r="N74" s="141">
        <f>'FAC, PPA, ES, SC'!T47</f>
        <v>-0.53806472210346379</v>
      </c>
      <c r="O74" s="141">
        <f>'FAC, PPA, ES, SC'!U47</f>
        <v>-0.35249368719290919</v>
      </c>
      <c r="P74" s="141">
        <f>'FAC, PPA, ES, SC'!V47</f>
        <v>-0.33771326517128042</v>
      </c>
      <c r="Q74" s="141">
        <f>'FAC, PPA, ES, SC'!W47</f>
        <v>-0.35298582223814712</v>
      </c>
      <c r="R74" s="141">
        <f>'FAC, PPA, ES, SC'!X47</f>
        <v>-0.42066034645085848</v>
      </c>
      <c r="S74" s="524">
        <f t="shared" si="20"/>
        <v>-0.53218347788049569</v>
      </c>
      <c r="T74" s="141">
        <f>'FAC, PPA, ES, SC'!Z47</f>
        <v>-0.4131719799560179</v>
      </c>
      <c r="U74" s="141">
        <f>'FAC, PPA, ES, SC'!AA47</f>
        <v>-0.34973372325587471</v>
      </c>
      <c r="V74" s="141">
        <f>'FAC, PPA, ES, SC'!AB47</f>
        <v>-0.36078650176760829</v>
      </c>
      <c r="W74" s="141">
        <f>'FAC, PPA, ES, SC'!AC47</f>
        <v>-0.30574356931596547</v>
      </c>
      <c r="X74" s="141">
        <f>'FAC, PPA, ES, SC'!AD47</f>
        <v>-0.33667919218428721</v>
      </c>
      <c r="Y74" s="141">
        <f>'FAC, PPA, ES, SC'!AE47</f>
        <v>-0.37682679036234384</v>
      </c>
      <c r="Z74" s="141">
        <f>'FAC, PPA, ES, SC'!AF47</f>
        <v>-0.41144180507006445</v>
      </c>
      <c r="AA74" s="141">
        <f>'FAC, PPA, ES, SC'!AG47</f>
        <v>-0.40356873242944441</v>
      </c>
      <c r="AB74" s="141">
        <f>'FAC, PPA, ES, SC'!AH47</f>
        <v>-0.33985615603992791</v>
      </c>
      <c r="AC74" s="141">
        <f>'FAC, PPA, ES, SC'!AI47</f>
        <v>-0.32435764479598539</v>
      </c>
      <c r="AD74" s="141">
        <f>'FAC, PPA, ES, SC'!AJ47</f>
        <v>-0.3403501960191645</v>
      </c>
      <c r="AE74" s="141">
        <f>'FAC, PPA, ES, SC'!AK47</f>
        <v>-0.41014899239402358</v>
      </c>
      <c r="AF74" s="524">
        <f t="shared" si="21"/>
        <v>-0.36476889290358067</v>
      </c>
      <c r="AG74" s="141">
        <f>'FAC, PPA, ES, SC'!AM47</f>
        <v>1.0131421398017837</v>
      </c>
      <c r="AH74" s="141">
        <f>'FAC, PPA, ES, SC'!AN47</f>
        <v>0.99924221133673552</v>
      </c>
      <c r="AI74" s="141">
        <f>'FAC, PPA, ES, SC'!AO47</f>
        <v>0.99135611566123527</v>
      </c>
      <c r="AJ74" s="141">
        <f>'FAC, PPA, ES, SC'!AP47</f>
        <v>1.0765746673305254</v>
      </c>
      <c r="AK74" s="141">
        <f>'FAC, PPA, ES, SC'!AQ47</f>
        <v>1.0686185000164423</v>
      </c>
      <c r="AL74" s="141">
        <f>'FAC, PPA, ES, SC'!AR47</f>
        <v>1.0561807903917591</v>
      </c>
      <c r="AM74" s="141">
        <f>'FAC, PPA, ES, SC'!AS47</f>
        <v>1.1448931705845138</v>
      </c>
      <c r="AN74" s="141">
        <f>'FAC, PPA, ES, SC'!AT47</f>
        <v>1.134146890515384</v>
      </c>
      <c r="AO74" s="141">
        <f>'FAC, PPA, ES, SC'!AU47</f>
        <v>1.123291046116063</v>
      </c>
      <c r="AP74" s="141">
        <f>'FAC, PPA, ES, SC'!AV47</f>
        <v>1.2088481793355568</v>
      </c>
      <c r="AQ74" s="141">
        <f>'FAC, PPA, ES, SC'!AW47</f>
        <v>1.2002371025658123</v>
      </c>
      <c r="AR74" s="149"/>
      <c r="AS74" s="149"/>
    </row>
    <row r="75" spans="1:45" s="114" customFormat="1">
      <c r="A75" s="422">
        <f t="shared" si="19"/>
        <v>73</v>
      </c>
      <c r="B75" s="132" t="s">
        <v>231</v>
      </c>
      <c r="C75" s="141"/>
      <c r="D75" s="141"/>
      <c r="E75" s="141">
        <v>2.92</v>
      </c>
      <c r="F75" s="524"/>
      <c r="G75" s="141">
        <f>'FAC, PPA, ES, SC'!M46</f>
        <v>3.7963383636932448</v>
      </c>
      <c r="H75" s="141">
        <f>'FAC, PPA, ES, SC'!N46</f>
        <v>3.9251281468845747</v>
      </c>
      <c r="I75" s="141">
        <f>'FAC, PPA, ES, SC'!O46</f>
        <v>3.9177526208667715</v>
      </c>
      <c r="J75" s="141">
        <f>'FAC, PPA, ES, SC'!P46</f>
        <v>3.9583829858781563</v>
      </c>
      <c r="K75" s="141">
        <f>'FAC, PPA, ES, SC'!Q46</f>
        <v>3.9650535434312602</v>
      </c>
      <c r="L75" s="141">
        <f>'FAC, PPA, ES, SC'!R46</f>
        <v>4.1057147400882172</v>
      </c>
      <c r="M75" s="141">
        <f>'FAC, PPA, ES, SC'!S46</f>
        <v>4.6280961821621247</v>
      </c>
      <c r="N75" s="141">
        <f>'FAC, PPA, ES, SC'!T46</f>
        <v>4.2085144107267354</v>
      </c>
      <c r="O75" s="141">
        <f>'FAC, PPA, ES, SC'!U46</f>
        <v>4.6894785183502243</v>
      </c>
      <c r="P75" s="141">
        <f>'FAC, PPA, ES, SC'!V46</f>
        <v>4.4699835305300013</v>
      </c>
      <c r="Q75" s="141">
        <f>'FAC, PPA, ES, SC'!W46</f>
        <v>4.5930663428745611</v>
      </c>
      <c r="R75" s="141">
        <f>'FAC, PPA, ES, SC'!X46</f>
        <v>4.6583515678101328</v>
      </c>
      <c r="S75" s="524">
        <f t="shared" si="20"/>
        <v>4.1582675375958669</v>
      </c>
      <c r="T75" s="141">
        <f>'FAC, PPA, ES, SC'!Z46</f>
        <v>4.8866856798061171</v>
      </c>
      <c r="U75" s="141">
        <f>'FAC, PPA, ES, SC'!AA46</f>
        <v>5.0551684882073182</v>
      </c>
      <c r="V75" s="141">
        <f>'FAC, PPA, ES, SC'!AB46</f>
        <v>5.2005594622076536</v>
      </c>
      <c r="W75" s="141">
        <f>'FAC, PPA, ES, SC'!AC46</f>
        <v>5.3225046534309719</v>
      </c>
      <c r="X75" s="141">
        <f>'FAC, PPA, ES, SC'!AD46</f>
        <v>5.4315731102566787</v>
      </c>
      <c r="Y75" s="141">
        <f>'FAC, PPA, ES, SC'!AE46</f>
        <v>5.6299815605481953</v>
      </c>
      <c r="Z75" s="141">
        <f>'FAC, PPA, ES, SC'!AF46</f>
        <v>5.6517894361783796</v>
      </c>
      <c r="AA75" s="141">
        <f>'FAC, PPA, ES, SC'!AG46</f>
        <v>5.690344155591383</v>
      </c>
      <c r="AB75" s="141">
        <f>'FAC, PPA, ES, SC'!AH46</f>
        <v>5.7617463416336498</v>
      </c>
      <c r="AC75" s="141">
        <f>'FAC, PPA, ES, SC'!AI46</f>
        <v>5.3798392292094768</v>
      </c>
      <c r="AD75" s="141">
        <f>'FAC, PPA, ES, SC'!AJ46</f>
        <v>5.424671823074668</v>
      </c>
      <c r="AE75" s="141">
        <f>'FAC, PPA, ES, SC'!AK46</f>
        <v>5.4400767169142874</v>
      </c>
      <c r="AF75" s="524">
        <f t="shared" si="21"/>
        <v>5.4077226041794884</v>
      </c>
      <c r="AG75" s="141">
        <f>'FAC, PPA, ES, SC'!AM46</f>
        <v>6.4429337942454907</v>
      </c>
      <c r="AH75" s="141">
        <f>'FAC, PPA, ES, SC'!AN46</f>
        <v>6.9344556727440256</v>
      </c>
      <c r="AI75" s="141">
        <f>'FAC, PPA, ES, SC'!AO46</f>
        <v>8.1711410789152517</v>
      </c>
      <c r="AJ75" s="141">
        <f>'FAC, PPA, ES, SC'!AP46</f>
        <v>9.089843981659989</v>
      </c>
      <c r="AK75" s="141">
        <f>'FAC, PPA, ES, SC'!AQ46</f>
        <v>9.6600154495524251</v>
      </c>
      <c r="AL75" s="141">
        <f>'FAC, PPA, ES, SC'!AR46</f>
        <v>11.262019941767477</v>
      </c>
      <c r="AM75" s="141">
        <f>'FAC, PPA, ES, SC'!AS46</f>
        <v>12.718998434024591</v>
      </c>
      <c r="AN75" s="141">
        <f>'FAC, PPA, ES, SC'!AT46</f>
        <v>13.973213946999408</v>
      </c>
      <c r="AO75" s="141">
        <f>'FAC, PPA, ES, SC'!AU46</f>
        <v>15.594056537842711</v>
      </c>
      <c r="AP75" s="141">
        <f>'FAC, PPA, ES, SC'!AV46</f>
        <v>16.312925925514492</v>
      </c>
      <c r="AQ75" s="141">
        <f>'FAC, PPA, ES, SC'!AW46</f>
        <v>19.349098915653869</v>
      </c>
      <c r="AR75" s="149"/>
      <c r="AS75" s="149"/>
    </row>
    <row r="76" spans="1:45" s="114" customFormat="1">
      <c r="A76" s="422">
        <f t="shared" si="19"/>
        <v>74</v>
      </c>
      <c r="B76" s="132" t="s">
        <v>232</v>
      </c>
      <c r="C76" s="141"/>
      <c r="D76" s="141"/>
      <c r="E76" s="141">
        <v>2.14</v>
      </c>
      <c r="F76" s="524"/>
      <c r="G76" s="141">
        <f>ECP!G88</f>
        <v>2.4837354139234424</v>
      </c>
      <c r="H76" s="141">
        <f>ECP!H88</f>
        <v>2.484951953672033</v>
      </c>
      <c r="I76" s="141">
        <f>ECP!I88</f>
        <v>2.5480437944753915</v>
      </c>
      <c r="J76" s="141">
        <f>ECP!J88</f>
        <v>2.3842333579917425</v>
      </c>
      <c r="K76" s="141">
        <f>ECP!K88</f>
        <v>2.4754446767998322</v>
      </c>
      <c r="L76" s="141">
        <f>ECP!L88</f>
        <v>2.4987034334792542</v>
      </c>
      <c r="M76" s="141">
        <f>ECP!M88</f>
        <v>2.443468871690206</v>
      </c>
      <c r="N76" s="141">
        <f>ECP!N88</f>
        <v>2.7238332321735794</v>
      </c>
      <c r="O76" s="141">
        <f>ECP!O88</f>
        <v>3.0324799914683211</v>
      </c>
      <c r="P76" s="141">
        <f>ECP!P88</f>
        <v>2.9728562994113905</v>
      </c>
      <c r="Q76" s="141">
        <f>ECP!Q88</f>
        <v>2.7292984327162308</v>
      </c>
      <c r="R76" s="141">
        <f>ECP!R88</f>
        <v>2.5630568520684061</v>
      </c>
      <c r="S76" s="524">
        <f t="shared" si="20"/>
        <v>2.5583803060579315</v>
      </c>
      <c r="T76" s="141">
        <f>ECP!T88</f>
        <v>2.6968370851683456</v>
      </c>
      <c r="U76" s="141">
        <f>ECP!U88</f>
        <v>2.7167446585079342</v>
      </c>
      <c r="V76" s="141">
        <f>ECP!V88</f>
        <v>2.6246257139596327</v>
      </c>
      <c r="W76" s="141">
        <f>ECP!W88</f>
        <v>2.8637260353860805</v>
      </c>
      <c r="X76" s="141">
        <f>ECP!X88</f>
        <v>2.8023755741713652</v>
      </c>
      <c r="Y76" s="141">
        <f>ECP!Y88</f>
        <v>2.8104475907145341</v>
      </c>
      <c r="Z76" s="141">
        <f>ECP!Z88</f>
        <v>2.7803919246655227</v>
      </c>
      <c r="AA76" s="141">
        <f>ECP!AA88</f>
        <v>3.2279926501818479</v>
      </c>
      <c r="AB76" s="141">
        <f>ECP!AB88</f>
        <v>3.7760782055843216</v>
      </c>
      <c r="AC76" s="141">
        <f>ECP!AC88</f>
        <v>3.7113036970125699</v>
      </c>
      <c r="AD76" s="141">
        <f>ECP!AD88</f>
        <v>3.4445748743559039</v>
      </c>
      <c r="AE76" s="141">
        <f>ECP!AE88</f>
        <v>3.1921053475955525</v>
      </c>
      <c r="AF76" s="524">
        <f t="shared" si="21"/>
        <v>3.0548445024516373</v>
      </c>
      <c r="AG76" s="141">
        <f>ECP!AG88</f>
        <v>3.8988459545865926</v>
      </c>
      <c r="AH76" s="141">
        <f>ECP!AH88</f>
        <v>4.0471960292399274</v>
      </c>
      <c r="AI76" s="141">
        <f>ECP!AI88</f>
        <v>4.1363305084292668</v>
      </c>
      <c r="AJ76" s="141">
        <f>ECP!AJ88</f>
        <v>4.2116223990043533</v>
      </c>
      <c r="AK76" s="141">
        <f>ECP!AK88</f>
        <v>4.2667436399347398</v>
      </c>
      <c r="AL76" s="141">
        <f>ECP!AL88</f>
        <v>4.0897229327858593</v>
      </c>
      <c r="AM76" s="141">
        <f>ECP!AM88</f>
        <v>3.962066961948286</v>
      </c>
      <c r="AN76" s="141">
        <f>ECP!AN88</f>
        <v>4.0781162283384651</v>
      </c>
      <c r="AO76" s="141">
        <f>ECP!AO88</f>
        <v>4.2312651417704696</v>
      </c>
      <c r="AP76" s="141">
        <f>ECP!AP88</f>
        <v>4.30061956715035</v>
      </c>
      <c r="AQ76" s="141">
        <f>ECP!AQ88</f>
        <v>4.4624164222096425</v>
      </c>
      <c r="AR76" s="149"/>
      <c r="AS76" s="149"/>
    </row>
    <row r="77" spans="1:45" s="114" customFormat="1">
      <c r="A77" s="422">
        <f t="shared" si="19"/>
        <v>75</v>
      </c>
      <c r="B77" s="132" t="s">
        <v>660</v>
      </c>
      <c r="C77" s="141"/>
      <c r="D77" s="141"/>
      <c r="E77" s="141">
        <v>1.87</v>
      </c>
      <c r="F77" s="524"/>
      <c r="G77" s="141">
        <f>Rates!M212+Rates!M213</f>
        <v>1.8512039361881287</v>
      </c>
      <c r="H77" s="141">
        <f>Rates!N212+Rates!N213</f>
        <v>1.9209757864939996</v>
      </c>
      <c r="I77" s="141">
        <f>Rates!O212+Rates!O213</f>
        <v>1.8512039361881287</v>
      </c>
      <c r="J77" s="141">
        <f>Rates!P212+Rates!P213</f>
        <v>1.8729107340610662</v>
      </c>
      <c r="K77" s="141">
        <f>Rates!Q212+Rates!Q213</f>
        <v>1.8512039361881287</v>
      </c>
      <c r="L77" s="141">
        <f>Rates!R212+Rates!R213</f>
        <v>1.8729107340610662</v>
      </c>
      <c r="M77" s="141">
        <f>Rates!S212+Rates!S213</f>
        <v>1.8588651589668126</v>
      </c>
      <c r="N77" s="141">
        <f>Rates!T212+Rates!T213</f>
        <v>1.8743074198556964</v>
      </c>
      <c r="O77" s="141">
        <f>Rates!U212+Rates!U213</f>
        <v>1.8808305296756385</v>
      </c>
      <c r="P77" s="141">
        <f>Rates!V212+Rates!V213</f>
        <v>1.8588682545248114</v>
      </c>
      <c r="Q77" s="141">
        <f>Rates!W212+Rates!W213</f>
        <v>1.8808305296756385</v>
      </c>
      <c r="R77" s="141">
        <f>Rates!X212+Rates!X213</f>
        <v>1.8588682545248114</v>
      </c>
      <c r="S77" s="524">
        <f t="shared" si="20"/>
        <v>1.8686047761308633</v>
      </c>
      <c r="T77" s="141">
        <f>Rates!Z212+Rates!Z213</f>
        <v>1.8588682545248114</v>
      </c>
      <c r="U77" s="141">
        <f>Rates!AA212+Rates!AA213</f>
        <v>1.9294612817953269</v>
      </c>
      <c r="V77" s="141">
        <f>Rates!AB212+Rates!AB213</f>
        <v>1.8588682545248114</v>
      </c>
      <c r="W77" s="141">
        <f>Rates!AC212+Rates!AC213</f>
        <v>1.8808305296756385</v>
      </c>
      <c r="X77" s="141">
        <f>Rates!AD212+Rates!AD213</f>
        <v>1.8588682545248114</v>
      </c>
      <c r="Y77" s="141">
        <f>Rates!AE212+Rates!AE213</f>
        <v>1.8808305296756385</v>
      </c>
      <c r="Z77" s="141">
        <f>Rates!AF212+Rates!AF213</f>
        <v>1.8588682545248114</v>
      </c>
      <c r="AA77" s="141">
        <f>Rates!AG212+Rates!AG213</f>
        <v>1.8588682545248114</v>
      </c>
      <c r="AB77" s="141">
        <f>Rates!AH212+Rates!AH213</f>
        <v>1.8808305296756385</v>
      </c>
      <c r="AC77" s="141">
        <f>Rates!AI212+Rates!AI213</f>
        <v>1.8588682545248114</v>
      </c>
      <c r="AD77" s="141">
        <f>Rates!AJ212+Rates!AJ213</f>
        <v>1.8808305296756385</v>
      </c>
      <c r="AE77" s="141">
        <f>Rates!AK212+Rates!AK213</f>
        <v>1.8588682545248114</v>
      </c>
      <c r="AF77" s="524">
        <f t="shared" si="21"/>
        <v>1.8715040840636439</v>
      </c>
      <c r="AG77" s="141">
        <f>Rates!AM212+Rates!AM213</f>
        <v>1.8715040840636434</v>
      </c>
      <c r="AH77" s="141">
        <f>Rates!AN212+Rates!AN213</f>
        <v>1.8696693734514478</v>
      </c>
      <c r="AI77" s="141">
        <f>Rates!AO212+Rates!AO213</f>
        <v>2.4310154854079808</v>
      </c>
      <c r="AJ77" s="141">
        <f>Rates!AP212+Rates!AP213</f>
        <v>2.5954643799151582</v>
      </c>
      <c r="AK77" s="141">
        <f>Rates!AQ212+Rates!AQ213</f>
        <v>2.5954643799151582</v>
      </c>
      <c r="AL77" s="141">
        <f>Rates!AR212+Rates!AR213</f>
        <v>2.5916516357077399</v>
      </c>
      <c r="AM77" s="141">
        <f>Rates!AS212+Rates!AS213</f>
        <v>2.5954643799151582</v>
      </c>
      <c r="AN77" s="141">
        <f>Rates!AT212+Rates!AT213</f>
        <v>2.5954643799151582</v>
      </c>
      <c r="AO77" s="141">
        <f>Rates!AU212+Rates!AU213</f>
        <v>2.5954643799151582</v>
      </c>
      <c r="AP77" s="141">
        <f>Rates!AV212+Rates!AV213</f>
        <v>2.5916516357077399</v>
      </c>
      <c r="AQ77" s="141">
        <f>Rates!AW212+Rates!AW213</f>
        <v>2.5954643799151582</v>
      </c>
      <c r="AR77" s="149"/>
      <c r="AS77" s="149"/>
    </row>
    <row r="78" spans="1:45" s="114" customFormat="1">
      <c r="A78" s="422">
        <f t="shared" si="19"/>
        <v>76</v>
      </c>
      <c r="B78" s="132" t="s">
        <v>160</v>
      </c>
      <c r="C78" s="141"/>
      <c r="D78" s="141"/>
      <c r="E78" s="141">
        <v>0</v>
      </c>
      <c r="F78" s="524"/>
      <c r="G78" s="141">
        <f>Rates!M214</f>
        <v>0</v>
      </c>
      <c r="H78" s="141">
        <f>Rates!N214</f>
        <v>0</v>
      </c>
      <c r="I78" s="141">
        <f>Rates!O214</f>
        <v>0</v>
      </c>
      <c r="J78" s="141">
        <f>Rates!P214</f>
        <v>0</v>
      </c>
      <c r="K78" s="141">
        <f>Rates!Q214</f>
        <v>0</v>
      </c>
      <c r="L78" s="141">
        <f>Rates!R214</f>
        <v>0</v>
      </c>
      <c r="M78" s="141">
        <f>Rates!S214</f>
        <v>0</v>
      </c>
      <c r="N78" s="141">
        <f>Rates!T214</f>
        <v>0</v>
      </c>
      <c r="O78" s="141">
        <f>Rates!U214</f>
        <v>0</v>
      </c>
      <c r="P78" s="141">
        <f>Rates!V214</f>
        <v>0</v>
      </c>
      <c r="Q78" s="141">
        <f>Rates!W214</f>
        <v>0</v>
      </c>
      <c r="R78" s="141">
        <f>Rates!X214</f>
        <v>0</v>
      </c>
      <c r="S78" s="524">
        <f t="shared" si="20"/>
        <v>0</v>
      </c>
      <c r="T78" s="141">
        <f>Rates!Z214</f>
        <v>0</v>
      </c>
      <c r="U78" s="141">
        <f>Rates!AA214</f>
        <v>0</v>
      </c>
      <c r="V78" s="141">
        <f>Rates!AB214</f>
        <v>0</v>
      </c>
      <c r="W78" s="141">
        <f>Rates!AC214</f>
        <v>0</v>
      </c>
      <c r="X78" s="141">
        <f>Rates!AD214</f>
        <v>0</v>
      </c>
      <c r="Y78" s="141">
        <f>Rates!AE214</f>
        <v>0</v>
      </c>
      <c r="Z78" s="141">
        <f>Rates!AF214</f>
        <v>0</v>
      </c>
      <c r="AA78" s="141">
        <f>Rates!AG214</f>
        <v>0</v>
      </c>
      <c r="AB78" s="141">
        <f>Rates!AH214</f>
        <v>0</v>
      </c>
      <c r="AC78" s="141">
        <f>Rates!AI214</f>
        <v>0</v>
      </c>
      <c r="AD78" s="141">
        <f>Rates!AJ214</f>
        <v>0</v>
      </c>
      <c r="AE78" s="141">
        <f>Rates!AK214</f>
        <v>0</v>
      </c>
      <c r="AF78" s="524">
        <f t="shared" si="21"/>
        <v>0</v>
      </c>
      <c r="AG78" s="124">
        <f>Rates!AM214</f>
        <v>0</v>
      </c>
      <c r="AH78" s="124">
        <f>Rates!AN214</f>
        <v>0</v>
      </c>
      <c r="AI78" s="124">
        <f>Rates!AO214</f>
        <v>0</v>
      </c>
      <c r="AJ78" s="124">
        <f>Rates!AP214</f>
        <v>0</v>
      </c>
      <c r="AK78" s="124">
        <f>Rates!AQ214</f>
        <v>-0.31314340031580845</v>
      </c>
      <c r="AL78" s="124">
        <f>Rates!AR214</f>
        <v>-8.5329819294059579</v>
      </c>
      <c r="AM78" s="124">
        <f>Rates!AS214</f>
        <v>-12.305029607254372</v>
      </c>
      <c r="AN78" s="124">
        <f>Rates!AT214</f>
        <v>-12.794396322787293</v>
      </c>
      <c r="AO78" s="124">
        <f>Rates!AU214</f>
        <v>-9.7810665187727928</v>
      </c>
      <c r="AP78" s="124">
        <f>Rates!AV214</f>
        <v>-7.1339082448434095</v>
      </c>
      <c r="AQ78" s="124">
        <f>Rates!AW214</f>
        <v>-5.204190027287015</v>
      </c>
      <c r="AR78" s="130"/>
      <c r="AS78" s="130"/>
    </row>
    <row r="79" spans="1:45" s="114" customFormat="1" ht="15.75" thickBot="1">
      <c r="A79" s="422">
        <f t="shared" si="19"/>
        <v>77</v>
      </c>
      <c r="B79" s="132" t="s">
        <v>161</v>
      </c>
      <c r="C79" s="152"/>
      <c r="D79" s="152"/>
      <c r="E79" s="152">
        <f>SUM(E73:E78)</f>
        <v>48.519999999999996</v>
      </c>
      <c r="F79" s="525"/>
      <c r="G79" s="152">
        <f>Rates!M215</f>
        <v>49.920880467810569</v>
      </c>
      <c r="H79" s="152">
        <f>Rates!N215</f>
        <v>50.155840328684896</v>
      </c>
      <c r="I79" s="152">
        <f>Rates!O215</f>
        <v>50.125367185461329</v>
      </c>
      <c r="J79" s="152">
        <f>Rates!P215</f>
        <v>50.046698460353049</v>
      </c>
      <c r="K79" s="152">
        <f>Rates!Q215</f>
        <v>50.108288423849238</v>
      </c>
      <c r="L79" s="152">
        <f>Rates!R215</f>
        <v>50.283914434062439</v>
      </c>
      <c r="M79" s="152">
        <f>Rates!S215</f>
        <v>50.72265224031964</v>
      </c>
      <c r="N79" s="152">
        <f>Rates!T215</f>
        <v>51.940811405684158</v>
      </c>
      <c r="O79" s="152">
        <f>Rates!U215</f>
        <v>59.797234127811492</v>
      </c>
      <c r="P79" s="152">
        <f>Rates!V215</f>
        <v>59.510933594805138</v>
      </c>
      <c r="Q79" s="152">
        <f>Rates!W215</f>
        <v>59.3971482585385</v>
      </c>
      <c r="R79" s="152">
        <f>Rates!X215</f>
        <v>59.206555103462712</v>
      </c>
      <c r="S79" s="525">
        <f t="shared" si="20"/>
        <v>52.02363938596514</v>
      </c>
      <c r="T79" s="152">
        <f>Rates!Z215</f>
        <v>59.563202505407752</v>
      </c>
      <c r="U79" s="152">
        <f>Rates!AA215</f>
        <v>59.885624171119197</v>
      </c>
      <c r="V79" s="152">
        <f>Rates!AB215</f>
        <v>59.857250394788984</v>
      </c>
      <c r="W79" s="152">
        <f>Rates!AC215</f>
        <v>60.295301115041219</v>
      </c>
      <c r="X79" s="152">
        <f>Rates!AD215</f>
        <v>60.290121212633068</v>
      </c>
      <c r="Y79" s="152">
        <f>Rates!AE215</f>
        <v>60.478416356440526</v>
      </c>
      <c r="Z79" s="152">
        <f>Rates!AF215</f>
        <v>60.413591276163146</v>
      </c>
      <c r="AA79" s="152">
        <f>Rates!AG215</f>
        <v>60.907619793733097</v>
      </c>
      <c r="AB79" s="152">
        <f>Rates!AH215</f>
        <v>61.61278238671818</v>
      </c>
      <c r="AC79" s="152">
        <f>Rates!AI215</f>
        <v>61.159637001815369</v>
      </c>
      <c r="AD79" s="152">
        <f>Rates!AJ215</f>
        <v>60.943710496951546</v>
      </c>
      <c r="AE79" s="152">
        <f>Rates!AK215</f>
        <v>60.61488479250513</v>
      </c>
      <c r="AF79" s="525">
        <f t="shared" si="21"/>
        <v>60.503285763655697</v>
      </c>
      <c r="AG79" s="125">
        <f>Rates!AM215</f>
        <v>63.187747848408634</v>
      </c>
      <c r="AH79" s="125">
        <f>Rates!AN215</f>
        <v>64.950106054698963</v>
      </c>
      <c r="AI79" s="125">
        <f>Rates!AO215</f>
        <v>66.876781963923946</v>
      </c>
      <c r="AJ79" s="125">
        <f>Rates!AP215</f>
        <v>68.720444203420229</v>
      </c>
      <c r="AK79" s="125">
        <f>Rates!AQ215</f>
        <v>64.874637344613163</v>
      </c>
      <c r="AL79" s="125">
        <f>Rates!AR215</f>
        <v>58.016136139173717</v>
      </c>
      <c r="AM79" s="125">
        <f>Rates!AS215</f>
        <v>55.713332114728388</v>
      </c>
      <c r="AN79" s="125">
        <f>Rates!AT215</f>
        <v>56.583483898491338</v>
      </c>
      <c r="AO79" s="125">
        <f>Rates!AU215</f>
        <v>61.359949362381826</v>
      </c>
      <c r="AP79" s="125">
        <f>Rates!AV215</f>
        <v>64.829679830791576</v>
      </c>
      <c r="AQ79" s="125">
        <f>Rates!AW215</f>
        <v>69.999965568567674</v>
      </c>
      <c r="AR79" s="130"/>
      <c r="AS79" s="130"/>
    </row>
    <row r="80" spans="1:45" s="114" customFormat="1" ht="15.75" thickTop="1">
      <c r="A80" s="422">
        <f t="shared" si="19"/>
        <v>78</v>
      </c>
      <c r="B80" s="133"/>
      <c r="C80" s="141"/>
      <c r="D80" s="141"/>
      <c r="E80" s="141"/>
      <c r="F80" s="524"/>
      <c r="G80" s="141"/>
      <c r="H80" s="141"/>
      <c r="I80" s="141"/>
      <c r="J80" s="141"/>
      <c r="K80" s="141"/>
      <c r="L80" s="141"/>
      <c r="M80" s="141"/>
      <c r="N80" s="141"/>
      <c r="O80" s="141"/>
      <c r="P80" s="574"/>
      <c r="Q80" s="141"/>
      <c r="R80" s="141"/>
      <c r="S80" s="524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5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30"/>
      <c r="AS80" s="130"/>
    </row>
    <row r="81" spans="1:46" s="114" customFormat="1">
      <c r="A81" s="422">
        <f t="shared" si="19"/>
        <v>79</v>
      </c>
      <c r="B81" s="119" t="s">
        <v>137</v>
      </c>
      <c r="C81" s="141"/>
      <c r="D81" s="141"/>
      <c r="E81" s="141">
        <v>28.814705973112481</v>
      </c>
      <c r="F81" s="524"/>
      <c r="G81" s="141">
        <f>Rates!M83</f>
        <v>32.365304649577816</v>
      </c>
      <c r="H81" s="141">
        <f>Rates!N83</f>
        <v>31.453733200566685</v>
      </c>
      <c r="I81" s="141">
        <f>Rates!O83</f>
        <v>30.365038623853565</v>
      </c>
      <c r="J81" s="141">
        <f>Rates!P83</f>
        <v>31.597869062965575</v>
      </c>
      <c r="K81" s="141">
        <f>Rates!Q83</f>
        <v>29.632041074028418</v>
      </c>
      <c r="L81" s="141">
        <f>Rates!R83</f>
        <v>32.709173043128665</v>
      </c>
      <c r="M81" s="141">
        <f>Rates!S83</f>
        <v>41.250305031543498</v>
      </c>
      <c r="N81" s="141">
        <f>Rates!T83</f>
        <v>33.258682455805818</v>
      </c>
      <c r="O81" s="141">
        <f>Rates!U83</f>
        <v>28.451497043157481</v>
      </c>
      <c r="P81" s="141">
        <f>Rates!V83</f>
        <v>28.081991506278342</v>
      </c>
      <c r="Q81" s="141">
        <f>Rates!W83</f>
        <v>27.891478742114352</v>
      </c>
      <c r="R81" s="141">
        <f>Rates!X83</f>
        <v>30.712188937724221</v>
      </c>
      <c r="S81" s="524">
        <f>SUMPRODUCT(G11:R11,G81:R81)/S11</f>
        <v>30.778511443569016</v>
      </c>
      <c r="T81" s="141">
        <f>Rates!Z83</f>
        <v>34.604803274343226</v>
      </c>
      <c r="U81" s="141">
        <f>Rates!AA83</f>
        <v>33.683774355345285</v>
      </c>
      <c r="V81" s="141">
        <f>Rates!AB83</f>
        <v>31.839287602487524</v>
      </c>
      <c r="W81" s="141">
        <f>Rates!AC83</f>
        <v>31.928912610960055</v>
      </c>
      <c r="X81" s="141">
        <f>Rates!AD83</f>
        <v>29.942720279349807</v>
      </c>
      <c r="Y81" s="141">
        <f>Rates!AE83</f>
        <v>32.483432338056652</v>
      </c>
      <c r="Z81" s="141">
        <f>Rates!AF83</f>
        <v>36.21512126024534</v>
      </c>
      <c r="AA81" s="141">
        <f>Rates!AG83</f>
        <v>33.822930614234551</v>
      </c>
      <c r="AB81" s="141">
        <f>Rates!AH83</f>
        <v>29.16151843554286</v>
      </c>
      <c r="AC81" s="141">
        <f>Rates!AI83</f>
        <v>28.940946958526826</v>
      </c>
      <c r="AD81" s="141">
        <f>Rates!AJ83</f>
        <v>29.105144314083631</v>
      </c>
      <c r="AE81" s="141">
        <f>Rates!AK83</f>
        <v>32.043443939085677</v>
      </c>
      <c r="AF81" s="524">
        <f>SUMPRODUCT(T11:AE11,T81:AE81)/AF11</f>
        <v>31.692298807086363</v>
      </c>
      <c r="AG81" s="124">
        <f>Rates!AM83</f>
        <v>34.384132258165153</v>
      </c>
      <c r="AH81" s="124">
        <f>Rates!AN83</f>
        <v>35.562098758935107</v>
      </c>
      <c r="AI81" s="124">
        <f>Rates!AO83</f>
        <v>38.020633509456623</v>
      </c>
      <c r="AJ81" s="124">
        <f>Rates!AP83</f>
        <v>40.352919502700942</v>
      </c>
      <c r="AK81" s="124">
        <f>Rates!AQ83</f>
        <v>46.50406055078151</v>
      </c>
      <c r="AL81" s="124">
        <f>Rates!AR83</f>
        <v>57.407079449718523</v>
      </c>
      <c r="AM81" s="124">
        <f>Rates!AS83</f>
        <v>66.066469515730105</v>
      </c>
      <c r="AN81" s="124">
        <f>Rates!AT83</f>
        <v>67.281217107295873</v>
      </c>
      <c r="AO81" s="124">
        <f>Rates!AU83</f>
        <v>68.486915409131257</v>
      </c>
      <c r="AP81" s="124">
        <f>Rates!AV83</f>
        <v>69.026525458920162</v>
      </c>
      <c r="AQ81" s="124">
        <f>Rates!AW83</f>
        <v>72.548398381810784</v>
      </c>
      <c r="AR81" s="130"/>
      <c r="AS81" s="130"/>
    </row>
    <row r="82" spans="1:46">
      <c r="A82" s="422">
        <f t="shared" si="19"/>
        <v>80</v>
      </c>
      <c r="C82" s="149"/>
      <c r="D82" s="149"/>
      <c r="E82" s="149"/>
      <c r="F82" s="526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526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526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</row>
    <row r="83" spans="1:46" ht="15.75">
      <c r="A83" s="422">
        <f t="shared" si="19"/>
        <v>81</v>
      </c>
      <c r="B83" s="157" t="s">
        <v>678</v>
      </c>
      <c r="C83" s="149"/>
      <c r="D83" s="149"/>
      <c r="E83" s="149"/>
      <c r="F83" s="526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526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526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</row>
    <row r="84" spans="1:46">
      <c r="A84" s="422">
        <f t="shared" si="19"/>
        <v>82</v>
      </c>
      <c r="C84" s="149"/>
      <c r="D84" s="149"/>
      <c r="E84" s="149"/>
      <c r="F84" s="526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526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526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</row>
    <row r="85" spans="1:46">
      <c r="A85" s="422">
        <f t="shared" si="19"/>
        <v>83</v>
      </c>
      <c r="B85" s="148" t="s">
        <v>423</v>
      </c>
      <c r="C85" s="299"/>
      <c r="D85" s="299"/>
      <c r="E85" s="299">
        <v>563.38513172</v>
      </c>
      <c r="F85" s="530"/>
      <c r="G85" s="299">
        <f>-SUM('Trial Bal'!S467:S468)+(G7*G37)+(G8*G54)+((G9+G10)*G79)-Rates!M145-Rates!M155</f>
        <v>51.459181582233356</v>
      </c>
      <c r="H85" s="299">
        <f>-SUM('Trial Bal'!T467:T468)+(H7*H37)+(H8*H54)+((H9+H10)*H79)-Rates!N145-Rates!N155</f>
        <v>46.356249008698491</v>
      </c>
      <c r="I85" s="299">
        <f>-SUM('Trial Bal'!U467:U468)+(I7*I37)+(I8*I54)+((I9+I10)*I79)-Rates!O145-Rates!O155</f>
        <v>48.732054883690466</v>
      </c>
      <c r="J85" s="299">
        <f>-SUM('Trial Bal'!V467:V468)+(J7*J37)+(J8*J54)+((J9+J10)*J79)-Rates!P145-Rates!P155</f>
        <v>43.809007734417818</v>
      </c>
      <c r="K85" s="299">
        <f>-SUM('Trial Bal'!W467:W468)+(K7*K37)+(K8*K54)+((K9+K10)*K79)-Rates!Q145-Rates!Q155</f>
        <v>45.476254680721652</v>
      </c>
      <c r="L85" s="299">
        <f>-SUM('Trial Bal'!X467:X468)+(L7*L37)+(L8*L54)+((L9+L10)*L79)-Rates!R145-Rates!R155</f>
        <v>47.342270657282668</v>
      </c>
      <c r="M85" s="299">
        <f>-SUM('Trial Bal'!Y467:Y468)+(M7*M37)+(M8*M54)+((M9+M10)*M79)-Rates!S145-Rates!S155</f>
        <v>51.185014273842029</v>
      </c>
      <c r="N85" s="299">
        <f>-SUM('Trial Bal'!Z467:Z468)+(N7*N37)+(N8*N54)+((N9+N10)*N79)-Rates!T145-Rates!T155</f>
        <v>50.008359305787856</v>
      </c>
      <c r="O85" s="299">
        <f>-SUM('Trial Bal'!AA467:AA468)+(O7*O37)+(O8*O54)+((O9+O10)*O79)-Rates!U145-Rates!U155</f>
        <v>38.189176200612032</v>
      </c>
      <c r="P85" s="299">
        <f>-SUM('Trial Bal'!AB467:AB468)+(P7*P37)+(P8*P54)+((P9+P10)*P79)-Rates!V145-Rates!V155</f>
        <v>38.541787813197494</v>
      </c>
      <c r="Q85" s="299">
        <f>-SUM('Trial Bal'!AC467:AC468)+(Q7*Q37)+(Q8*Q54)+((Q9+Q10)*Q79)-Rates!W145-Rates!W155</f>
        <v>38.425407718316755</v>
      </c>
      <c r="R85" s="299">
        <f>-SUM('Trial Bal'!AD467:AD468)+(R7*R37)+(R8*R54)+((R9+R10)*R79)-Rates!X145-Rates!X155</f>
        <v>42.282335545826463</v>
      </c>
      <c r="S85" s="530">
        <f>SUM(G85:R85)</f>
        <v>541.80709940462702</v>
      </c>
      <c r="T85" s="299">
        <f>-SUM('Trial Bal'!AF467:AF468)+(T7*T37)+(T8*T54)+((T9+T10)*T79)-Rates!Z145-Rates!Z155</f>
        <v>44.829241155709056</v>
      </c>
      <c r="U85" s="299">
        <f>-SUM('Trial Bal'!AG467:AG468)+(U7*U37)+(U8*U54)+((U9+U10)*U79)-Rates!AA145-Rates!AA155</f>
        <v>40.24242321434366</v>
      </c>
      <c r="V85" s="299">
        <f>-SUM('Trial Bal'!AH467:AH468)+(V7*V37)+(V8*V54)+((V9+V10)*V79)-Rates!AB145-Rates!AB155</f>
        <v>38.610561558567625</v>
      </c>
      <c r="W85" s="299">
        <f>-SUM('Trial Bal'!AI467:AI468)+(W7*W37)+(W8*W54)+((W9+W10)*W79)-Rates!AC145-Rates!AC155</f>
        <v>34.852655792808271</v>
      </c>
      <c r="X85" s="299">
        <f>-SUM('Trial Bal'!AJ467:AJ468)+(X7*X37)+(X8*X54)+((X9+X10)*X79)-Rates!AD145-Rates!AD155</f>
        <v>36.637795058216405</v>
      </c>
      <c r="Y85" s="299">
        <f>-SUM('Trial Bal'!AK467:AK468)+(Y7*Y37)+(Y8*Y54)+((Y9+Y10)*Y79)-Rates!AE145-Rates!AE155</f>
        <v>40.670458821027118</v>
      </c>
      <c r="Z85" s="299">
        <f>-SUM('Trial Bal'!AL467:AL468)+(Z7*Z37)+(Z8*Z54)+((Z9+Z10)*Z79)-Rates!AF145-Rates!AF155</f>
        <v>42.786989458715354</v>
      </c>
      <c r="AA85" s="299">
        <f>-SUM('Trial Bal'!AM467:AM468)+(AA7*AA37)+(AA8*AA54)+((AA9+AA10)*AA79)-Rates!AG145-Rates!AG155</f>
        <v>43.506671899686467</v>
      </c>
      <c r="AB85" s="299">
        <f>-SUM('Trial Bal'!AN467:AN468)+(AB7*AB37)+(AB8*AB54)+((AB9+AB10)*AB79)-Rates!AH145-Rates!AH155</f>
        <v>39.443485759247899</v>
      </c>
      <c r="AC85" s="299">
        <f>-SUM('Trial Bal'!AO467:AO468)+(AC7*AC37)+(AC8*AC54)+((AC9+AC10)*AC79)-Rates!AI145-Rates!AI155</f>
        <v>39.691078360875423</v>
      </c>
      <c r="AD85" s="299">
        <f>-SUM('Trial Bal'!AP467:AP468)+(AD7*AD37)+(AD8*AD54)+((AD9+AD10)*AD79)-Rates!AJ145-Rates!AJ155</f>
        <v>39.544783161763739</v>
      </c>
      <c r="AE85" s="299">
        <f>-SUM('Trial Bal'!AQ467:AQ468)+(AE7*AE37)+(AE8*AE54)+((AE9+AE10)*AE79)-Rates!AK145-Rates!AK155</f>
        <v>43.403663842326296</v>
      </c>
      <c r="AF85" s="530">
        <f>SUM(T85:AE85)</f>
        <v>484.21980808328732</v>
      </c>
      <c r="AG85" s="299">
        <f>-SUM('Trial Bal'!AS467:AS468)+(AG7*AG37)+(AG8*AG54)+((AG9+AG10)*AG79)-Rates!AM145-Rates!AM155</f>
        <v>505.39755807144917</v>
      </c>
      <c r="AH85" s="299">
        <f>-SUM('Trial Bal'!AT467:AT468)+(AH7*AH37)+(AH8*AH54)+((AH9+AH10)*AH79)-Rates!AN145-Rates!AN155</f>
        <v>521.05702406739533</v>
      </c>
      <c r="AI85" s="299">
        <f>-SUM('Trial Bal'!AU467:AU468)+(AI7*AI37)+(AI8*AI54)+((AI9+AI10)*AI79)-Rates!AO145-Rates!AO155</f>
        <v>533.415607984144</v>
      </c>
      <c r="AJ85" s="299">
        <f>-SUM('Trial Bal'!AV467:AV468)+(AJ7*AJ37)+(AJ8*AJ54)+((AJ9+AJ10)*AJ79)-Rates!AP145-Rates!AP155</f>
        <v>549.82976483269954</v>
      </c>
      <c r="AK85" s="299">
        <f>-SUM('Trial Bal'!AW467:AW468)+(AK7*AK37)+(AK8*AK54)+((AK9+AK10)*AK79)-Rates!AQ145-Rates!AQ155</f>
        <v>708.30074168611247</v>
      </c>
      <c r="AL85" s="299">
        <f>-SUM('Trial Bal'!AX467:AX468)+(AL7*AL37)+(AL8*AL54)+((AL9+AL10)*AL79)-Rates!AR145-Rates!AR155</f>
        <v>758.00548645657102</v>
      </c>
      <c r="AM85" s="299">
        <f>-SUM('Trial Bal'!AY467:AY468)+(AM7*AM37)+(AM8*AM54)+((AM9+AM10)*AM79)-Rates!AS145-Rates!AS155</f>
        <v>767.35213530697808</v>
      </c>
      <c r="AN85" s="299">
        <f>-SUM('Trial Bal'!AZ467:AZ468)+(AN7*AN37)+(AN8*AN54)+((AN9+AN10)*AN79)-Rates!AT145-Rates!AT155</f>
        <v>802.19506792802542</v>
      </c>
      <c r="AO85" s="299">
        <f>-SUM('Trial Bal'!BA467:BA468)+(AO7*AO37)+(AO8*AO54)+((AO9+AO10)*AO79)-Rates!AU145-Rates!AU155</f>
        <v>813.70637202169382</v>
      </c>
      <c r="AP85" s="299">
        <f>-SUM('Trial Bal'!BB467:BB468)+(AP7*AP37)+(AP8*AP54)+((AP9+AP10)*AP79)-Rates!AV145-Rates!AV155</f>
        <v>852.82850748773205</v>
      </c>
      <c r="AQ85" s="299">
        <f>-SUM('Trial Bal'!BC467:BC468)+(AQ7*AQ37)+(AQ8*AQ54)+((AQ9+AQ10)*AQ79)-Rates!AW145-Rates!AW155</f>
        <v>881.95582189110723</v>
      </c>
      <c r="AR85" s="299"/>
      <c r="AS85" s="299"/>
      <c r="AT85" s="153"/>
    </row>
    <row r="86" spans="1:46">
      <c r="A86" s="422">
        <f t="shared" si="19"/>
        <v>84</v>
      </c>
      <c r="B86" s="148" t="s">
        <v>424</v>
      </c>
      <c r="C86" s="299"/>
      <c r="D86" s="299"/>
      <c r="E86" s="299"/>
      <c r="F86" s="530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530">
        <f>SUM(G86:R86)</f>
        <v>0</v>
      </c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530">
        <f>SUM(T86:AE86)</f>
        <v>0</v>
      </c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153"/>
    </row>
    <row r="87" spans="1:46">
      <c r="A87" s="422">
        <f t="shared" si="19"/>
        <v>85</v>
      </c>
      <c r="B87" s="148" t="s">
        <v>425</v>
      </c>
      <c r="C87" s="300"/>
      <c r="D87" s="300"/>
      <c r="E87" s="897">
        <v>4.9571040100000001</v>
      </c>
      <c r="F87" s="531"/>
      <c r="G87" s="300">
        <f>-SUM('Trial Bal'!S469:S471)</f>
        <v>0.31216700000000003</v>
      </c>
      <c r="H87" s="300">
        <f>-SUM('Trial Bal'!T469:T471)</f>
        <v>0.30766700000000002</v>
      </c>
      <c r="I87" s="300">
        <f>-SUM('Trial Bal'!U469:U471)</f>
        <v>0.30766700000000002</v>
      </c>
      <c r="J87" s="300">
        <f>-SUM('Trial Bal'!V469:V471)</f>
        <v>0.30766700000000002</v>
      </c>
      <c r="K87" s="300">
        <f>-SUM('Trial Bal'!W469:W471)</f>
        <v>0.30766700000000002</v>
      </c>
      <c r="L87" s="300">
        <f>-SUM('Trial Bal'!X469:X471)</f>
        <v>0.30766700000000002</v>
      </c>
      <c r="M87" s="300">
        <f>-SUM('Trial Bal'!Y469:Y471)</f>
        <v>0.30766700000000002</v>
      </c>
      <c r="N87" s="300">
        <f>-SUM('Trial Bal'!Z469:Z471)</f>
        <v>0.30766700000000002</v>
      </c>
      <c r="O87" s="300">
        <f>-SUM('Trial Bal'!AA469:AA471)</f>
        <v>0.30766700000000002</v>
      </c>
      <c r="P87" s="300">
        <f>-SUM('Trial Bal'!AB469:AB471)</f>
        <v>0.30766700000000002</v>
      </c>
      <c r="Q87" s="300">
        <f>-SUM('Trial Bal'!AC469:AC471)</f>
        <v>0.30766700000000002</v>
      </c>
      <c r="R87" s="300">
        <f>-SUM('Trial Bal'!AD469:AD471)</f>
        <v>0.30766300000000002</v>
      </c>
      <c r="S87" s="531">
        <f>SUM(G87:R87)</f>
        <v>3.6964999999999995</v>
      </c>
      <c r="T87" s="300">
        <f>-SUM('Trial Bal'!AF469:AF471)</f>
        <v>0.31216700000000003</v>
      </c>
      <c r="U87" s="300">
        <f>-SUM('Trial Bal'!AG469:AG471)</f>
        <v>0.30766700000000002</v>
      </c>
      <c r="V87" s="300">
        <f>-SUM('Trial Bal'!AH469:AH471)</f>
        <v>0.30766700000000002</v>
      </c>
      <c r="W87" s="300">
        <f>-SUM('Trial Bal'!AI469:AI471)</f>
        <v>0.30766700000000002</v>
      </c>
      <c r="X87" s="300">
        <f>-SUM('Trial Bal'!AJ469:AJ471)</f>
        <v>0.30766700000000002</v>
      </c>
      <c r="Y87" s="300">
        <f>-SUM('Trial Bal'!AK469:AK471)</f>
        <v>0.30766700000000002</v>
      </c>
      <c r="Z87" s="300">
        <f>-SUM('Trial Bal'!AL469:AL471)</f>
        <v>0.30766700000000002</v>
      </c>
      <c r="AA87" s="300">
        <f>-SUM('Trial Bal'!AM469:AM471)</f>
        <v>0.30766700000000002</v>
      </c>
      <c r="AB87" s="300">
        <f>-SUM('Trial Bal'!AN469:AN471)</f>
        <v>0.30766700000000002</v>
      </c>
      <c r="AC87" s="300">
        <f>-SUM('Trial Bal'!AO469:AO471)</f>
        <v>0.30766700000000002</v>
      </c>
      <c r="AD87" s="300">
        <f>-SUM('Trial Bal'!AP469:AP471)</f>
        <v>0.30766700000000002</v>
      </c>
      <c r="AE87" s="300">
        <f>-SUM('Trial Bal'!AQ469:AQ471)</f>
        <v>0.30766300000000002</v>
      </c>
      <c r="AF87" s="531">
        <f>SUM(T87:AE87)</f>
        <v>3.6964999999999995</v>
      </c>
      <c r="AG87" s="300">
        <f>-SUM('Trial Bal'!AS469:AS471)</f>
        <v>3.6964999999999999</v>
      </c>
      <c r="AH87" s="300">
        <f>-SUM('Trial Bal'!AT469:AT471)</f>
        <v>3.6964999999999999</v>
      </c>
      <c r="AI87" s="300">
        <f>-SUM('Trial Bal'!AU469:AU471)</f>
        <v>3.6971750000000001</v>
      </c>
      <c r="AJ87" s="300">
        <f>-SUM('Trial Bal'!AV469:AV471)</f>
        <v>3.6978702499999998</v>
      </c>
      <c r="AK87" s="300">
        <f>-SUM('Trial Bal'!AW469:AW471)</f>
        <v>3.6985863575</v>
      </c>
      <c r="AL87" s="300">
        <f>-SUM('Trial Bal'!AX469:AX471)</f>
        <v>3.699323948225</v>
      </c>
      <c r="AM87" s="300">
        <f>-SUM('Trial Bal'!AY469:AY471)</f>
        <v>3.70008366667175</v>
      </c>
      <c r="AN87" s="300">
        <f>-SUM('Trial Bal'!AZ469:AZ471)</f>
        <v>3.7008661766719024</v>
      </c>
      <c r="AO87" s="300">
        <f>-SUM('Trial Bal'!BA469:BA471)</f>
        <v>3.7016721619720596</v>
      </c>
      <c r="AP87" s="300">
        <f>-SUM('Trial Bal'!BB469:BB471)</f>
        <v>3.7025023268312212</v>
      </c>
      <c r="AQ87" s="300">
        <f>-SUM('Trial Bal'!BC469:BC471)</f>
        <v>3.7033573966361577</v>
      </c>
      <c r="AR87" s="299"/>
      <c r="AS87" s="299"/>
      <c r="AT87" s="153"/>
    </row>
    <row r="88" spans="1:46" ht="15.75">
      <c r="A88" s="422">
        <f t="shared" si="19"/>
        <v>86</v>
      </c>
      <c r="B88" s="131" t="s">
        <v>459</v>
      </c>
      <c r="C88" s="299"/>
      <c r="D88" s="299"/>
      <c r="E88" s="299">
        <f>SUM(E85:E87)</f>
        <v>568.34223572999997</v>
      </c>
      <c r="F88" s="530"/>
      <c r="G88" s="299">
        <f>SUM(G85:G87)</f>
        <v>51.771348582233358</v>
      </c>
      <c r="H88" s="299">
        <f t="shared" ref="H88:T88" si="22">SUM(H85:H87)</f>
        <v>46.663916008698493</v>
      </c>
      <c r="I88" s="299">
        <f t="shared" si="22"/>
        <v>49.039721883690468</v>
      </c>
      <c r="J88" s="299">
        <f t="shared" si="22"/>
        <v>44.116674734417821</v>
      </c>
      <c r="K88" s="299">
        <f t="shared" si="22"/>
        <v>45.783921680721654</v>
      </c>
      <c r="L88" s="299">
        <f t="shared" si="22"/>
        <v>47.649937657282671</v>
      </c>
      <c r="M88" s="299">
        <f t="shared" si="22"/>
        <v>51.492681273842031</v>
      </c>
      <c r="N88" s="299">
        <f t="shared" si="22"/>
        <v>50.316026305787858</v>
      </c>
      <c r="O88" s="299">
        <f t="shared" si="22"/>
        <v>38.496843200612034</v>
      </c>
      <c r="P88" s="299">
        <f t="shared" si="22"/>
        <v>38.849454813197497</v>
      </c>
      <c r="Q88" s="299">
        <f t="shared" si="22"/>
        <v>38.733074718316757</v>
      </c>
      <c r="R88" s="299">
        <f t="shared" si="22"/>
        <v>42.589998545826461</v>
      </c>
      <c r="S88" s="530">
        <f t="shared" si="22"/>
        <v>545.50359940462704</v>
      </c>
      <c r="T88" s="299">
        <f t="shared" si="22"/>
        <v>45.141408155709058</v>
      </c>
      <c r="U88" s="299">
        <f t="shared" ref="U88:AQ88" si="23">SUM(U85:U87)</f>
        <v>40.550090214343662</v>
      </c>
      <c r="V88" s="299">
        <f t="shared" si="23"/>
        <v>38.918228558567627</v>
      </c>
      <c r="W88" s="299">
        <f t="shared" si="23"/>
        <v>35.160322792808273</v>
      </c>
      <c r="X88" s="299">
        <f t="shared" si="23"/>
        <v>36.945462058216407</v>
      </c>
      <c r="Y88" s="299">
        <f t="shared" si="23"/>
        <v>40.97812582102712</v>
      </c>
      <c r="Z88" s="299">
        <f t="shared" si="23"/>
        <v>43.094656458715356</v>
      </c>
      <c r="AA88" s="299">
        <f t="shared" si="23"/>
        <v>43.814338899686469</v>
      </c>
      <c r="AB88" s="299">
        <f t="shared" si="23"/>
        <v>39.751152759247901</v>
      </c>
      <c r="AC88" s="299">
        <f t="shared" si="23"/>
        <v>39.998745360875425</v>
      </c>
      <c r="AD88" s="299">
        <f t="shared" si="23"/>
        <v>39.852450161763741</v>
      </c>
      <c r="AE88" s="299">
        <f t="shared" si="23"/>
        <v>43.711326842326294</v>
      </c>
      <c r="AF88" s="530">
        <f t="shared" si="23"/>
        <v>487.91630808328733</v>
      </c>
      <c r="AG88" s="299">
        <f t="shared" si="23"/>
        <v>509.09405807144918</v>
      </c>
      <c r="AH88" s="299">
        <f t="shared" si="23"/>
        <v>524.75352406739535</v>
      </c>
      <c r="AI88" s="299">
        <f t="shared" si="23"/>
        <v>537.11278298414402</v>
      </c>
      <c r="AJ88" s="299">
        <f t="shared" si="23"/>
        <v>553.52763508269959</v>
      </c>
      <c r="AK88" s="299">
        <f t="shared" si="23"/>
        <v>711.99932804361242</v>
      </c>
      <c r="AL88" s="299">
        <f t="shared" si="23"/>
        <v>761.70481040479604</v>
      </c>
      <c r="AM88" s="299">
        <f t="shared" si="23"/>
        <v>771.05221897364981</v>
      </c>
      <c r="AN88" s="299">
        <f t="shared" si="23"/>
        <v>805.89593410469729</v>
      </c>
      <c r="AO88" s="299">
        <f t="shared" si="23"/>
        <v>817.40804418366588</v>
      </c>
      <c r="AP88" s="299">
        <f t="shared" si="23"/>
        <v>856.53100981456328</v>
      </c>
      <c r="AQ88" s="299">
        <f t="shared" si="23"/>
        <v>885.65917928774343</v>
      </c>
      <c r="AR88" s="299"/>
      <c r="AS88" s="299"/>
      <c r="AT88" s="153"/>
    </row>
    <row r="89" spans="1:46">
      <c r="A89" s="422">
        <f t="shared" si="19"/>
        <v>87</v>
      </c>
      <c r="C89" s="299"/>
      <c r="D89" s="299"/>
      <c r="E89" s="299"/>
      <c r="F89" s="530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530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530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153"/>
    </row>
    <row r="90" spans="1:46">
      <c r="A90" s="422">
        <f t="shared" si="19"/>
        <v>88</v>
      </c>
      <c r="B90" s="148" t="s">
        <v>426</v>
      </c>
      <c r="C90" s="299"/>
      <c r="D90" s="299"/>
      <c r="E90" s="299">
        <v>48.054670680000001</v>
      </c>
      <c r="F90" s="530"/>
      <c r="G90" s="299">
        <f>SUM('Trial Bal'!S472:S473,'Trial Bal'!S487:S500,'Trial Bal'!S501:S501,'Trial Bal'!S514:S514)</f>
        <v>4.6200911787399761</v>
      </c>
      <c r="H90" s="299">
        <f>SUM('Trial Bal'!T472:T473,'Trial Bal'!T487:T500,'Trial Bal'!T501:T501,'Trial Bal'!T514:T514)</f>
        <v>4.3610748061797997</v>
      </c>
      <c r="I90" s="299">
        <f>SUM('Trial Bal'!U472:U473,'Trial Bal'!U487:U500,'Trial Bal'!U501:U501,'Trial Bal'!U514:U514)</f>
        <v>4.7646383016501588</v>
      </c>
      <c r="J90" s="299">
        <f>SUM('Trial Bal'!V472:V473,'Trial Bal'!V487:V500,'Trial Bal'!V501:V501,'Trial Bal'!V514:V514)</f>
        <v>4.4982294924166526</v>
      </c>
      <c r="K90" s="299">
        <f>SUM('Trial Bal'!W472:W473,'Trial Bal'!W487:W500,'Trial Bal'!W501:W501,'Trial Bal'!W514:W514)</f>
        <v>5.1436902686255426</v>
      </c>
      <c r="L90" s="299">
        <f>SUM('Trial Bal'!X472:X473,'Trial Bal'!X487:X500,'Trial Bal'!X501:X501,'Trial Bal'!X514:X514)</f>
        <v>4.4576241456374861</v>
      </c>
      <c r="M90" s="299">
        <f>SUM('Trial Bal'!Y472:Y473,'Trial Bal'!Y487:Y500,'Trial Bal'!Y501:Y501,'Trial Bal'!Y514:Y514)</f>
        <v>4.6120904724931133</v>
      </c>
      <c r="N90" s="299">
        <f>SUM('Trial Bal'!Z472:Z473,'Trial Bal'!Z487:Z500,'Trial Bal'!Z501:Z501,'Trial Bal'!Z514:Z514)</f>
        <v>4.528157019027323</v>
      </c>
      <c r="O90" s="299">
        <f>SUM('Trial Bal'!AA472:AA473,'Trial Bal'!AA487:AA500,'Trial Bal'!AA501:AA501,'Trial Bal'!AA514:AA514)</f>
        <v>3.6080180825495165</v>
      </c>
      <c r="P90" s="299">
        <f>SUM('Trial Bal'!AB472:AB473,'Trial Bal'!AB487:AB500,'Trial Bal'!AB501:AB501,'Trial Bal'!AB514:AB514)</f>
        <v>3.9101494745047773</v>
      </c>
      <c r="Q90" s="299">
        <f>SUM('Trial Bal'!AC472:AC473,'Trial Bal'!AC487:AC500,'Trial Bal'!AC501:AC501,'Trial Bal'!AC514:AC514)</f>
        <v>3.5114341768125703</v>
      </c>
      <c r="R90" s="299">
        <f>SUM('Trial Bal'!AD472:AD473,'Trial Bal'!AD487:AD500,'Trial Bal'!AD501:AD501,'Trial Bal'!AD514:AD514)</f>
        <v>3.2681972384033213</v>
      </c>
      <c r="S90" s="530">
        <f>SUM(G90:R90)</f>
        <v>51.28339465704024</v>
      </c>
      <c r="T90" s="299">
        <f>SUM('Trial Bal'!AF472:AF473,'Trial Bal'!AF487:AF500,'Trial Bal'!AF501:AF501,'Trial Bal'!AF514:AF514)</f>
        <v>3.6654697644469145</v>
      </c>
      <c r="U90" s="299">
        <f>SUM('Trial Bal'!AG472:AG473,'Trial Bal'!AG487:AG500,'Trial Bal'!AG501:AG501,'Trial Bal'!AG514:AG514)</f>
        <v>3.4019119411603072</v>
      </c>
      <c r="V90" s="299">
        <f>SUM('Trial Bal'!AH472:AH473,'Trial Bal'!AH487:AH500,'Trial Bal'!AH501:AH501,'Trial Bal'!AH514:AH514)</f>
        <v>3.8012973282927813</v>
      </c>
      <c r="W90" s="299">
        <f>SUM('Trial Bal'!AI472:AI473,'Trial Bal'!AI487:AI500,'Trial Bal'!AI501:AI501,'Trial Bal'!AI514:AI514)</f>
        <v>3.8213491643120268</v>
      </c>
      <c r="X90" s="299">
        <f>SUM('Trial Bal'!AJ472:AJ473,'Trial Bal'!AJ487:AJ500,'Trial Bal'!AJ501:AJ501,'Trial Bal'!AJ514:AJ514)</f>
        <v>3.9039900740448705</v>
      </c>
      <c r="Y90" s="299">
        <f>SUM('Trial Bal'!AK472:AK473,'Trial Bal'!AK487:AK500,'Trial Bal'!AK501:AK501,'Trial Bal'!AK514:AK514)</f>
        <v>3.6520395888328547</v>
      </c>
      <c r="Z90" s="299">
        <f>SUM('Trial Bal'!AL472:AL473,'Trial Bal'!AL487:AL500,'Trial Bal'!AL501:AL501,'Trial Bal'!AL514:AL514)</f>
        <v>3.6196057718989998</v>
      </c>
      <c r="AA90" s="299">
        <f>SUM('Trial Bal'!AM472:AM473,'Trial Bal'!AM487:AM500,'Trial Bal'!AM501:AM501,'Trial Bal'!AM514:AM514)</f>
        <v>3.6130462701436228</v>
      </c>
      <c r="AB90" s="299">
        <f>SUM('Trial Bal'!AN472:AN473,'Trial Bal'!AN487:AN500,'Trial Bal'!AN501:AN501,'Trial Bal'!AN514:AN514)</f>
        <v>3.3817104826020778</v>
      </c>
      <c r="AC90" s="299">
        <f>SUM('Trial Bal'!AO472:AO473,'Trial Bal'!AO487:AO500,'Trial Bal'!AO501:AO501,'Trial Bal'!AO514:AO514)</f>
        <v>3.6273491525506842</v>
      </c>
      <c r="AD90" s="299">
        <f>SUM('Trial Bal'!AP472:AP473,'Trial Bal'!AP487:AP500,'Trial Bal'!AP501:AP501,'Trial Bal'!AP514:AP514)</f>
        <v>3.3632274722321798</v>
      </c>
      <c r="AE90" s="299">
        <f>SUM('Trial Bal'!AQ472:AQ473,'Trial Bal'!AQ487:AQ500,'Trial Bal'!AQ501:AQ501,'Trial Bal'!AQ514:AQ514)</f>
        <v>3.3958670611378774</v>
      </c>
      <c r="AF90" s="530">
        <f>SUM(T90:AE90)</f>
        <v>43.246864071655203</v>
      </c>
      <c r="AG90" s="299">
        <f>SUM('Trial Bal'!AS472:AS473,'Trial Bal'!AS487:AS500,'Trial Bal'!AS501:AS501,'Trial Bal'!AS514:AS514)</f>
        <v>47.953705047641286</v>
      </c>
      <c r="AH90" s="299">
        <f>SUM('Trial Bal'!AT472:AT473,'Trial Bal'!AT487:AT500,'Trial Bal'!AT501:AT501,'Trial Bal'!AT514:AT514)</f>
        <v>50.493433409183808</v>
      </c>
      <c r="AI90" s="299">
        <f>SUM('Trial Bal'!AU472:AU473,'Trial Bal'!AU487:AU500,'Trial Bal'!AU501:AU501,'Trial Bal'!AU514:AU514)</f>
        <v>55.626883435863277</v>
      </c>
      <c r="AJ90" s="299">
        <f>SUM('Trial Bal'!AV472:AV473,'Trial Bal'!AV487:AV500,'Trial Bal'!AV501:AV501,'Trial Bal'!AV514:AV514)</f>
        <v>57.794491052152381</v>
      </c>
      <c r="AK90" s="299">
        <f>SUM('Trial Bal'!AW472:AW473,'Trial Bal'!AW487:AW500,'Trial Bal'!AW501:AW501,'Trial Bal'!AW514:AW514)</f>
        <v>84.925699713493685</v>
      </c>
      <c r="AL90" s="299">
        <f>SUM('Trial Bal'!AX472:AX473,'Trial Bal'!AX487:AX500,'Trial Bal'!AX501:AX501,'Trial Bal'!AX514:AX514)</f>
        <v>89.882567656930561</v>
      </c>
      <c r="AM90" s="299">
        <f>SUM('Trial Bal'!AY472:AY473,'Trial Bal'!AY487:AY500,'Trial Bal'!AY501:AY501,'Trial Bal'!AY514:AY514)</f>
        <v>91.550133267717243</v>
      </c>
      <c r="AN90" s="299">
        <f>SUM('Trial Bal'!AZ472:AZ473,'Trial Bal'!AZ487:AZ500,'Trial Bal'!AZ501:AZ501,'Trial Bal'!AZ514:AZ514)</f>
        <v>94.778689286985241</v>
      </c>
      <c r="AO90" s="299">
        <f>SUM('Trial Bal'!BA472:BA473,'Trial Bal'!BA487:BA500,'Trial Bal'!BA501:BA501,'Trial Bal'!BA514:BA514)</f>
        <v>96.168326794949877</v>
      </c>
      <c r="AP90" s="299">
        <f>SUM('Trial Bal'!BB472:BB473,'Trial Bal'!BB487:BB500,'Trial Bal'!BB501:BB501,'Trial Bal'!BB514:BB514)</f>
        <v>99.138669078115186</v>
      </c>
      <c r="AQ90" s="299">
        <f>SUM('Trial Bal'!BC472:BC473,'Trial Bal'!BC487:BC500,'Trial Bal'!BC501:BC501,'Trial Bal'!BC514:BC514)</f>
        <v>101.12496623030228</v>
      </c>
      <c r="AR90" s="299"/>
      <c r="AS90" s="299"/>
      <c r="AT90" s="153"/>
    </row>
    <row r="91" spans="1:46">
      <c r="A91" s="422">
        <f t="shared" si="19"/>
        <v>89</v>
      </c>
      <c r="B91" s="148" t="s">
        <v>427</v>
      </c>
      <c r="C91" s="299"/>
      <c r="D91" s="299"/>
      <c r="E91" s="299">
        <v>226.36892234000001</v>
      </c>
      <c r="F91" s="530"/>
      <c r="G91" s="299">
        <f>SUM('Trial Bal'!S474:S486)</f>
        <v>22.039622547456847</v>
      </c>
      <c r="H91" s="299">
        <f>SUM('Trial Bal'!T474:T486)</f>
        <v>19.905182836172557</v>
      </c>
      <c r="I91" s="299">
        <f>SUM('Trial Bal'!U474:U486)</f>
        <v>21.430486153041794</v>
      </c>
      <c r="J91" s="299">
        <f>SUM('Trial Bal'!V474:V486)</f>
        <v>20.670327647817583</v>
      </c>
      <c r="K91" s="299">
        <f>SUM('Trial Bal'!W474:W486)</f>
        <v>19.83121667218531</v>
      </c>
      <c r="L91" s="299">
        <f>SUM('Trial Bal'!X474:X486)</f>
        <v>20.311622515823355</v>
      </c>
      <c r="M91" s="299">
        <f>SUM('Trial Bal'!Y474:Y486)</f>
        <v>22.354152022513681</v>
      </c>
      <c r="N91" s="299">
        <f>SUM('Trial Bal'!Z474:Z486)</f>
        <v>21.577237951229975</v>
      </c>
      <c r="O91" s="299">
        <f>SUM('Trial Bal'!AA474:AA486)</f>
        <v>14.383645379635015</v>
      </c>
      <c r="P91" s="299">
        <f>SUM('Trial Bal'!AB474:AB486)</f>
        <v>15.175490684078534</v>
      </c>
      <c r="Q91" s="299">
        <f>SUM('Trial Bal'!AC474:AC486)</f>
        <v>14.590868740723057</v>
      </c>
      <c r="R91" s="299">
        <f>SUM('Trial Bal'!AD474:AD486)</f>
        <v>14.908152630775909</v>
      </c>
      <c r="S91" s="530">
        <f t="shared" ref="S91:S99" si="24">SUM(G91:R91)</f>
        <v>227.17800578145363</v>
      </c>
      <c r="T91" s="299">
        <f>SUM('Trial Bal'!AF474:AF486)</f>
        <v>15.698446744658062</v>
      </c>
      <c r="U91" s="299">
        <f>SUM('Trial Bal'!AG474:AG486)</f>
        <v>14.176312457393783</v>
      </c>
      <c r="V91" s="299">
        <f>SUM('Trial Bal'!AH474:AH486)</f>
        <v>13.051007405947896</v>
      </c>
      <c r="W91" s="299">
        <f>SUM('Trial Bal'!AI474:AI486)</f>
        <v>11.94230897857922</v>
      </c>
      <c r="X91" s="299">
        <f>SUM('Trial Bal'!AJ474:AJ486)</f>
        <v>13.545645970706357</v>
      </c>
      <c r="Y91" s="299">
        <f>SUM('Trial Bal'!AK474:AK486)</f>
        <v>14.818058734556887</v>
      </c>
      <c r="Z91" s="299">
        <f>SUM('Trial Bal'!AL474:AL486)</f>
        <v>15.434232788890938</v>
      </c>
      <c r="AA91" s="299">
        <f>SUM('Trial Bal'!AM474:AM486)</f>
        <v>15.609516232458301</v>
      </c>
      <c r="AB91" s="299">
        <f>SUM('Trial Bal'!AN474:AN486)</f>
        <v>14.925467932830154</v>
      </c>
      <c r="AC91" s="299">
        <f>SUM('Trial Bal'!AO474:AO486)</f>
        <v>15.57421684464904</v>
      </c>
      <c r="AD91" s="299">
        <f>SUM('Trial Bal'!AP474:AP486)</f>
        <v>14.934648805179478</v>
      </c>
      <c r="AE91" s="299">
        <f>SUM('Trial Bal'!AQ474:AQ486)</f>
        <v>15.2428978882274</v>
      </c>
      <c r="AF91" s="530">
        <f t="shared" ref="AF91:AF99" si="25">SUM(T91:AE91)</f>
        <v>174.9527607840775</v>
      </c>
      <c r="AG91" s="299">
        <f>SUM('Trial Bal'!AS474:AS486)</f>
        <v>185.61522799591955</v>
      </c>
      <c r="AH91" s="299">
        <f>SUM('Trial Bal'!AT474:AT486)</f>
        <v>187.48200217973383</v>
      </c>
      <c r="AI91" s="299">
        <f>SUM('Trial Bal'!AU474:AU486)</f>
        <v>190.34845259464279</v>
      </c>
      <c r="AJ91" s="299">
        <f>SUM('Trial Bal'!AV474:AV486)</f>
        <v>200.76319097023728</v>
      </c>
      <c r="AK91" s="299">
        <f>SUM('Trial Bal'!AW474:AW486)</f>
        <v>307.97091856589566</v>
      </c>
      <c r="AL91" s="299">
        <f>SUM('Trial Bal'!AX474:AX486)</f>
        <v>345.40002821953414</v>
      </c>
      <c r="AM91" s="299">
        <f>SUM('Trial Bal'!AY474:AY486)</f>
        <v>356.29797003252077</v>
      </c>
      <c r="AN91" s="299">
        <f>SUM('Trial Bal'!AZ474:AZ486)</f>
        <v>374.85082270863444</v>
      </c>
      <c r="AO91" s="299">
        <f>SUM('Trial Bal'!BA474:BA486)</f>
        <v>377.31914314574442</v>
      </c>
      <c r="AP91" s="299">
        <f>SUM('Trial Bal'!BB474:BB486)</f>
        <v>390.83206912535405</v>
      </c>
      <c r="AQ91" s="299">
        <f>SUM('Trial Bal'!BC474:BC486)</f>
        <v>409.06334441113103</v>
      </c>
      <c r="AR91" s="299"/>
      <c r="AS91" s="299"/>
      <c r="AT91" s="153"/>
    </row>
    <row r="92" spans="1:46">
      <c r="A92" s="422">
        <f t="shared" si="19"/>
        <v>90</v>
      </c>
      <c r="B92" s="148" t="s">
        <v>428</v>
      </c>
      <c r="C92" s="299"/>
      <c r="D92" s="299"/>
      <c r="E92" s="299">
        <v>111.46535658000001</v>
      </c>
      <c r="F92" s="530"/>
      <c r="G92" s="299">
        <f>SUM('Trial Bal'!S515:S521)</f>
        <v>7.6312149991372396</v>
      </c>
      <c r="H92" s="299">
        <f>SUM('Trial Bal'!T515:T521)</f>
        <v>7.1260280316814022</v>
      </c>
      <c r="I92" s="299">
        <f>SUM('Trial Bal'!U515:U521)</f>
        <v>8.3779596643065855</v>
      </c>
      <c r="J92" s="299">
        <f>SUM('Trial Bal'!V515:V521)</f>
        <v>7.7031125998141281</v>
      </c>
      <c r="K92" s="299">
        <f>SUM('Trial Bal'!W515:W521)</f>
        <v>8.0164620424662374</v>
      </c>
      <c r="L92" s="299">
        <f>SUM('Trial Bal'!X515:X521)</f>
        <v>7.142533190746196</v>
      </c>
      <c r="M92" s="299">
        <f>SUM('Trial Bal'!Y515:Y521)</f>
        <v>7.406578363989512</v>
      </c>
      <c r="N92" s="299">
        <f>SUM('Trial Bal'!Z515:Z521)</f>
        <v>7.0749871776941822</v>
      </c>
      <c r="O92" s="299">
        <f>SUM('Trial Bal'!AA515:AA521)</f>
        <v>6.5797701943314468</v>
      </c>
      <c r="P92" s="299">
        <f>SUM('Trial Bal'!AB515:AB521)</f>
        <v>7.4484541598908338</v>
      </c>
      <c r="Q92" s="299">
        <f>SUM('Trial Bal'!AC515:AC521)</f>
        <v>7.1416296564714186</v>
      </c>
      <c r="R92" s="299">
        <f>SUM('Trial Bal'!AD515:AD521)</f>
        <v>7.2831988246645381</v>
      </c>
      <c r="S92" s="530">
        <f>SUM(G92:R92)</f>
        <v>88.931928905193715</v>
      </c>
      <c r="T92" s="299">
        <f>SUM('Trial Bal'!AF515:AF521)</f>
        <v>7.3908973329328527</v>
      </c>
      <c r="U92" s="299">
        <f>SUM('Trial Bal'!AG515:AG521)</f>
        <v>6.7688638927200016</v>
      </c>
      <c r="V92" s="299">
        <f>SUM('Trial Bal'!AH515:AH521)</f>
        <v>7.6795194274621172</v>
      </c>
      <c r="W92" s="299">
        <f>SUM('Trial Bal'!AI515:AI521)</f>
        <v>7.6971565114476128</v>
      </c>
      <c r="X92" s="299">
        <f>SUM('Trial Bal'!AJ515:AJ521)</f>
        <v>7.517089511932693</v>
      </c>
      <c r="Y92" s="299">
        <f>SUM('Trial Bal'!AK515:AK521)</f>
        <v>6.6993025886561899</v>
      </c>
      <c r="Z92" s="299">
        <f>SUM('Trial Bal'!AL515:AL521)</f>
        <v>6.8937854985583185</v>
      </c>
      <c r="AA92" s="299">
        <f>SUM('Trial Bal'!AM515:AM521)</f>
        <v>6.8886372310068262</v>
      </c>
      <c r="AB92" s="299">
        <f>SUM('Trial Bal'!AN515:AN521)</f>
        <v>6.7450792417110428</v>
      </c>
      <c r="AC92" s="299">
        <f>SUM('Trial Bal'!AO515:AO521)</f>
        <v>7.6179669242501493</v>
      </c>
      <c r="AD92" s="299">
        <f>SUM('Trial Bal'!AP515:AP521)</f>
        <v>7.2800910341084295</v>
      </c>
      <c r="AE92" s="299">
        <f>SUM('Trial Bal'!AQ515:AQ521)</f>
        <v>7.5194546043552242</v>
      </c>
      <c r="AF92" s="530">
        <f t="shared" si="25"/>
        <v>86.697843799141452</v>
      </c>
      <c r="AG92" s="299">
        <f>SUM('Trial Bal'!AS515:AS521)</f>
        <v>90.544972976178997</v>
      </c>
      <c r="AH92" s="299">
        <f>SUM('Trial Bal'!AT515:AT521)</f>
        <v>97.886638430290233</v>
      </c>
      <c r="AI92" s="299">
        <f>SUM('Trial Bal'!AU515:AU521)</f>
        <v>101.43862982553449</v>
      </c>
      <c r="AJ92" s="299">
        <f>SUM('Trial Bal'!AV515:AV521)</f>
        <v>101.71369867909537</v>
      </c>
      <c r="AK92" s="299">
        <f>SUM('Trial Bal'!AW515:AW521)</f>
        <v>105.46927501164268</v>
      </c>
      <c r="AL92" s="299">
        <f>SUM('Trial Bal'!AX515:AX521)</f>
        <v>111.1408932935966</v>
      </c>
      <c r="AM92" s="299">
        <f>SUM('Trial Bal'!AY515:AY521)</f>
        <v>106.65307258299353</v>
      </c>
      <c r="AN92" s="299">
        <f>SUM('Trial Bal'!AZ515:AZ521)</f>
        <v>117.11147738500318</v>
      </c>
      <c r="AO92" s="299">
        <f>SUM('Trial Bal'!BA515:BA521)</f>
        <v>120.82830092256214</v>
      </c>
      <c r="AP92" s="299">
        <f>SUM('Trial Bal'!BB515:BB521)</f>
        <v>124.16188787865673</v>
      </c>
      <c r="AQ92" s="299">
        <f>SUM('Trial Bal'!BC515:BC521)</f>
        <v>130.00895895441013</v>
      </c>
      <c r="AR92" s="299"/>
      <c r="AS92" s="299"/>
      <c r="AT92" s="153"/>
    </row>
    <row r="93" spans="1:46">
      <c r="A93" s="422">
        <f t="shared" si="19"/>
        <v>91</v>
      </c>
      <c r="B93" s="148" t="s">
        <v>429</v>
      </c>
      <c r="C93" s="299"/>
      <c r="D93" s="299"/>
      <c r="E93" s="299">
        <v>10.118765890000001</v>
      </c>
      <c r="F93" s="530"/>
      <c r="G93" s="299">
        <f>SUM('Trial Bal'!S522:S538)</f>
        <v>0.78756747426923579</v>
      </c>
      <c r="H93" s="299">
        <f>SUM('Trial Bal'!T522:T538)</f>
        <v>0.74299734476355661</v>
      </c>
      <c r="I93" s="299">
        <f>SUM('Trial Bal'!U522:U538)</f>
        <v>0.79787822067605063</v>
      </c>
      <c r="J93" s="299">
        <f>SUM('Trial Bal'!V522:V538)</f>
        <v>0.73629814836810004</v>
      </c>
      <c r="K93" s="299">
        <f>SUM('Trial Bal'!W522:W538)</f>
        <v>0.77116398147832221</v>
      </c>
      <c r="L93" s="299">
        <f>SUM('Trial Bal'!X522:X538)</f>
        <v>0.79052034755447009</v>
      </c>
      <c r="M93" s="299">
        <f>SUM('Trial Bal'!Y522:Y538)</f>
        <v>0.79398254836809989</v>
      </c>
      <c r="N93" s="299">
        <f>SUM('Trial Bal'!Z522:Z538)</f>
        <v>0.7915932814783222</v>
      </c>
      <c r="O93" s="299">
        <f>SUM('Trial Bal'!AA522:AA538)</f>
        <v>0.69174630511450896</v>
      </c>
      <c r="P93" s="299">
        <f>SUM('Trial Bal'!AB522:AB538)</f>
        <v>0.70809809868005791</v>
      </c>
      <c r="Q93" s="299">
        <f>SUM('Trial Bal'!AC522:AC538)</f>
        <v>0.66891981570265691</v>
      </c>
      <c r="R93" s="299">
        <f>SUM('Trial Bal'!AD522:AD538)</f>
        <v>0.72288317454663731</v>
      </c>
      <c r="S93" s="530">
        <f t="shared" si="24"/>
        <v>9.0036487410000188</v>
      </c>
      <c r="T93" s="299">
        <f>SUM('Trial Bal'!AF522:AF538)</f>
        <v>0.70909461192434331</v>
      </c>
      <c r="U93" s="299">
        <f>SUM('Trial Bal'!AG522:AG538)</f>
        <v>0.67598526626580824</v>
      </c>
      <c r="V93" s="299">
        <f>SUM('Trial Bal'!AH522:AH538)</f>
        <v>0.73113885909678533</v>
      </c>
      <c r="W93" s="299">
        <f>SUM('Trial Bal'!AI522:AI538)</f>
        <v>0.66851981339023636</v>
      </c>
      <c r="X93" s="299">
        <f>SUM('Trial Bal'!AJ522:AJ538)</f>
        <v>0.70086335045019932</v>
      </c>
      <c r="Y93" s="299">
        <f>SUM('Trial Bal'!AK522:AK538)</f>
        <v>0.72483082630715234</v>
      </c>
      <c r="Z93" s="299">
        <f>SUM('Trial Bal'!AL522:AL538)</f>
        <v>0.72503737762993636</v>
      </c>
      <c r="AA93" s="299">
        <f>SUM('Trial Bal'!AM522:AM538)</f>
        <v>0.74459727797799924</v>
      </c>
      <c r="AB93" s="299">
        <f>SUM('Trial Bal'!AN522:AN538)</f>
        <v>0.69842858384846507</v>
      </c>
      <c r="AC93" s="299">
        <f>SUM('Trial Bal'!AO522:AO538)</f>
        <v>0.70488341643606256</v>
      </c>
      <c r="AD93" s="299">
        <f>SUM('Trial Bal'!AP522:AP538)</f>
        <v>0.66799517670430064</v>
      </c>
      <c r="AE93" s="299">
        <f>SUM('Trial Bal'!AQ522:AQ538)</f>
        <v>0.71558468959553945</v>
      </c>
      <c r="AF93" s="530">
        <f t="shared" si="25"/>
        <v>8.4669592496268287</v>
      </c>
      <c r="AG93" s="299">
        <f>SUM('Trial Bal'!AS522:AS538)</f>
        <v>8.7087400486502808</v>
      </c>
      <c r="AH93" s="299">
        <f>SUM('Trial Bal'!AT522:AT538)</f>
        <v>8.9553602429371661</v>
      </c>
      <c r="AI93" s="299">
        <f>SUM('Trial Bal'!AU522:AU538)</f>
        <v>9.2239133490252829</v>
      </c>
      <c r="AJ93" s="299">
        <f>SUM('Trial Bal'!AV522:AV538)</f>
        <v>9.5005230482960421</v>
      </c>
      <c r="AK93" s="299">
        <f>SUM('Trial Bal'!AW522:AW538)</f>
        <v>9.7854310385449228</v>
      </c>
      <c r="AL93" s="299">
        <f>SUM('Trial Bal'!AX522:AX538)</f>
        <v>10.078886268501272</v>
      </c>
      <c r="AM93" s="299">
        <f>SUM('Trial Bal'!AY522:AY538)</f>
        <v>10.381145155356311</v>
      </c>
      <c r="AN93" s="299">
        <f>SUM('Trial Bal'!AZ522:AZ538)</f>
        <v>10.692471808816997</v>
      </c>
      <c r="AO93" s="299">
        <f>SUM('Trial Bal'!BA522:BA538)</f>
        <v>11.01313826188151</v>
      </c>
      <c r="AP93" s="299">
        <f>SUM('Trial Bal'!BB522:BB538)</f>
        <v>11.343424708537954</v>
      </c>
      <c r="AQ93" s="299">
        <f>SUM('Trial Bal'!BC522:BC538)</f>
        <v>11.683619748594094</v>
      </c>
      <c r="AR93" s="299"/>
      <c r="AS93" s="299"/>
      <c r="AT93" s="153"/>
    </row>
    <row r="94" spans="1:46">
      <c r="A94" s="422">
        <f t="shared" si="19"/>
        <v>92</v>
      </c>
      <c r="B94" s="521" t="s">
        <v>964</v>
      </c>
      <c r="C94" s="299"/>
      <c r="D94" s="299"/>
      <c r="E94" s="299">
        <v>2.2624347600000001</v>
      </c>
      <c r="F94" s="530"/>
      <c r="G94" s="299">
        <f>'Trial Bal'!S551</f>
        <v>0.207423</v>
      </c>
      <c r="H94" s="299">
        <f>'Trial Bal'!T551</f>
        <v>0.18187300000000001</v>
      </c>
      <c r="I94" s="299">
        <f>'Trial Bal'!U551</f>
        <v>0.19498699999999999</v>
      </c>
      <c r="J94" s="299">
        <f>'Trial Bal'!V551</f>
        <v>0.176149</v>
      </c>
      <c r="K94" s="299">
        <f>'Trial Bal'!W551</f>
        <v>0.18563399999999999</v>
      </c>
      <c r="L94" s="299">
        <f>'Trial Bal'!X551</f>
        <v>0.19306599999999999</v>
      </c>
      <c r="M94" s="299">
        <f>'Trial Bal'!Y551</f>
        <v>0.20141000000000001</v>
      </c>
      <c r="N94" s="299">
        <f>'Trial Bal'!Z551</f>
        <v>0.19725599999999999</v>
      </c>
      <c r="O94" s="299">
        <f>'Trial Bal'!AA551</f>
        <v>0.12306400000000001</v>
      </c>
      <c r="P94" s="299">
        <f>'Trial Bal'!AB551</f>
        <v>0.12684500000000001</v>
      </c>
      <c r="Q94" s="299">
        <f>'Trial Bal'!AC551</f>
        <v>0.12523699999999999</v>
      </c>
      <c r="R94" s="299">
        <f>'Trial Bal'!AD551</f>
        <v>0.140295</v>
      </c>
      <c r="S94" s="530">
        <f t="shared" si="24"/>
        <v>2.053239</v>
      </c>
      <c r="T94" s="299">
        <f>'Trial Bal'!AF551</f>
        <v>0.11362899999999999</v>
      </c>
      <c r="U94" s="299">
        <f>'Trial Bal'!AG551</f>
        <v>9.9739999999999995E-2</v>
      </c>
      <c r="V94" s="299">
        <f>'Trial Bal'!AH551</f>
        <v>0.100621</v>
      </c>
      <c r="W94" s="299">
        <f>'Trial Bal'!AI551</f>
        <v>9.0485999999999997E-2</v>
      </c>
      <c r="X94" s="299">
        <f>'Trial Bal'!AJ551</f>
        <v>9.6902000000000002E-2</v>
      </c>
      <c r="Y94" s="299">
        <f>'Trial Bal'!AK551</f>
        <v>0.104772</v>
      </c>
      <c r="Z94" s="299">
        <f>'Trial Bal'!AL551</f>
        <v>0.110488</v>
      </c>
      <c r="AA94" s="299">
        <f>'Trial Bal'!AM551</f>
        <v>0.11175</v>
      </c>
      <c r="AB94" s="299">
        <f>'Trial Bal'!AN551</f>
        <v>0.100263</v>
      </c>
      <c r="AC94" s="299">
        <f>'Trial Bal'!AO551</f>
        <v>9.9678000000000003E-2</v>
      </c>
      <c r="AD94" s="299">
        <f>'Trial Bal'!AP551</f>
        <v>9.9122000000000002E-2</v>
      </c>
      <c r="AE94" s="299">
        <f>'Trial Bal'!AQ551</f>
        <v>0.10996</v>
      </c>
      <c r="AF94" s="530">
        <f t="shared" si="25"/>
        <v>1.237411</v>
      </c>
      <c r="AG94" s="299">
        <f>'Trial Bal'!AS551</f>
        <v>1.2435849999999999</v>
      </c>
      <c r="AH94" s="299">
        <f>'Trial Bal'!AT551</f>
        <v>1.2563869999999999</v>
      </c>
      <c r="AI94" s="299">
        <f>'Trial Bal'!AU551</f>
        <v>1.2940786099999999</v>
      </c>
      <c r="AJ94" s="299">
        <f>'Trial Bal'!AV551</f>
        <v>1.3329009682999999</v>
      </c>
      <c r="AK94" s="299">
        <f>'Trial Bal'!AW551</f>
        <v>1.372887997349</v>
      </c>
      <c r="AL94" s="299">
        <f>'Trial Bal'!AX551</f>
        <v>1.4140746372694701</v>
      </c>
      <c r="AM94" s="299">
        <f>'Trial Bal'!AY551</f>
        <v>1.4564968763875543</v>
      </c>
      <c r="AN94" s="299">
        <f>'Trial Bal'!AZ551</f>
        <v>1.5001917826791811</v>
      </c>
      <c r="AO94" s="299">
        <f>'Trial Bal'!BA551</f>
        <v>1.5451975361595565</v>
      </c>
      <c r="AP94" s="299">
        <f>'Trial Bal'!BB551</f>
        <v>1.5915534622443432</v>
      </c>
      <c r="AQ94" s="299">
        <f>'Trial Bal'!BC551</f>
        <v>1.6393000661116737</v>
      </c>
      <c r="AR94" s="299"/>
      <c r="AS94" s="299"/>
      <c r="AT94" s="153"/>
    </row>
    <row r="95" spans="1:46">
      <c r="A95" s="422">
        <f t="shared" si="19"/>
        <v>93</v>
      </c>
      <c r="B95" s="148" t="s">
        <v>430</v>
      </c>
      <c r="C95" s="299"/>
      <c r="D95" s="299"/>
      <c r="E95" s="299"/>
      <c r="F95" s="530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530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530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153"/>
    </row>
    <row r="96" spans="1:46">
      <c r="A96" s="422">
        <f t="shared" si="19"/>
        <v>94</v>
      </c>
      <c r="B96" s="148" t="s">
        <v>431</v>
      </c>
      <c r="C96" s="299"/>
      <c r="D96" s="299"/>
      <c r="E96" s="299">
        <v>0.29719147000000001</v>
      </c>
      <c r="F96" s="530"/>
      <c r="G96" s="299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530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530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153"/>
    </row>
    <row r="97" spans="1:46">
      <c r="A97" s="422">
        <f t="shared" si="19"/>
        <v>95</v>
      </c>
      <c r="B97" s="148" t="s">
        <v>432</v>
      </c>
      <c r="C97" s="299"/>
      <c r="D97" s="299"/>
      <c r="E97" s="299">
        <v>0.88616775000000003</v>
      </c>
      <c r="F97" s="530"/>
      <c r="G97" s="299">
        <f>SUM('Trial Bal'!S552:S554)</f>
        <v>6.8226543283001595E-2</v>
      </c>
      <c r="H97" s="299">
        <f>SUM('Trial Bal'!T552:T554)</f>
        <v>6.1839495917800184E-2</v>
      </c>
      <c r="I97" s="299">
        <f>SUM('Trial Bal'!U552:U554)</f>
        <v>0.18846459282124331</v>
      </c>
      <c r="J97" s="299">
        <f>SUM('Trial Bal'!V552:V554)</f>
        <v>8.4465025609961289E-2</v>
      </c>
      <c r="K97" s="299">
        <f>SUM('Trial Bal'!W552:W554)</f>
        <v>8.53521804173238E-2</v>
      </c>
      <c r="L97" s="299">
        <f>SUM('Trial Bal'!X552:X554)</f>
        <v>0.28396913953347797</v>
      </c>
      <c r="M97" s="299">
        <f>SUM('Trial Bal'!Y552:Y554)</f>
        <v>8.5101565609961294E-2</v>
      </c>
      <c r="N97" s="299">
        <f>SUM('Trial Bal'!Z552:Z554)</f>
        <v>8.5463574917323801E-2</v>
      </c>
      <c r="O97" s="299">
        <f>SUM('Trial Bal'!AA552:AA554)</f>
        <v>0.19250839783748519</v>
      </c>
      <c r="P97" s="299">
        <f>SUM('Trial Bal'!AB552:AB554)</f>
        <v>9.9310443550062869E-2</v>
      </c>
      <c r="Q97" s="299">
        <f>SUM('Trial Bal'!AC552:AC554)</f>
        <v>8.2350045015269713E-2</v>
      </c>
      <c r="R97" s="299">
        <f>SUM('Trial Bal'!AD552:AD554)</f>
        <v>0.2164250851500539</v>
      </c>
      <c r="S97" s="530">
        <f t="shared" si="24"/>
        <v>1.5334760896629651</v>
      </c>
      <c r="T97" s="299">
        <f>SUM('Trial Bal'!AF552:AF554)</f>
        <v>6.6690965469367883E-2</v>
      </c>
      <c r="U97" s="299">
        <f>SUM('Trial Bal'!AG552:AG554)</f>
        <v>6.0457613541104523E-2</v>
      </c>
      <c r="V97" s="299">
        <f>SUM('Trial Bal'!AH552:AH554)</f>
        <v>0.16199874557196395</v>
      </c>
      <c r="W97" s="299">
        <f>SUM('Trial Bal'!AI552:AI554)</f>
        <v>6.0584457314835208E-2</v>
      </c>
      <c r="X97" s="299">
        <f>SUM('Trial Bal'!AJ552:AJ554)</f>
        <v>6.1459491294929246E-2</v>
      </c>
      <c r="Y97" s="299">
        <f>SUM('Trial Bal'!AK552:AK554)</f>
        <v>0.24977593803424317</v>
      </c>
      <c r="Z97" s="299">
        <f>SUM('Trial Bal'!AL552:AL554)</f>
        <v>6.1205126250835205E-2</v>
      </c>
      <c r="AA97" s="299">
        <f>SUM('Trial Bal'!AM552:AM554)</f>
        <v>6.1568108358729244E-2</v>
      </c>
      <c r="AB97" s="299">
        <f>SUM('Trial Bal'!AN552:AN554)</f>
        <v>0.1659193625178432</v>
      </c>
      <c r="AC97" s="299">
        <f>SUM('Trial Bal'!AO552:AO554)</f>
        <v>7.5072795912246457E-2</v>
      </c>
      <c r="AD97" s="299">
        <f>SUM('Trial Bal'!AP552:AP554)</f>
        <v>5.8505510781892707E-2</v>
      </c>
      <c r="AE97" s="299">
        <f>SUM('Trial Bal'!AQ552:AQ554)</f>
        <v>0.24029089520719693</v>
      </c>
      <c r="AF97" s="530">
        <f t="shared" si="25"/>
        <v>1.3235290102551878</v>
      </c>
      <c r="AG97" s="299">
        <f>SUM('Trial Bal'!AS552:AS554)</f>
        <v>1.3621341943088723</v>
      </c>
      <c r="AH97" s="299">
        <f>SUM('Trial Bal'!AT552:AT554)</f>
        <v>1.3899633427411002</v>
      </c>
      <c r="AI97" s="299">
        <f>SUM('Trial Bal'!AU552:AU554)</f>
        <v>1.4316622430233332</v>
      </c>
      <c r="AJ97" s="299">
        <f>SUM('Trial Bal'!AV552:AV554)</f>
        <v>1.4746121103140333</v>
      </c>
      <c r="AK97" s="299">
        <f>SUM('Trial Bal'!AW552:AW554)</f>
        <v>1.5188504736234545</v>
      </c>
      <c r="AL97" s="299">
        <f>SUM('Trial Bal'!AX552:AX554)</f>
        <v>1.564415987832158</v>
      </c>
      <c r="AM97" s="299">
        <f>SUM('Trial Bal'!AY552:AY554)</f>
        <v>1.6113484674671228</v>
      </c>
      <c r="AN97" s="299">
        <f>SUM('Trial Bal'!AZ552:AZ554)</f>
        <v>1.6596889214911366</v>
      </c>
      <c r="AO97" s="299">
        <f>SUM('Trial Bal'!BA552:BA554)</f>
        <v>1.7094795891358707</v>
      </c>
      <c r="AP97" s="299">
        <f>SUM('Trial Bal'!BB552:BB554)</f>
        <v>1.760763976809947</v>
      </c>
      <c r="AQ97" s="299">
        <f>SUM('Trial Bal'!BC552:BC554)</f>
        <v>1.8135868961142456</v>
      </c>
      <c r="AR97" s="299"/>
      <c r="AS97" s="299"/>
      <c r="AT97" s="153"/>
    </row>
    <row r="98" spans="1:46">
      <c r="A98" s="422">
        <f t="shared" si="19"/>
        <v>96</v>
      </c>
      <c r="B98" s="148" t="s">
        <v>433</v>
      </c>
      <c r="C98" s="299"/>
      <c r="D98" s="299"/>
      <c r="E98" s="299">
        <v>0.19120548000000001</v>
      </c>
      <c r="F98" s="530"/>
      <c r="G98" s="299">
        <f>SUM('Trial Bal'!S555)</f>
        <v>5.5141338399999993E-3</v>
      </c>
      <c r="H98" s="299">
        <f>SUM('Trial Bal'!T555)</f>
        <v>4.8920220799999999E-3</v>
      </c>
      <c r="I98" s="299">
        <f>SUM('Trial Bal'!U555)</f>
        <v>1.8268517840000005E-2</v>
      </c>
      <c r="J98" s="299">
        <f>SUM('Trial Bal'!V555)</f>
        <v>7.2580732799999992E-3</v>
      </c>
      <c r="K98" s="299">
        <f>SUM('Trial Bal'!W555)</f>
        <v>7.2461911999999983E-3</v>
      </c>
      <c r="L98" s="299">
        <f>SUM('Trial Bal'!X555)</f>
        <v>2.8680528000000004E-2</v>
      </c>
      <c r="M98" s="299">
        <f>SUM('Trial Bal'!Y555)</f>
        <v>7.3259708799999993E-3</v>
      </c>
      <c r="N98" s="299">
        <f>SUM('Trial Bal'!Z555)</f>
        <v>7.2580732799999992E-3</v>
      </c>
      <c r="O98" s="299">
        <f>SUM('Trial Bal'!AA555)</f>
        <v>1.8924578400000003E-2</v>
      </c>
      <c r="P98" s="299">
        <f>SUM('Trial Bal'!AB555)</f>
        <v>8.6873177600000004E-3</v>
      </c>
      <c r="Q98" s="299">
        <f>SUM('Trial Bal'!AC555)</f>
        <v>7.1978141599999988E-3</v>
      </c>
      <c r="R98" s="299">
        <f>SUM('Trial Bal'!AD555)</f>
        <v>2.1451802800000003E-2</v>
      </c>
      <c r="S98" s="530">
        <f t="shared" si="24"/>
        <v>0.14270502352000003</v>
      </c>
      <c r="T98" s="299">
        <f>SUM('Trial Bal'!AF555)</f>
        <v>6.3895025870999997E-3</v>
      </c>
      <c r="U98" s="299">
        <f>SUM('Trial Bal'!AG555)</f>
        <v>5.6686305851999996E-3</v>
      </c>
      <c r="V98" s="299">
        <f>SUM('Trial Bal'!AH555)</f>
        <v>1.8387645047099999E-2</v>
      </c>
      <c r="W98" s="299">
        <f>SUM('Trial Bal'!AI555)</f>
        <v>5.6292924131999995E-3</v>
      </c>
      <c r="X98" s="299">
        <f>SUM('Trial Bal'!AJ555)</f>
        <v>5.6155240529999996E-3</v>
      </c>
      <c r="Y98" s="299">
        <f>SUM('Trial Bal'!AK555)</f>
        <v>2.97775619766E-2</v>
      </c>
      <c r="Z98" s="299">
        <f>SUM('Trial Bal'!AL555)</f>
        <v>5.7079687572000005E-3</v>
      </c>
      <c r="AA98" s="299">
        <f>SUM('Trial Bal'!AM555)</f>
        <v>5.6292924131999995E-3</v>
      </c>
      <c r="AB98" s="299">
        <f>SUM('Trial Bal'!AN555)</f>
        <v>1.9147855221000001E-2</v>
      </c>
      <c r="AC98" s="299">
        <f>SUM('Trial Bal'!AO555)</f>
        <v>7.2854294544000006E-3</v>
      </c>
      <c r="AD98" s="299">
        <f>SUM('Trial Bal'!AP555)</f>
        <v>5.5594671578999997E-3</v>
      </c>
      <c r="AE98" s="299">
        <f>SUM('Trial Bal'!AQ555)</f>
        <v>2.8547260294499999E-2</v>
      </c>
      <c r="AF98" s="530">
        <f t="shared" si="25"/>
        <v>0.14334542996040001</v>
      </c>
      <c r="AG98" s="299">
        <f>SUM('Trial Bal'!AS555)</f>
        <v>0.14764579285921201</v>
      </c>
      <c r="AH98" s="299">
        <f>SUM('Trial Bal'!AT555)</f>
        <v>0.15059870871639627</v>
      </c>
      <c r="AI98" s="299">
        <f>SUM('Trial Bal'!AU555)</f>
        <v>0.15511666997788817</v>
      </c>
      <c r="AJ98" s="299">
        <f>SUM('Trial Bal'!AV555)</f>
        <v>0.15977017007722483</v>
      </c>
      <c r="AK98" s="299">
        <f>SUM('Trial Bal'!AW555)</f>
        <v>0.16456327517954158</v>
      </c>
      <c r="AL98" s="299">
        <f>SUM('Trial Bal'!AX555)</f>
        <v>0.16950017343492785</v>
      </c>
      <c r="AM98" s="299">
        <f>SUM('Trial Bal'!AY555)</f>
        <v>0.17458517863797568</v>
      </c>
      <c r="AN98" s="299">
        <f>SUM('Trial Bal'!AZ555)</f>
        <v>0.17982273399711496</v>
      </c>
      <c r="AO98" s="299">
        <f>SUM('Trial Bal'!BA555)</f>
        <v>0.1852174160170284</v>
      </c>
      <c r="AP98" s="299">
        <f>SUM('Trial Bal'!BB555)</f>
        <v>0.19077393849753926</v>
      </c>
      <c r="AQ98" s="299">
        <f>SUM('Trial Bal'!BC555)</f>
        <v>0.19649715665246545</v>
      </c>
      <c r="AR98" s="299"/>
      <c r="AS98" s="299"/>
      <c r="AT98" s="153"/>
    </row>
    <row r="99" spans="1:46">
      <c r="A99" s="422">
        <f t="shared" si="19"/>
        <v>97</v>
      </c>
      <c r="B99" s="148" t="s">
        <v>434</v>
      </c>
      <c r="C99" s="300"/>
      <c r="D99" s="300"/>
      <c r="E99" s="300">
        <v>26.428744850000001</v>
      </c>
      <c r="F99" s="531"/>
      <c r="G99" s="300">
        <f>SUM('Trial Bal'!S556:S567)</f>
        <v>2.2513064011832329</v>
      </c>
      <c r="H99" s="300">
        <f>SUM('Trial Bal'!T556:T567)</f>
        <v>2.1043715388653124</v>
      </c>
      <c r="I99" s="300">
        <f>SUM('Trial Bal'!U556:U567)</f>
        <v>2.8775652489967372</v>
      </c>
      <c r="J99" s="300">
        <f>SUM('Trial Bal'!V556:V567)</f>
        <v>2.2196696116576486</v>
      </c>
      <c r="K99" s="300">
        <f>SUM('Trial Bal'!W556:W567)</f>
        <v>2.6030508395579051</v>
      </c>
      <c r="L99" s="300">
        <f>SUM('Trial Bal'!X556:X567)</f>
        <v>2.8976116692106406</v>
      </c>
      <c r="M99" s="300">
        <f>SUM('Trial Bal'!Y556:Y567)</f>
        <v>2.2061192802776484</v>
      </c>
      <c r="N99" s="300">
        <f>SUM('Trial Bal'!Z556:Z567)</f>
        <v>2.3128856729604048</v>
      </c>
      <c r="O99" s="300">
        <f>SUM('Trial Bal'!AA556:AA567)</f>
        <v>2.1880243511295396</v>
      </c>
      <c r="P99" s="300">
        <f>SUM('Trial Bal'!AB556:AB567)</f>
        <v>2.385933789414779</v>
      </c>
      <c r="Q99" s="300">
        <f>SUM('Trial Bal'!AC556:AC567)</f>
        <v>2.0111135389281558</v>
      </c>
      <c r="R99" s="300">
        <f>SUM('Trial Bal'!AD556:AD567)</f>
        <v>2.2740665848965249</v>
      </c>
      <c r="S99" s="531">
        <f t="shared" si="24"/>
        <v>28.331718527078529</v>
      </c>
      <c r="T99" s="300">
        <f>SUM('Trial Bal'!AF556:AF567)</f>
        <v>2.2418600494264314</v>
      </c>
      <c r="U99" s="300">
        <f>SUM('Trial Bal'!AG556:AG567)</f>
        <v>2.1039331018349166</v>
      </c>
      <c r="V99" s="300">
        <f>SUM('Trial Bal'!AH556:AH567)</f>
        <v>2.8680434358868503</v>
      </c>
      <c r="W99" s="300">
        <f>SUM('Trial Bal'!AI556:AI567)</f>
        <v>2.2947191308625285</v>
      </c>
      <c r="X99" s="300">
        <f>SUM('Trial Bal'!AJ556:AJ567)</f>
        <v>2.5896792448036563</v>
      </c>
      <c r="Y99" s="300">
        <f>SUM('Trial Bal'!AK556:AK567)</f>
        <v>2.8928453485516923</v>
      </c>
      <c r="Z99" s="300">
        <f>SUM('Trial Bal'!AL556:AL567)</f>
        <v>2.1921251381825289</v>
      </c>
      <c r="AA99" s="300">
        <f>SUM('Trial Bal'!AM556:AM567)</f>
        <v>2.2955557555596564</v>
      </c>
      <c r="AB99" s="300">
        <f>SUM('Trial Bal'!AN556:AN567)</f>
        <v>2.2188407252760087</v>
      </c>
      <c r="AC99" s="300">
        <f>SUM('Trial Bal'!AO556:AO567)</f>
        <v>2.3554679261140237</v>
      </c>
      <c r="AD99" s="300">
        <f>SUM('Trial Bal'!AP556:AP567)</f>
        <v>2.0086413270704653</v>
      </c>
      <c r="AE99" s="300">
        <f>SUM('Trial Bal'!AQ556:AQ567)</f>
        <v>2.3621336330552887</v>
      </c>
      <c r="AF99" s="531">
        <f t="shared" si="25"/>
        <v>28.423844816624047</v>
      </c>
      <c r="AG99" s="300">
        <f>SUM('Trial Bal'!AS556:AS567)</f>
        <v>29.012011209757212</v>
      </c>
      <c r="AH99" s="300">
        <f>SUM('Trial Bal'!AT556:AT567)</f>
        <v>29.792942539010117</v>
      </c>
      <c r="AI99" s="300">
        <f>SUM('Trial Bal'!AU556:AU567)</f>
        <v>30.30921770944709</v>
      </c>
      <c r="AJ99" s="300">
        <f>SUM('Trial Bal'!AV556:AV567)</f>
        <v>31.203993648330503</v>
      </c>
      <c r="AK99" s="300">
        <f>SUM('Trial Bal'!AW556:AW567)</f>
        <v>32.125612865380418</v>
      </c>
      <c r="AL99" s="300">
        <f>SUM('Trial Bal'!AX556:AX567)</f>
        <v>33.074880658941822</v>
      </c>
      <c r="AM99" s="300">
        <f>SUM('Trial Bal'!AY556:AY567)</f>
        <v>34.052626486310082</v>
      </c>
      <c r="AN99" s="300">
        <f>SUM('Trial Bal'!AZ556:AZ567)</f>
        <v>35.05970468849938</v>
      </c>
      <c r="AO99" s="300">
        <f>SUM('Trial Bal'!BA556:BA567)</f>
        <v>36.096995236754367</v>
      </c>
      <c r="AP99" s="300">
        <f>SUM('Trial Bal'!BB556:BB567)</f>
        <v>37.165404501456997</v>
      </c>
      <c r="AQ99" s="300">
        <f>SUM('Trial Bal'!BC556:BC567)</f>
        <v>38.265866044100704</v>
      </c>
      <c r="AR99" s="299"/>
      <c r="AS99" s="299"/>
      <c r="AT99" s="153"/>
    </row>
    <row r="100" spans="1:46" ht="15.75">
      <c r="A100" s="422">
        <f t="shared" si="19"/>
        <v>98</v>
      </c>
      <c r="B100" s="131" t="s">
        <v>460</v>
      </c>
      <c r="C100" s="299"/>
      <c r="D100" s="299"/>
      <c r="E100" s="299">
        <f>SUM(E90:E99)</f>
        <v>426.07345980000002</v>
      </c>
      <c r="F100" s="530"/>
      <c r="G100" s="299">
        <f t="shared" ref="G100:T100" si="26">SUM(G90:G99)</f>
        <v>37.61096627790954</v>
      </c>
      <c r="H100" s="299">
        <f t="shared" si="26"/>
        <v>34.488259075660437</v>
      </c>
      <c r="I100" s="299">
        <f t="shared" si="26"/>
        <v>38.650247699332567</v>
      </c>
      <c r="J100" s="299">
        <f t="shared" si="26"/>
        <v>36.095509598964071</v>
      </c>
      <c r="K100" s="299">
        <f t="shared" si="26"/>
        <v>36.643816175930638</v>
      </c>
      <c r="L100" s="299">
        <f t="shared" si="26"/>
        <v>36.105627536505629</v>
      </c>
      <c r="M100" s="299">
        <f t="shared" si="26"/>
        <v>37.666760224132013</v>
      </c>
      <c r="N100" s="299">
        <f t="shared" si="26"/>
        <v>36.574838750587531</v>
      </c>
      <c r="O100" s="299">
        <f t="shared" si="26"/>
        <v>27.785701288997512</v>
      </c>
      <c r="P100" s="299">
        <f t="shared" si="26"/>
        <v>29.862968967879041</v>
      </c>
      <c r="Q100" s="299">
        <f t="shared" si="26"/>
        <v>28.138750787813134</v>
      </c>
      <c r="R100" s="299">
        <f t="shared" si="26"/>
        <v>28.834670341236983</v>
      </c>
      <c r="S100" s="530">
        <f t="shared" si="26"/>
        <v>408.45811672494909</v>
      </c>
      <c r="T100" s="299">
        <f t="shared" si="26"/>
        <v>29.892477971445068</v>
      </c>
      <c r="U100" s="299">
        <f t="shared" ref="U100:AQ100" si="27">SUM(U90:U99)</f>
        <v>27.29287290350112</v>
      </c>
      <c r="V100" s="299">
        <f t="shared" si="27"/>
        <v>28.412013847305492</v>
      </c>
      <c r="W100" s="299">
        <f t="shared" si="27"/>
        <v>26.580753348319661</v>
      </c>
      <c r="X100" s="299">
        <f t="shared" si="27"/>
        <v>28.421245167285701</v>
      </c>
      <c r="Y100" s="299">
        <f t="shared" si="27"/>
        <v>29.171402586915619</v>
      </c>
      <c r="Z100" s="299">
        <f t="shared" si="27"/>
        <v>29.042187670168758</v>
      </c>
      <c r="AA100" s="299">
        <f t="shared" si="27"/>
        <v>29.330300167918335</v>
      </c>
      <c r="AB100" s="299">
        <f t="shared" si="27"/>
        <v>28.254857184006596</v>
      </c>
      <c r="AC100" s="299">
        <f t="shared" si="27"/>
        <v>30.061920489366607</v>
      </c>
      <c r="AD100" s="299">
        <f t="shared" si="27"/>
        <v>28.417790793234648</v>
      </c>
      <c r="AE100" s="299">
        <f t="shared" si="27"/>
        <v>29.614736031873026</v>
      </c>
      <c r="AF100" s="530">
        <f t="shared" si="27"/>
        <v>344.49255816134064</v>
      </c>
      <c r="AG100" s="299">
        <f t="shared" si="27"/>
        <v>364.58802226531537</v>
      </c>
      <c r="AH100" s="299">
        <f t="shared" si="27"/>
        <v>377.4073258526127</v>
      </c>
      <c r="AI100" s="299">
        <f t="shared" si="27"/>
        <v>389.82795443751411</v>
      </c>
      <c r="AJ100" s="299">
        <f t="shared" si="27"/>
        <v>403.94318064680283</v>
      </c>
      <c r="AK100" s="299">
        <f t="shared" si="27"/>
        <v>543.33323894110936</v>
      </c>
      <c r="AL100" s="299">
        <f t="shared" si="27"/>
        <v>592.72524689604097</v>
      </c>
      <c r="AM100" s="299">
        <f t="shared" si="27"/>
        <v>602.17737804739045</v>
      </c>
      <c r="AN100" s="299">
        <f t="shared" si="27"/>
        <v>635.83286931610655</v>
      </c>
      <c r="AO100" s="299">
        <f t="shared" si="27"/>
        <v>644.86579890320468</v>
      </c>
      <c r="AP100" s="299">
        <f t="shared" si="27"/>
        <v>666.18454666967273</v>
      </c>
      <c r="AQ100" s="299">
        <f t="shared" si="27"/>
        <v>693.79613950741646</v>
      </c>
      <c r="AR100" s="299"/>
      <c r="AS100" s="299"/>
      <c r="AT100" s="153"/>
    </row>
    <row r="101" spans="1:46" ht="15.75">
      <c r="A101" s="422">
        <f t="shared" si="19"/>
        <v>99</v>
      </c>
      <c r="B101" s="131"/>
      <c r="C101" s="299"/>
      <c r="D101" s="299"/>
      <c r="E101" s="299"/>
      <c r="F101" s="530"/>
      <c r="G101" s="299"/>
      <c r="H101" s="299"/>
      <c r="I101" s="299"/>
      <c r="J101" s="299"/>
      <c r="K101" s="299"/>
      <c r="L101" s="299"/>
      <c r="M101" s="299"/>
      <c r="N101" s="299"/>
      <c r="O101" s="299"/>
      <c r="P101" s="299"/>
      <c r="Q101" s="299"/>
      <c r="R101" s="299"/>
      <c r="S101" s="530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530"/>
      <c r="AG101" s="299"/>
      <c r="AH101" s="299"/>
      <c r="AI101" s="299"/>
      <c r="AJ101" s="299"/>
      <c r="AK101" s="299"/>
      <c r="AL101" s="299"/>
      <c r="AM101" s="299"/>
      <c r="AN101" s="299"/>
      <c r="AO101" s="299"/>
      <c r="AP101" s="299"/>
      <c r="AQ101" s="299"/>
      <c r="AR101" s="299"/>
      <c r="AS101" s="299"/>
      <c r="AT101" s="153"/>
    </row>
    <row r="102" spans="1:46">
      <c r="A102" s="422">
        <f t="shared" si="19"/>
        <v>100</v>
      </c>
      <c r="B102" s="148" t="s">
        <v>435</v>
      </c>
      <c r="C102" s="299"/>
      <c r="D102" s="299"/>
      <c r="E102" s="299">
        <v>41.169861769999997</v>
      </c>
      <c r="F102" s="530"/>
      <c r="G102" s="299">
        <f>SUM('Trial Bal'!S502:S513)</f>
        <v>2.7352097372969753</v>
      </c>
      <c r="H102" s="299">
        <f>SUM('Trial Bal'!T502:T513)</f>
        <v>3.2129373370262453</v>
      </c>
      <c r="I102" s="299">
        <f>SUM('Trial Bal'!U502:U513)</f>
        <v>3.4757899687434426</v>
      </c>
      <c r="J102" s="299">
        <f>SUM('Trial Bal'!V502:V513)</f>
        <v>3.9366222319193991</v>
      </c>
      <c r="K102" s="299">
        <f>SUM('Trial Bal'!W502:W513)</f>
        <v>7.2944543201905327</v>
      </c>
      <c r="L102" s="299">
        <f>SUM('Trial Bal'!X502:X513)</f>
        <v>3.0166114150718242</v>
      </c>
      <c r="M102" s="299">
        <f>SUM('Trial Bal'!Y502:Y513)</f>
        <v>3.3134663999956828</v>
      </c>
      <c r="N102" s="299">
        <f>SUM('Trial Bal'!Z502:Z513)</f>
        <v>3.2706423871962262</v>
      </c>
      <c r="O102" s="299">
        <f>SUM('Trial Bal'!AA502:AA513)</f>
        <v>3.1816037915751751</v>
      </c>
      <c r="P102" s="299">
        <f>SUM('Trial Bal'!AB502:AB513)</f>
        <v>3.6837195651324834</v>
      </c>
      <c r="Q102" s="299">
        <f>SUM('Trial Bal'!AC502:AC513)</f>
        <v>2.5780711200441142</v>
      </c>
      <c r="R102" s="299">
        <f>SUM('Trial Bal'!AD502:AD513)</f>
        <v>2.0284517180767061</v>
      </c>
      <c r="S102" s="530">
        <f>SUM(G102:R102)</f>
        <v>41.727579992268815</v>
      </c>
      <c r="T102" s="299">
        <f>SUM('Trial Bal'!AF502:AF513)</f>
        <v>2.3987029986102231</v>
      </c>
      <c r="U102" s="299">
        <f>SUM('Trial Bal'!AG502:AG513)</f>
        <v>2.3118006144346319</v>
      </c>
      <c r="V102" s="299">
        <f>SUM('Trial Bal'!AH502:AH513)</f>
        <v>4.7803544707806465</v>
      </c>
      <c r="W102" s="299">
        <f>SUM('Trial Bal'!AI502:AI513)</f>
        <v>7.6552091755447407</v>
      </c>
      <c r="X102" s="299">
        <f>SUM('Trial Bal'!AJ502:AJ513)</f>
        <v>5.0255114135162531</v>
      </c>
      <c r="Y102" s="299">
        <f>SUM('Trial Bal'!AK502:AK513)</f>
        <v>2.2188370522065535</v>
      </c>
      <c r="Z102" s="299">
        <f>SUM('Trial Bal'!AL502:AL513)</f>
        <v>2.5448888314290357</v>
      </c>
      <c r="AA102" s="299">
        <f>SUM('Trial Bal'!AM502:AM513)</f>
        <v>2.6993204119759366</v>
      </c>
      <c r="AB102" s="299">
        <f>SUM('Trial Bal'!AN502:AN513)</f>
        <v>2.8473240947720035</v>
      </c>
      <c r="AC102" s="299">
        <f>SUM('Trial Bal'!AO502:AO513)</f>
        <v>3.5441602208702441</v>
      </c>
      <c r="AD102" s="299">
        <f>SUM('Trial Bal'!AP502:AP513)</f>
        <v>2.2924377426242271</v>
      </c>
      <c r="AE102" s="299">
        <f>SUM('Trial Bal'!AQ502:AQ513)</f>
        <v>2.0879271448642824</v>
      </c>
      <c r="AF102" s="530">
        <f>SUM(T102:AE102)</f>
        <v>40.40647417162878</v>
      </c>
      <c r="AG102" s="299">
        <f>SUM('Trial Bal'!AS502:AS513)</f>
        <v>37.747663109076477</v>
      </c>
      <c r="AH102" s="299">
        <f>SUM('Trial Bal'!AT502:AT513)</f>
        <v>42.58839937152225</v>
      </c>
      <c r="AI102" s="299">
        <f>SUM('Trial Bal'!AU502:AU513)</f>
        <v>43.838451352667924</v>
      </c>
      <c r="AJ102" s="299">
        <f>SUM('Trial Bal'!AV502:AV513)</f>
        <v>44.819338226581294</v>
      </c>
      <c r="AK102" s="299">
        <f>SUM('Trial Bal'!AW502:AW513)</f>
        <v>59.700199283506294</v>
      </c>
      <c r="AL102" s="299">
        <f>SUM('Trial Bal'!AX502:AX513)</f>
        <v>61.491205262011484</v>
      </c>
      <c r="AM102" s="299">
        <f>SUM('Trial Bal'!AY502:AY513)</f>
        <v>63.335941419871844</v>
      </c>
      <c r="AN102" s="299">
        <f>SUM('Trial Bal'!AZ502:AZ513)</f>
        <v>65.236019662467982</v>
      </c>
      <c r="AO102" s="299">
        <f>SUM('Trial Bal'!BA502:BA513)</f>
        <v>67.193100252342035</v>
      </c>
      <c r="AP102" s="299">
        <f>SUM('Trial Bal'!BB502:BB513)</f>
        <v>69.208893259912287</v>
      </c>
      <c r="AQ102" s="299">
        <f>SUM('Trial Bal'!BC502:BC513)</f>
        <v>71.285160057709646</v>
      </c>
      <c r="AR102" s="299"/>
      <c r="AS102" s="299"/>
      <c r="AT102" s="153"/>
    </row>
    <row r="103" spans="1:46">
      <c r="A103" s="422">
        <f t="shared" si="19"/>
        <v>101</v>
      </c>
      <c r="B103" s="148" t="s">
        <v>436</v>
      </c>
      <c r="C103" s="299"/>
      <c r="D103" s="299"/>
      <c r="E103" s="299">
        <v>4.6079976399999998</v>
      </c>
      <c r="F103" s="530"/>
      <c r="G103" s="299">
        <f>SUM('Trial Bal'!S539:S550)</f>
        <v>0.38404877744857696</v>
      </c>
      <c r="H103" s="299">
        <f>SUM('Trial Bal'!T539:T550)</f>
        <v>0.3620821926348663</v>
      </c>
      <c r="I103" s="299">
        <f>SUM('Trial Bal'!U539:U550)</f>
        <v>0.44672370822502966</v>
      </c>
      <c r="J103" s="299">
        <f>SUM('Trial Bal'!V539:V550)</f>
        <v>0.37197654048583478</v>
      </c>
      <c r="K103" s="299">
        <f>SUM('Trial Bal'!W539:W550)</f>
        <v>0.43846297315051397</v>
      </c>
      <c r="L103" s="299">
        <f>SUM('Trial Bal'!X539:X550)</f>
        <v>0.5284411869329293</v>
      </c>
      <c r="M103" s="299">
        <f>SUM('Trial Bal'!Y539:Y550)</f>
        <v>0.52581414048583486</v>
      </c>
      <c r="N103" s="299">
        <f>SUM('Trial Bal'!Z539:Z550)</f>
        <v>0.452413373150514</v>
      </c>
      <c r="O103" s="299">
        <f>SUM('Trial Bal'!AA539:AA550)</f>
        <v>0.37867232548492652</v>
      </c>
      <c r="P103" s="299">
        <f>SUM('Trial Bal'!AB539:AB550)</f>
        <v>0.38430632283109462</v>
      </c>
      <c r="Q103" s="299">
        <f>SUM('Trial Bal'!AC539:AC550)</f>
        <v>0.34779708664202902</v>
      </c>
      <c r="R103" s="299">
        <f>SUM('Trial Bal'!AD539:AD550)</f>
        <v>0.39170555385522399</v>
      </c>
      <c r="S103" s="530">
        <f>SUM(G103:R103)</f>
        <v>5.0124441813273739</v>
      </c>
      <c r="T103" s="299">
        <f>SUM('Trial Bal'!AF539:AF550)</f>
        <v>0.38373773524905891</v>
      </c>
      <c r="U103" s="299">
        <f>SUM('Trial Bal'!AG539:AG550)</f>
        <v>0.362145143720567</v>
      </c>
      <c r="V103" s="299">
        <f>SUM('Trial Bal'!AH539:AH550)</f>
        <v>0.46200930436104914</v>
      </c>
      <c r="W103" s="299">
        <f>SUM('Trial Bal'!AI539:AI550)</f>
        <v>0.38612490162576046</v>
      </c>
      <c r="X103" s="299">
        <f>SUM('Trial Bal'!AJ539:AJ550)</f>
        <v>0.46441858488244597</v>
      </c>
      <c r="Y103" s="299">
        <f>SUM('Trial Bal'!AK539:AK550)</f>
        <v>0.55660835767997985</v>
      </c>
      <c r="Z103" s="299">
        <f>SUM('Trial Bal'!AL539:AL550)</f>
        <v>0.5589640387960606</v>
      </c>
      <c r="AA103" s="299">
        <f>SUM('Trial Bal'!AM539:AM550)</f>
        <v>0.56755734869464602</v>
      </c>
      <c r="AB103" s="299">
        <f>SUM('Trial Bal'!AN539:AN550)</f>
        <v>0.45365061911923554</v>
      </c>
      <c r="AC103" s="299">
        <f>SUM('Trial Bal'!AO539:AO550)</f>
        <v>0.44029028145579568</v>
      </c>
      <c r="AD103" s="299">
        <f>SUM('Trial Bal'!AP539:AP550)</f>
        <v>0.40744183173364362</v>
      </c>
      <c r="AE103" s="299">
        <f>SUM('Trial Bal'!AQ539:AQ550)</f>
        <v>0.42690715412891056</v>
      </c>
      <c r="AF103" s="530">
        <f>SUM(T103:AE103)</f>
        <v>5.4698553014471525</v>
      </c>
      <c r="AG103" s="299">
        <f>SUM('Trial Bal'!AS539:AS550)</f>
        <v>5.6010376151603172</v>
      </c>
      <c r="AH103" s="299">
        <f>SUM('Trial Bal'!AT539:AT550)</f>
        <v>5.7803000499016441</v>
      </c>
      <c r="AI103" s="299">
        <f>SUM('Trial Bal'!AU539:AU550)</f>
        <v>5.9537090513986941</v>
      </c>
      <c r="AJ103" s="299">
        <f>SUM('Trial Bal'!AV539:AV550)</f>
        <v>6.1323203229406547</v>
      </c>
      <c r="AK103" s="299">
        <f>SUM('Trial Bal'!AW539:AW550)</f>
        <v>6.3162899326288731</v>
      </c>
      <c r="AL103" s="299">
        <f>SUM('Trial Bal'!AX539:AX550)</f>
        <v>6.5057786306077414</v>
      </c>
      <c r="AM103" s="299">
        <f>SUM('Trial Bal'!AY539:AY550)</f>
        <v>6.7009519895259748</v>
      </c>
      <c r="AN103" s="299">
        <f>SUM('Trial Bal'!AZ539:AZ550)</f>
        <v>6.9019805492117534</v>
      </c>
      <c r="AO103" s="299">
        <f>SUM('Trial Bal'!BA539:BA550)</f>
        <v>7.1090399656881065</v>
      </c>
      <c r="AP103" s="299">
        <f>SUM('Trial Bal'!BB539:BB550)</f>
        <v>7.3223111646587498</v>
      </c>
      <c r="AQ103" s="299">
        <f>SUM('Trial Bal'!BC539:BC550)</f>
        <v>7.5419804995985116</v>
      </c>
      <c r="AR103" s="299"/>
      <c r="AS103" s="299"/>
      <c r="AT103" s="153"/>
    </row>
    <row r="104" spans="1:46">
      <c r="A104" s="422">
        <f>A103+1</f>
        <v>102</v>
      </c>
      <c r="B104" s="148" t="s">
        <v>437</v>
      </c>
      <c r="C104" s="299"/>
      <c r="D104" s="299"/>
      <c r="E104" s="299"/>
      <c r="F104" s="530"/>
      <c r="G104" s="299"/>
      <c r="H104" s="299"/>
      <c r="I104" s="299"/>
      <c r="J104" s="299"/>
      <c r="K104" s="299"/>
      <c r="L104" s="299"/>
      <c r="M104" s="299"/>
      <c r="N104" s="299"/>
      <c r="O104" s="299"/>
      <c r="P104" s="299"/>
      <c r="Q104" s="299"/>
      <c r="R104" s="299"/>
      <c r="S104" s="530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530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153"/>
    </row>
    <row r="105" spans="1:46">
      <c r="A105" s="422">
        <f t="shared" si="19"/>
        <v>103</v>
      </c>
      <c r="B105" s="148" t="s">
        <v>438</v>
      </c>
      <c r="C105" s="300"/>
      <c r="D105" s="300"/>
      <c r="E105" s="300">
        <v>0.18430157</v>
      </c>
      <c r="F105" s="531"/>
      <c r="G105" s="300">
        <f>SUM('Trial Bal'!S568:S569)</f>
        <v>1.9696957637846582E-2</v>
      </c>
      <c r="H105" s="300">
        <f>SUM('Trial Bal'!T568:T569)</f>
        <v>1.7748540049328243E-2</v>
      </c>
      <c r="I105" s="300">
        <f>SUM('Trial Bal'!U568:U569)</f>
        <v>1.7606480744068592E-2</v>
      </c>
      <c r="J105" s="300">
        <f>SUM('Trial Bal'!V568:V569)</f>
        <v>1.8274528620142914E-2</v>
      </c>
      <c r="K105" s="300">
        <f>SUM('Trial Bal'!W568:W569)</f>
        <v>1.7854977779475929E-2</v>
      </c>
      <c r="L105" s="300">
        <f>SUM('Trial Bal'!X568:X569)</f>
        <v>1.6867058907698892E-2</v>
      </c>
      <c r="M105" s="300">
        <f>SUM('Trial Bal'!Y568:Y569)</f>
        <v>1.8356511120142915E-2</v>
      </c>
      <c r="N105" s="300">
        <f>SUM('Trial Bal'!Z568:Z569)</f>
        <v>1.8048177779475934E-2</v>
      </c>
      <c r="O105" s="300">
        <f>SUM('Trial Bal'!AA568:AA569)</f>
        <v>1.6737693907698893E-2</v>
      </c>
      <c r="P105" s="300">
        <f>SUM('Trial Bal'!AB568:AB569)</f>
        <v>1.8931343882446147E-2</v>
      </c>
      <c r="Q105" s="300">
        <f>SUM('Trial Bal'!AC568:AC569)</f>
        <v>1.6560417694085613E-2</v>
      </c>
      <c r="R105" s="300">
        <f>SUM('Trial Bal'!AD568:AD569)</f>
        <v>1.7811115184953839E-2</v>
      </c>
      <c r="S105" s="531">
        <f>SUM(G105:R105)</f>
        <v>0.21449380330736448</v>
      </c>
      <c r="T105" s="300">
        <f>SUM('Trial Bal'!AF568:AF569)</f>
        <v>1.9997136745308321E-2</v>
      </c>
      <c r="U105" s="300">
        <f>SUM('Trial Bal'!AG568:AG569)</f>
        <v>1.8002717508888579E-2</v>
      </c>
      <c r="V105" s="300">
        <f>SUM('Trial Bal'!AH568:AH569)</f>
        <v>1.7828014829012008E-2</v>
      </c>
      <c r="W105" s="300">
        <f>SUM('Trial Bal'!AI568:AI569)</f>
        <v>1.8531686898024369E-2</v>
      </c>
      <c r="X105" s="300">
        <f>SUM('Trial Bal'!AJ568:AJ569)</f>
        <v>1.8076548523579906E-2</v>
      </c>
      <c r="Y105" s="300">
        <f>SUM('Trial Bal'!AK568:AK569)</f>
        <v>1.7117754730616989E-2</v>
      </c>
      <c r="Z105" s="300">
        <f>SUM('Trial Bal'!AL568:AL569)</f>
        <v>1.8614500898024369E-2</v>
      </c>
      <c r="AA105" s="300">
        <f>SUM('Trial Bal'!AM568:AM569)</f>
        <v>1.8273948523579907E-2</v>
      </c>
      <c r="AB105" s="300">
        <f>SUM('Trial Bal'!AN568:AN569)</f>
        <v>1.6984341730616991E-2</v>
      </c>
      <c r="AC105" s="300">
        <f>SUM('Trial Bal'!AO568:AO569)</f>
        <v>1.9168150341426299E-2</v>
      </c>
      <c r="AD105" s="300">
        <f>SUM('Trial Bal'!AP568:AP569)</f>
        <v>1.6800351846280273E-2</v>
      </c>
      <c r="AE105" s="300">
        <f>SUM('Trial Bal'!AQ568:AQ569)</f>
        <v>1.8077026864079686E-2</v>
      </c>
      <c r="AF105" s="531">
        <f>SUM(T105:AE105)</f>
        <v>0.21747217943943775</v>
      </c>
      <c r="AG105" s="300">
        <f>SUM('Trial Bal'!AS568:AS569)</f>
        <v>0.22335498467733345</v>
      </c>
      <c r="AH105" s="300">
        <f>SUM('Trial Bal'!AT568:AT569)</f>
        <v>0.22940897173415875</v>
      </c>
      <c r="AI105" s="300">
        <f>SUM('Trial Bal'!AU568:AU569)</f>
        <v>0.23629124088618353</v>
      </c>
      <c r="AJ105" s="300">
        <f>SUM('Trial Bal'!AV568:AV569)</f>
        <v>0.24337997811276907</v>
      </c>
      <c r="AK105" s="300">
        <f>SUM('Trial Bal'!AW568:AW569)</f>
        <v>0.25068137745615215</v>
      </c>
      <c r="AL105" s="300">
        <f>SUM('Trial Bal'!AX568:AX569)</f>
        <v>0.25820181877983672</v>
      </c>
      <c r="AM105" s="300">
        <f>SUM('Trial Bal'!AY568:AY569)</f>
        <v>0.26594787334323178</v>
      </c>
      <c r="AN105" s="300">
        <f>SUM('Trial Bal'!AZ568:AZ569)</f>
        <v>0.27392630954352876</v>
      </c>
      <c r="AO105" s="300">
        <f>SUM('Trial Bal'!BA568:BA569)</f>
        <v>0.2821440988298346</v>
      </c>
      <c r="AP105" s="300">
        <f>SUM('Trial Bal'!BB568:BB569)</f>
        <v>0.29060842179472968</v>
      </c>
      <c r="AQ105" s="300">
        <f>SUM('Trial Bal'!BC568:BC569)</f>
        <v>0.29932667444857158</v>
      </c>
      <c r="AR105" s="299"/>
      <c r="AS105" s="299"/>
      <c r="AT105" s="153"/>
    </row>
    <row r="106" spans="1:46" ht="15.75">
      <c r="A106" s="422">
        <f t="shared" si="19"/>
        <v>104</v>
      </c>
      <c r="B106" s="131" t="s">
        <v>461</v>
      </c>
      <c r="C106" s="299"/>
      <c r="D106" s="299"/>
      <c r="E106" s="299">
        <f>SUM(E102:E105)</f>
        <v>45.96216098</v>
      </c>
      <c r="F106" s="530"/>
      <c r="G106" s="299">
        <f t="shared" ref="G106:AQ106" si="28">SUM(G102:G105)</f>
        <v>3.1389554723833988</v>
      </c>
      <c r="H106" s="299">
        <f t="shared" si="28"/>
        <v>3.5927680697104396</v>
      </c>
      <c r="I106" s="299">
        <f t="shared" si="28"/>
        <v>3.9401201577125411</v>
      </c>
      <c r="J106" s="299">
        <f t="shared" si="28"/>
        <v>4.326873301025377</v>
      </c>
      <c r="K106" s="299">
        <f t="shared" si="28"/>
        <v>7.7507722711205229</v>
      </c>
      <c r="L106" s="299">
        <f t="shared" si="28"/>
        <v>3.5619196609124524</v>
      </c>
      <c r="M106" s="299">
        <f t="shared" si="28"/>
        <v>3.8576370516016607</v>
      </c>
      <c r="N106" s="299">
        <f t="shared" si="28"/>
        <v>3.7411039381262161</v>
      </c>
      <c r="O106" s="299">
        <f t="shared" si="28"/>
        <v>3.5770138109678005</v>
      </c>
      <c r="P106" s="299">
        <f t="shared" si="28"/>
        <v>4.0869572318460241</v>
      </c>
      <c r="Q106" s="299">
        <f t="shared" si="28"/>
        <v>2.9424286243802289</v>
      </c>
      <c r="R106" s="299">
        <f t="shared" si="28"/>
        <v>2.437968387116884</v>
      </c>
      <c r="S106" s="530">
        <f t="shared" si="28"/>
        <v>46.954517976903553</v>
      </c>
      <c r="T106" s="299">
        <f t="shared" si="28"/>
        <v>2.8024378706045905</v>
      </c>
      <c r="U106" s="299">
        <f t="shared" si="28"/>
        <v>2.6919484756640872</v>
      </c>
      <c r="V106" s="299">
        <f t="shared" si="28"/>
        <v>5.2601917899707082</v>
      </c>
      <c r="W106" s="299">
        <f t="shared" si="28"/>
        <v>8.0598657640685261</v>
      </c>
      <c r="X106" s="299">
        <f t="shared" si="28"/>
        <v>5.508006546922279</v>
      </c>
      <c r="Y106" s="299">
        <f t="shared" si="28"/>
        <v>2.79256316461715</v>
      </c>
      <c r="Z106" s="299">
        <f t="shared" si="28"/>
        <v>3.1224673711231206</v>
      </c>
      <c r="AA106" s="299">
        <f t="shared" si="28"/>
        <v>3.2851517091941624</v>
      </c>
      <c r="AB106" s="299">
        <f t="shared" si="28"/>
        <v>3.3179590556218561</v>
      </c>
      <c r="AC106" s="299">
        <f t="shared" si="28"/>
        <v>4.0036186526674662</v>
      </c>
      <c r="AD106" s="299">
        <f t="shared" si="28"/>
        <v>2.7166799262041512</v>
      </c>
      <c r="AE106" s="299">
        <f t="shared" si="28"/>
        <v>2.5329113258572726</v>
      </c>
      <c r="AF106" s="530">
        <f t="shared" si="28"/>
        <v>46.093801652515374</v>
      </c>
      <c r="AG106" s="299">
        <f t="shared" si="28"/>
        <v>43.572055708914128</v>
      </c>
      <c r="AH106" s="299">
        <f t="shared" si="28"/>
        <v>48.598108393158057</v>
      </c>
      <c r="AI106" s="299">
        <f t="shared" si="28"/>
        <v>50.028451644952803</v>
      </c>
      <c r="AJ106" s="299">
        <f t="shared" si="28"/>
        <v>51.195038527634722</v>
      </c>
      <c r="AK106" s="299">
        <f t="shared" si="28"/>
        <v>66.267170593591317</v>
      </c>
      <c r="AL106" s="299">
        <f t="shared" si="28"/>
        <v>68.255185711399065</v>
      </c>
      <c r="AM106" s="299">
        <f t="shared" si="28"/>
        <v>70.302841282741056</v>
      </c>
      <c r="AN106" s="299">
        <f t="shared" si="28"/>
        <v>72.411926521223265</v>
      </c>
      <c r="AO106" s="299">
        <f t="shared" si="28"/>
        <v>74.584284316859979</v>
      </c>
      <c r="AP106" s="299">
        <f t="shared" si="28"/>
        <v>76.821812846365759</v>
      </c>
      <c r="AQ106" s="299">
        <f t="shared" si="28"/>
        <v>79.12646723175672</v>
      </c>
      <c r="AR106" s="299"/>
      <c r="AS106" s="299"/>
      <c r="AT106" s="153"/>
    </row>
    <row r="107" spans="1:46" ht="15.75">
      <c r="A107" s="422">
        <f t="shared" si="19"/>
        <v>105</v>
      </c>
      <c r="B107" s="131"/>
      <c r="C107" s="299"/>
      <c r="D107" s="299"/>
      <c r="E107" s="299"/>
      <c r="F107" s="530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299"/>
      <c r="R107" s="299"/>
      <c r="S107" s="530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530"/>
      <c r="AG107" s="299"/>
      <c r="AH107" s="299"/>
      <c r="AI107" s="299"/>
      <c r="AJ107" s="299"/>
      <c r="AK107" s="299"/>
      <c r="AL107" s="299"/>
      <c r="AM107" s="299"/>
      <c r="AN107" s="299"/>
      <c r="AO107" s="299"/>
      <c r="AP107" s="299"/>
      <c r="AQ107" s="299"/>
      <c r="AR107" s="299"/>
      <c r="AS107" s="299"/>
      <c r="AT107" s="153"/>
    </row>
    <row r="108" spans="1:46">
      <c r="A108" s="422">
        <f t="shared" si="19"/>
        <v>106</v>
      </c>
      <c r="B108" s="148" t="s">
        <v>439</v>
      </c>
      <c r="C108" s="299"/>
      <c r="D108" s="299"/>
      <c r="E108" s="299">
        <v>41.0903907</v>
      </c>
      <c r="F108" s="530"/>
      <c r="G108" s="299">
        <f>SUM('Trial Bal'!S433:S445)</f>
        <v>3.4401679999999999</v>
      </c>
      <c r="H108" s="299">
        <f>SUM('Trial Bal'!T433:T445)</f>
        <v>3.4419689999999998</v>
      </c>
      <c r="I108" s="299">
        <f>SUM('Trial Bal'!U433:U445)</f>
        <v>3.4457580000000001</v>
      </c>
      <c r="J108" s="299">
        <f>SUM('Trial Bal'!V433:V445)</f>
        <v>3.4517729999999993</v>
      </c>
      <c r="K108" s="299">
        <f>SUM('Trial Bal'!W433:W445)</f>
        <v>3.4664659999999996</v>
      </c>
      <c r="L108" s="299">
        <f>SUM('Trial Bal'!X433:X445)</f>
        <v>3.4792169999999993</v>
      </c>
      <c r="M108" s="299">
        <f>SUM('Trial Bal'!Y433:Y445)</f>
        <v>3.4869189999999994</v>
      </c>
      <c r="N108" s="299">
        <f>SUM('Trial Bal'!Z433:Z445)</f>
        <v>3.4933119999999995</v>
      </c>
      <c r="O108" s="299">
        <f>SUM('Trial Bal'!AA433:AA445)</f>
        <v>3.6416229999999996</v>
      </c>
      <c r="P108" s="299">
        <f>SUM('Trial Bal'!AB433:AB445)</f>
        <v>3.6474479999999994</v>
      </c>
      <c r="Q108" s="299">
        <f>SUM('Trial Bal'!AC433:AC445)</f>
        <v>3.6575439999999997</v>
      </c>
      <c r="R108" s="299">
        <f>SUM('Trial Bal'!AD433:AD445)</f>
        <v>3.6619819999999996</v>
      </c>
      <c r="S108" s="530">
        <f>SUM(G108:R108)</f>
        <v>42.314178999999996</v>
      </c>
      <c r="T108" s="299">
        <f>SUM('Trial Bal'!AF433:AF445)</f>
        <v>3.6627039999999997</v>
      </c>
      <c r="U108" s="299">
        <f>SUM('Trial Bal'!AG433:AG445)</f>
        <v>3.6662849999999998</v>
      </c>
      <c r="V108" s="299">
        <f>SUM('Trial Bal'!AH433:AH445)</f>
        <v>3.6688829999999997</v>
      </c>
      <c r="W108" s="299">
        <f>SUM('Trial Bal'!AI433:AI445)</f>
        <v>3.6751879999999995</v>
      </c>
      <c r="X108" s="299">
        <f>SUM('Trial Bal'!AJ433:AJ445)</f>
        <v>3.6914069999999994</v>
      </c>
      <c r="Y108" s="299">
        <f>SUM('Trial Bal'!AK433:AK445)</f>
        <v>3.7054549999999997</v>
      </c>
      <c r="Z108" s="299">
        <f>SUM('Trial Bal'!AL433:AL445)</f>
        <v>3.7100279999999994</v>
      </c>
      <c r="AA108" s="299">
        <f>SUM('Trial Bal'!AM433:AM445)</f>
        <v>3.7144689999999994</v>
      </c>
      <c r="AB108" s="299">
        <f>SUM('Trial Bal'!AN433:AN445)</f>
        <v>3.8443849999999995</v>
      </c>
      <c r="AC108" s="299">
        <f>SUM('Trial Bal'!AO433:AO445)</f>
        <v>3.8517389999999998</v>
      </c>
      <c r="AD108" s="299">
        <f>SUM('Trial Bal'!AP433:AP445)</f>
        <v>3.8594250000000003</v>
      </c>
      <c r="AE108" s="299">
        <f>SUM('Trial Bal'!AQ433:AQ445)</f>
        <v>3.859785</v>
      </c>
      <c r="AF108" s="530">
        <f>SUM(T108:AE108)</f>
        <v>44.909753000000009</v>
      </c>
      <c r="AG108" s="299">
        <f>SUM('Trial Bal'!AS433:AS445)</f>
        <v>46.846869000000012</v>
      </c>
      <c r="AH108" s="299">
        <f>SUM('Trial Bal'!AT433:AT445)</f>
        <v>47.799607000000002</v>
      </c>
      <c r="AI108" s="299">
        <f>SUM('Trial Bal'!AU433:AU445)</f>
        <v>48.651814919685066</v>
      </c>
      <c r="AJ108" s="299">
        <f>SUM('Trial Bal'!AV433:AV445)</f>
        <v>49.533319153871425</v>
      </c>
      <c r="AK108" s="299">
        <f>SUM('Trial Bal'!AW433:AW445)</f>
        <v>50.31829091224958</v>
      </c>
      <c r="AL108" s="299">
        <f>SUM('Trial Bal'!AX433:AX445)</f>
        <v>51.220243133764022</v>
      </c>
      <c r="AM108" s="299">
        <f>SUM('Trial Bal'!AY433:AY445)</f>
        <v>52.149253921923879</v>
      </c>
      <c r="AN108" s="299">
        <f>SUM('Trial Bal'!AZ433:AZ445)</f>
        <v>53.106135033728535</v>
      </c>
      <c r="AO108" s="299">
        <f>SUM('Trial Bal'!BA433:BA445)</f>
        <v>54.091722578887349</v>
      </c>
      <c r="AP108" s="299">
        <f>SUM('Trial Bal'!BB433:BB445)</f>
        <v>55.106877750400926</v>
      </c>
      <c r="AQ108" s="299">
        <f>SUM('Trial Bal'!BC433:BC445)</f>
        <v>56.152487577059908</v>
      </c>
      <c r="AR108" s="299"/>
      <c r="AS108" s="299"/>
      <c r="AT108" s="153"/>
    </row>
    <row r="109" spans="1:46">
      <c r="A109" s="422">
        <f t="shared" si="19"/>
        <v>107</v>
      </c>
      <c r="B109" s="148" t="s">
        <v>333</v>
      </c>
      <c r="C109" s="299"/>
      <c r="D109" s="299"/>
      <c r="E109" s="299">
        <v>3.81088E-3</v>
      </c>
      <c r="F109" s="530"/>
      <c r="G109" s="299">
        <f>SUM('Trial Bal'!S446:S446)</f>
        <v>0</v>
      </c>
      <c r="H109" s="299">
        <f>SUM('Trial Bal'!T446:T446)</f>
        <v>0</v>
      </c>
      <c r="I109" s="299">
        <f>SUM('Trial Bal'!U446:U446)</f>
        <v>8.5000000000000006E-5</v>
      </c>
      <c r="J109" s="299">
        <f>SUM('Trial Bal'!V446:V446)</f>
        <v>8.0000000000000004E-4</v>
      </c>
      <c r="K109" s="299">
        <f>SUM('Trial Bal'!W446:W446)</f>
        <v>0</v>
      </c>
      <c r="L109" s="299">
        <f>SUM('Trial Bal'!X446:X446)</f>
        <v>0</v>
      </c>
      <c r="M109" s="299">
        <f>SUM('Trial Bal'!Y446:Y446)</f>
        <v>0</v>
      </c>
      <c r="N109" s="299">
        <f>SUM('Trial Bal'!Z446:Z446)</f>
        <v>0</v>
      </c>
      <c r="O109" s="299">
        <f>SUM('Trial Bal'!AA446:AA446)</f>
        <v>0</v>
      </c>
      <c r="P109" s="299">
        <f>SUM('Trial Bal'!AB446:AB446)</f>
        <v>0</v>
      </c>
      <c r="Q109" s="299">
        <f>SUM('Trial Bal'!AC446:AC446)</f>
        <v>0</v>
      </c>
      <c r="R109" s="299">
        <f>SUM('Trial Bal'!AD446:AD446)</f>
        <v>0</v>
      </c>
      <c r="S109" s="530">
        <f t="shared" ref="S109:S114" si="29">SUM(G109:R109)</f>
        <v>8.8500000000000004E-4</v>
      </c>
      <c r="T109" s="299">
        <f>SUM('Trial Bal'!AF446:AF446)</f>
        <v>0</v>
      </c>
      <c r="U109" s="299">
        <f>SUM('Trial Bal'!AG446:AG446)</f>
        <v>0</v>
      </c>
      <c r="V109" s="299">
        <f>SUM('Trial Bal'!AH446:AH446)</f>
        <v>8.5000000000000006E-5</v>
      </c>
      <c r="W109" s="299">
        <f>SUM('Trial Bal'!AI446:AI446)</f>
        <v>8.0000000000000004E-4</v>
      </c>
      <c r="X109" s="299">
        <f>SUM('Trial Bal'!AJ446:AJ446)</f>
        <v>0</v>
      </c>
      <c r="Y109" s="299">
        <f>SUM('Trial Bal'!AK446:AK446)</f>
        <v>0</v>
      </c>
      <c r="Z109" s="299">
        <f>SUM('Trial Bal'!AL446:AL446)</f>
        <v>0</v>
      </c>
      <c r="AA109" s="299">
        <f>SUM('Trial Bal'!AM446:AM446)</f>
        <v>0</v>
      </c>
      <c r="AB109" s="299">
        <f>SUM('Trial Bal'!AN446:AN446)</f>
        <v>0</v>
      </c>
      <c r="AC109" s="299">
        <f>SUM('Trial Bal'!AO446:AO446)</f>
        <v>0</v>
      </c>
      <c r="AD109" s="299">
        <f>SUM('Trial Bal'!AP446:AP446)</f>
        <v>0</v>
      </c>
      <c r="AE109" s="299">
        <f>SUM('Trial Bal'!AQ446:AQ446)</f>
        <v>0</v>
      </c>
      <c r="AF109" s="530">
        <f t="shared" ref="AF109:AF114" si="30">SUM(T109:AE109)</f>
        <v>8.8500000000000004E-4</v>
      </c>
      <c r="AG109" s="299">
        <f>SUM('Trial Bal'!AS446:AS446)</f>
        <v>8.8500000000000004E-4</v>
      </c>
      <c r="AH109" s="299">
        <f>SUM('Trial Bal'!AT446:AT446)</f>
        <v>8.8500000000000004E-4</v>
      </c>
      <c r="AI109" s="299">
        <f>SUM('Trial Bal'!AU446:AU446)</f>
        <v>8.8500000000000004E-4</v>
      </c>
      <c r="AJ109" s="299">
        <f>SUM('Trial Bal'!AV446:AV446)</f>
        <v>8.8500000000000004E-4</v>
      </c>
      <c r="AK109" s="299">
        <f>SUM('Trial Bal'!AW446:AW446)</f>
        <v>8.8500000000000004E-4</v>
      </c>
      <c r="AL109" s="299">
        <f>SUM('Trial Bal'!AX446:AX446)</f>
        <v>8.8500000000000004E-4</v>
      </c>
      <c r="AM109" s="299">
        <f>SUM('Trial Bal'!AY446:AY446)</f>
        <v>8.8500000000000004E-4</v>
      </c>
      <c r="AN109" s="299">
        <f>SUM('Trial Bal'!AZ446:AZ446)</f>
        <v>8.8500000000000004E-4</v>
      </c>
      <c r="AO109" s="299">
        <f>SUM('Trial Bal'!BA446:BA446)</f>
        <v>8.8500000000000004E-4</v>
      </c>
      <c r="AP109" s="299">
        <f>SUM('Trial Bal'!BB446:BB446)</f>
        <v>8.8500000000000004E-4</v>
      </c>
      <c r="AQ109" s="299">
        <f>SUM('Trial Bal'!BC446:BC446)</f>
        <v>8.8500000000000004E-4</v>
      </c>
      <c r="AR109" s="299"/>
      <c r="AS109" s="299"/>
      <c r="AT109" s="153"/>
    </row>
    <row r="110" spans="1:46">
      <c r="A110" s="422">
        <f t="shared" si="19"/>
        <v>108</v>
      </c>
      <c r="B110" s="148" t="s">
        <v>440</v>
      </c>
      <c r="C110" s="299"/>
      <c r="D110" s="299"/>
      <c r="E110" s="299">
        <v>45.032787470000002</v>
      </c>
      <c r="F110" s="530"/>
      <c r="G110" s="299">
        <f>SUM('Trial Bal'!S457:S457)</f>
        <v>3.801779070814082</v>
      </c>
      <c r="H110" s="299">
        <f>SUM('Trial Bal'!T457:T457)</f>
        <v>3.4943951115753671</v>
      </c>
      <c r="I110" s="299">
        <f>SUM('Trial Bal'!U457:U457)</f>
        <v>3.9287821486613619</v>
      </c>
      <c r="J110" s="299">
        <f>SUM('Trial Bal'!V457:V457)</f>
        <v>3.83665864991969</v>
      </c>
      <c r="K110" s="299">
        <f>SUM('Trial Bal'!W457:W457)</f>
        <v>3.9440452341408143</v>
      </c>
      <c r="L110" s="299">
        <f>SUM('Trial Bal'!X457:X457)</f>
        <v>3.8024176742278777</v>
      </c>
      <c r="M110" s="299">
        <f>SUM('Trial Bal'!Y457:Y457)</f>
        <v>3.9362067521730828</v>
      </c>
      <c r="N110" s="299">
        <f>SUM('Trial Bal'!Z457:Z457)</f>
        <v>3.9362085321730831</v>
      </c>
      <c r="O110" s="299">
        <f>SUM('Trial Bal'!AA457:AA457)</f>
        <v>3.8212760943723696</v>
      </c>
      <c r="P110" s="299">
        <f>SUM('Trial Bal'!AB457:AB457)</f>
        <v>3.9734602275230535</v>
      </c>
      <c r="Q110" s="299">
        <f>SUM('Trial Bal'!AC457:AC457)</f>
        <v>3.8654261019066158</v>
      </c>
      <c r="R110" s="299">
        <f>SUM('Trial Bal'!AD457:AD457)</f>
        <v>3.9650209604738875</v>
      </c>
      <c r="S110" s="530">
        <f t="shared" si="29"/>
        <v>46.305676557961284</v>
      </c>
      <c r="T110" s="299">
        <f>SUM('Trial Bal'!AF457:AF457)</f>
        <v>3.9097754603369017</v>
      </c>
      <c r="U110" s="299">
        <f>SUM('Trial Bal'!AG457:AG457)</f>
        <v>3.6642238723916956</v>
      </c>
      <c r="V110" s="299">
        <f>SUM('Trial Bal'!AH457:AH457)</f>
        <v>3.9823145892786194</v>
      </c>
      <c r="W110" s="299">
        <f>SUM('Trial Bal'!AI457:AI457)</f>
        <v>3.8982678284567012</v>
      </c>
      <c r="X110" s="299">
        <f>SUM('Trial Bal'!AJ457:AJ457)</f>
        <v>4.0079655861279342</v>
      </c>
      <c r="Y110" s="299">
        <f>SUM('Trial Bal'!AK457:AK457)</f>
        <v>3.8807800374799095</v>
      </c>
      <c r="Z110" s="299">
        <f>SUM('Trial Bal'!AL457:AL457)</f>
        <v>4.0073893833703202</v>
      </c>
      <c r="AA110" s="299">
        <f>SUM('Trial Bal'!AM457:AM457)</f>
        <v>4.0073912733703203</v>
      </c>
      <c r="AB110" s="299">
        <f>SUM('Trial Bal'!AN457:AN457)</f>
        <v>3.8897148599820222</v>
      </c>
      <c r="AC110" s="299">
        <f>SUM('Trial Bal'!AO457:AO457)</f>
        <v>4.0110692558724326</v>
      </c>
      <c r="AD110" s="299">
        <f>SUM('Trial Bal'!AP457:AP457)</f>
        <v>3.9016498424477755</v>
      </c>
      <c r="AE110" s="299">
        <f>SUM('Trial Bal'!AQ457:AQ457)</f>
        <v>4.0023426518211815</v>
      </c>
      <c r="AF110" s="530">
        <f t="shared" si="30"/>
        <v>47.162884640935815</v>
      </c>
      <c r="AG110" s="299">
        <f>SUM('Trial Bal'!AS457:AS457)</f>
        <v>47.086316568922427</v>
      </c>
      <c r="AH110" s="299">
        <f>SUM('Trial Bal'!AT457:AT457)</f>
        <v>46.728476173825342</v>
      </c>
      <c r="AI110" s="299">
        <f>SUM('Trial Bal'!AU457:AU457)</f>
        <v>46.187527526229218</v>
      </c>
      <c r="AJ110" s="299">
        <f>SUM('Trial Bal'!AV457:AV457)</f>
        <v>45.672031402321018</v>
      </c>
      <c r="AK110" s="299">
        <f>SUM('Trial Bal'!AW457:AW457)</f>
        <v>45.079611382012061</v>
      </c>
      <c r="AL110" s="299">
        <f>SUM('Trial Bal'!AX457:AX457)</f>
        <v>42.852504259480142</v>
      </c>
      <c r="AM110" s="299">
        <f>SUM('Trial Bal'!AY457:AY457)</f>
        <v>40.200945414741241</v>
      </c>
      <c r="AN110" s="299">
        <f>SUM('Trial Bal'!AZ457:AZ457)</f>
        <v>38.506243554889551</v>
      </c>
      <c r="AO110" s="299">
        <f>SUM('Trial Bal'!BA457:BA457)</f>
        <v>37.78500426261197</v>
      </c>
      <c r="AP110" s="299">
        <f>SUM('Trial Bal'!BB457:BB457)</f>
        <v>49.247819955978557</v>
      </c>
      <c r="AQ110" s="299">
        <f>SUM('Trial Bal'!BC457:BC457)</f>
        <v>47.555071233125901</v>
      </c>
      <c r="AR110" s="299"/>
      <c r="AS110" s="299"/>
      <c r="AT110" s="153"/>
    </row>
    <row r="111" spans="1:46">
      <c r="A111" s="422">
        <f t="shared" si="19"/>
        <v>109</v>
      </c>
      <c r="B111" s="148" t="s">
        <v>441</v>
      </c>
      <c r="C111" s="299"/>
      <c r="D111" s="299"/>
      <c r="E111" s="299">
        <v>-0.76667700000000005</v>
      </c>
      <c r="F111" s="530"/>
      <c r="G111" s="299">
        <f>SUM('Trial Bal'!S458:S458)</f>
        <v>-2.2880000000000001E-3</v>
      </c>
      <c r="H111" s="299">
        <f>SUM('Trial Bal'!T458:T458)</f>
        <v>-6.149E-3</v>
      </c>
      <c r="I111" s="299">
        <f>SUM('Trial Bal'!U458:U458)</f>
        <v>-2.2452E-2</v>
      </c>
      <c r="J111" s="299">
        <f>SUM('Trial Bal'!V458:V458)</f>
        <v>-4.6127000000000001E-2</v>
      </c>
      <c r="K111" s="299">
        <f>SUM('Trial Bal'!W458:W458)</f>
        <v>-3.9792000000000001E-2</v>
      </c>
      <c r="L111" s="299">
        <f>SUM('Trial Bal'!X458:X458)</f>
        <v>-6.0372000000000002E-2</v>
      </c>
      <c r="M111" s="299">
        <f>SUM('Trial Bal'!Y458:Y458)</f>
        <v>-7.9520999999999994E-2</v>
      </c>
      <c r="N111" s="299">
        <f>SUM('Trial Bal'!Z458:Z458)</f>
        <v>-4.0534000000000001E-2</v>
      </c>
      <c r="O111" s="299">
        <f>SUM('Trial Bal'!AA458:AA458)</f>
        <v>-6.0048999999999998E-2</v>
      </c>
      <c r="P111" s="299">
        <f>SUM('Trial Bal'!AB458:AB458)</f>
        <v>-0.103341</v>
      </c>
      <c r="Q111" s="299">
        <f>SUM('Trial Bal'!AC458:AC458)</f>
        <v>-0.135347</v>
      </c>
      <c r="R111" s="299">
        <f>SUM('Trial Bal'!AD458:AD458)</f>
        <v>-0.17677200000000001</v>
      </c>
      <c r="S111" s="530">
        <f>SUM(G111:R111)</f>
        <v>-0.7727440000000001</v>
      </c>
      <c r="T111" s="299">
        <f>SUM('Trial Bal'!AF458:AF458)</f>
        <v>-0.167106</v>
      </c>
      <c r="U111" s="299">
        <f>SUM('Trial Bal'!AG458:AG458)</f>
        <v>-0.19242100000000001</v>
      </c>
      <c r="V111" s="299">
        <f>SUM('Trial Bal'!AH458:AH458)</f>
        <v>-0.22428799999999999</v>
      </c>
      <c r="W111" s="299">
        <f>SUM('Trial Bal'!AI458:AI458)</f>
        <v>-0.28519099999999997</v>
      </c>
      <c r="X111" s="299">
        <f>SUM('Trial Bal'!AJ458:AJ458)</f>
        <v>-0.34490500000000002</v>
      </c>
      <c r="Y111" s="299">
        <f>SUM('Trial Bal'!AK458:AK458)</f>
        <v>-0.38440999999999997</v>
      </c>
      <c r="Z111" s="299">
        <f>SUM('Trial Bal'!AL458:AL458)</f>
        <v>-0.39462599999999998</v>
      </c>
      <c r="AA111" s="299">
        <f>SUM('Trial Bal'!AM458:AM458)</f>
        <v>-1.1945000000000001E-2</v>
      </c>
      <c r="AB111" s="299">
        <f>SUM('Trial Bal'!AN458:AN458)</f>
        <v>-2.4031E-2</v>
      </c>
      <c r="AC111" s="299">
        <f>SUM('Trial Bal'!AO458:AO458)</f>
        <v>-3.7665999999999998E-2</v>
      </c>
      <c r="AD111" s="299">
        <f>SUM('Trial Bal'!AP458:AP458)</f>
        <v>-1.8280000000000001E-2</v>
      </c>
      <c r="AE111" s="299">
        <f>SUM('Trial Bal'!AQ458:AQ458)</f>
        <v>-1.8363999999999998E-2</v>
      </c>
      <c r="AF111" s="530">
        <f t="shared" si="30"/>
        <v>-2.1032329999999999</v>
      </c>
      <c r="AG111" s="299">
        <f>SUM('Trial Bal'!AS458:AS458)</f>
        <v>-0.49871399999999999</v>
      </c>
      <c r="AH111" s="299">
        <f>SUM('Trial Bal'!AT458:AT458)</f>
        <v>-0.36825999999999998</v>
      </c>
      <c r="AI111" s="299">
        <f>SUM('Trial Bal'!AU458:AU458)</f>
        <v>-0.37511157613749996</v>
      </c>
      <c r="AJ111" s="299">
        <f>SUM('Trial Bal'!AV458:AV458)</f>
        <v>-0.38636492342162509</v>
      </c>
      <c r="AK111" s="299">
        <f>SUM('Trial Bal'!AW458:AW458)</f>
        <v>-0.5039223692651057</v>
      </c>
      <c r="AL111" s="299">
        <f>SUM('Trial Bal'!AX458:AX458)</f>
        <v>-0.51904004034305895</v>
      </c>
      <c r="AM111" s="299">
        <f>SUM('Trial Bal'!AY458:AY458)</f>
        <v>-0.5346112415533506</v>
      </c>
      <c r="AN111" s="299">
        <f>SUM('Trial Bal'!AZ458:AZ458)</f>
        <v>-0.55064957879995124</v>
      </c>
      <c r="AO111" s="299">
        <f>SUM('Trial Bal'!BA458:BA458)</f>
        <v>-0.56716906616394969</v>
      </c>
      <c r="AP111" s="299">
        <f>SUM('Trial Bal'!BB458:BB458)</f>
        <v>-0.58418413814886827</v>
      </c>
      <c r="AQ111" s="299">
        <f>SUM('Trial Bal'!BC458:BC458)</f>
        <v>-0.60170966229333434</v>
      </c>
      <c r="AR111" s="299"/>
      <c r="AS111" s="299"/>
      <c r="AT111" s="153"/>
    </row>
    <row r="112" spans="1:46">
      <c r="A112" s="422">
        <f t="shared" si="19"/>
        <v>110</v>
      </c>
      <c r="B112" s="148" t="s">
        <v>443</v>
      </c>
      <c r="C112" s="299"/>
      <c r="D112" s="299"/>
      <c r="E112" s="299">
        <v>0.14749902000000001</v>
      </c>
      <c r="F112" s="530"/>
      <c r="G112" s="299">
        <f>SUM('Trial Bal'!S460:S461)</f>
        <v>0</v>
      </c>
      <c r="H112" s="299">
        <f>SUM('Trial Bal'!T460:T461)</f>
        <v>0</v>
      </c>
      <c r="I112" s="299">
        <f>SUM('Trial Bal'!U460:U461)</f>
        <v>0</v>
      </c>
      <c r="J112" s="299">
        <f>SUM('Trial Bal'!V460:V461)</f>
        <v>0</v>
      </c>
      <c r="K112" s="299">
        <f>SUM('Trial Bal'!W460:W461)</f>
        <v>0</v>
      </c>
      <c r="L112" s="299">
        <f>SUM('Trial Bal'!X460:X461)</f>
        <v>0</v>
      </c>
      <c r="M112" s="299">
        <f>SUM('Trial Bal'!Y460:Y461)</f>
        <v>0</v>
      </c>
      <c r="N112" s="299">
        <f>SUM('Trial Bal'!Z460:Z461)</f>
        <v>0</v>
      </c>
      <c r="O112" s="299">
        <f>SUM('Trial Bal'!AA460:AA461)</f>
        <v>0</v>
      </c>
      <c r="P112" s="299">
        <f>SUM('Trial Bal'!AB460:AB461)</f>
        <v>0</v>
      </c>
      <c r="Q112" s="299">
        <f>SUM('Trial Bal'!AC460:AC461)</f>
        <v>0</v>
      </c>
      <c r="R112" s="299">
        <f>SUM('Trial Bal'!AD460:AD461)</f>
        <v>0</v>
      </c>
      <c r="S112" s="530">
        <f>SUM(G112:R112)</f>
        <v>0</v>
      </c>
      <c r="T112" s="299">
        <f>SUM('Trial Bal'!AF460:AF461)</f>
        <v>0</v>
      </c>
      <c r="U112" s="299">
        <f>SUM('Trial Bal'!AG460:AG461)</f>
        <v>0</v>
      </c>
      <c r="V112" s="299">
        <f>SUM('Trial Bal'!AH460:AH461)</f>
        <v>0</v>
      </c>
      <c r="W112" s="299">
        <f>SUM('Trial Bal'!AI460:AI461)</f>
        <v>0</v>
      </c>
      <c r="X112" s="299">
        <f>SUM('Trial Bal'!AJ460:AJ461)</f>
        <v>0</v>
      </c>
      <c r="Y112" s="299">
        <f>SUM('Trial Bal'!AK460:AK461)</f>
        <v>0</v>
      </c>
      <c r="Z112" s="299">
        <f>SUM('Trial Bal'!AL460:AL461)</f>
        <v>0</v>
      </c>
      <c r="AA112" s="299">
        <f>SUM('Trial Bal'!AM460:AM461)</f>
        <v>0</v>
      </c>
      <c r="AB112" s="299">
        <f>SUM('Trial Bal'!AN460:AN461)</f>
        <v>0</v>
      </c>
      <c r="AC112" s="299">
        <f>SUM('Trial Bal'!AO460:AO461)</f>
        <v>0</v>
      </c>
      <c r="AD112" s="299">
        <f>SUM('Trial Bal'!AP460:AP461)</f>
        <v>0</v>
      </c>
      <c r="AE112" s="299">
        <f>SUM('Trial Bal'!AQ460:AQ461)</f>
        <v>0</v>
      </c>
      <c r="AF112" s="530">
        <f t="shared" si="30"/>
        <v>0</v>
      </c>
      <c r="AG112" s="299">
        <f>SUM('Trial Bal'!AS460:AS461)</f>
        <v>0</v>
      </c>
      <c r="AH112" s="299">
        <f>SUM('Trial Bal'!AT460:AT461)</f>
        <v>0</v>
      </c>
      <c r="AI112" s="299">
        <f>SUM('Trial Bal'!AU460:AU461)</f>
        <v>0</v>
      </c>
      <c r="AJ112" s="299">
        <f>SUM('Trial Bal'!AV460:AV461)</f>
        <v>0</v>
      </c>
      <c r="AK112" s="299">
        <f>SUM('Trial Bal'!AW460:AW461)</f>
        <v>0</v>
      </c>
      <c r="AL112" s="299">
        <f>SUM('Trial Bal'!AX460:AX461)</f>
        <v>0</v>
      </c>
      <c r="AM112" s="299">
        <f>SUM('Trial Bal'!AY460:AY461)</f>
        <v>0</v>
      </c>
      <c r="AN112" s="299">
        <f>SUM('Trial Bal'!AZ460:AZ461)</f>
        <v>0</v>
      </c>
      <c r="AO112" s="299">
        <f>SUM('Trial Bal'!BA460:BA461)</f>
        <v>0</v>
      </c>
      <c r="AP112" s="299">
        <f>SUM('Trial Bal'!BB460:BB461)</f>
        <v>0</v>
      </c>
      <c r="AQ112" s="299">
        <f>SUM('Trial Bal'!BC460:BC461)</f>
        <v>0</v>
      </c>
      <c r="AR112" s="299"/>
      <c r="AS112" s="299"/>
      <c r="AT112" s="153"/>
    </row>
    <row r="113" spans="1:46">
      <c r="A113" s="422">
        <f t="shared" si="19"/>
        <v>111</v>
      </c>
      <c r="B113" s="148" t="s">
        <v>444</v>
      </c>
      <c r="C113" s="299"/>
      <c r="D113" s="299"/>
      <c r="E113" s="299"/>
      <c r="F113" s="530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530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530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153"/>
    </row>
    <row r="114" spans="1:46">
      <c r="A114" s="422">
        <f t="shared" si="19"/>
        <v>112</v>
      </c>
      <c r="B114" s="148" t="s">
        <v>446</v>
      </c>
      <c r="C114" s="299"/>
      <c r="D114" s="299"/>
      <c r="E114" s="299">
        <v>0.54632822999999997</v>
      </c>
      <c r="F114" s="530"/>
      <c r="G114" s="299">
        <f>+'Trial Bal'!S447+'Trial Bal'!S448+SUM('Trial Bal'!S453:S456)+'Trial Bal'!S459</f>
        <v>4.6159723383658507E-2</v>
      </c>
      <c r="H114" s="299">
        <f>+'Trial Bal'!T447+'Trial Bal'!T448+SUM('Trial Bal'!T453:T456)+'Trial Bal'!T459</f>
        <v>3.8492996505670056E-2</v>
      </c>
      <c r="I114" s="299">
        <f>+'Trial Bal'!U447+'Trial Bal'!U448+SUM('Trial Bal'!U453:U456)+'Trial Bal'!U459</f>
        <v>4.7752668865139992E-2</v>
      </c>
      <c r="J114" s="299">
        <f>+'Trial Bal'!V447+'Trial Bal'!V448+SUM('Trial Bal'!V453:V456)+'Trial Bal'!V459</f>
        <v>4.5513661905810507E-2</v>
      </c>
      <c r="K114" s="299">
        <f>+'Trial Bal'!W447+'Trial Bal'!W448+SUM('Trial Bal'!W453:W456)+'Trial Bal'!W459</f>
        <v>4.4779692865139997E-2</v>
      </c>
      <c r="L114" s="299">
        <f>+'Trial Bal'!X447+'Trial Bal'!X448+SUM('Trial Bal'!X453:X456)+'Trial Bal'!X459</f>
        <v>6.3850447905810515E-2</v>
      </c>
      <c r="M114" s="299">
        <f>+'Trial Bal'!Y447+'Trial Bal'!Y448+SUM('Trial Bal'!Y453:Y456)+'Trial Bal'!Y459</f>
        <v>4.4196012865139994E-2</v>
      </c>
      <c r="N114" s="299">
        <f>+'Trial Bal'!Z447+'Trial Bal'!Z448+SUM('Trial Bal'!Z453:Z456)+'Trial Bal'!Z459</f>
        <v>4.4200512865139992E-2</v>
      </c>
      <c r="O114" s="299">
        <f>+'Trial Bal'!AA447+'Trial Bal'!AA448+SUM('Trial Bal'!AA453:AA456)+'Trial Bal'!AA459</f>
        <v>4.3428937905810511E-2</v>
      </c>
      <c r="P114" s="299">
        <f>+'Trial Bal'!AB447+'Trial Bal'!AB448+SUM('Trial Bal'!AB453:AB456)+'Trial Bal'!AB459</f>
        <v>4.6535868865139995E-2</v>
      </c>
      <c r="Q114" s="299">
        <f>+'Trial Bal'!AC447+'Trial Bal'!AC448+SUM('Trial Bal'!AC453:AC456)+'Trial Bal'!AC459</f>
        <v>4.5654193905810506E-2</v>
      </c>
      <c r="R114" s="299">
        <f>+'Trial Bal'!AD447+'Trial Bal'!AD448+SUM('Trial Bal'!AD453:AD456)+'Trial Bal'!AD459</f>
        <v>6.6354860865139989E-2</v>
      </c>
      <c r="S114" s="530">
        <f t="shared" si="29"/>
        <v>0.5769195787034106</v>
      </c>
      <c r="T114" s="299">
        <f>+'Trial Bal'!AF447+'Trial Bal'!AF448+SUM('Trial Bal'!AF453:AF456)+'Trial Bal'!AF459</f>
        <v>5.2742861665139994E-2</v>
      </c>
      <c r="U114" s="299">
        <f>+'Trial Bal'!AG447+'Trial Bal'!AG448+SUM('Trial Bal'!AG453:AG456)+'Trial Bal'!AG459</f>
        <v>4.5075126787151538E-2</v>
      </c>
      <c r="V114" s="299">
        <f>+'Trial Bal'!AH447+'Trial Bal'!AH448+SUM('Trial Bal'!AH453:AH456)+'Trial Bal'!AH459</f>
        <v>4.7853317665139991E-2</v>
      </c>
      <c r="W114" s="299">
        <f>+'Trial Bal'!AI447+'Trial Bal'!AI448+SUM('Trial Bal'!AI453:AI456)+'Trial Bal'!AI459</f>
        <v>4.5615318705810509E-2</v>
      </c>
      <c r="X114" s="299">
        <f>+'Trial Bal'!AJ447+'Trial Bal'!AJ448+SUM('Trial Bal'!AJ453:AJ456)+'Trial Bal'!AJ459</f>
        <v>4.4880593665139995E-2</v>
      </c>
      <c r="Y114" s="299">
        <f>+'Trial Bal'!AK447+'Trial Bal'!AK448+SUM('Trial Bal'!AK453:AK456)+'Trial Bal'!AK459</f>
        <v>6.4455096705810511E-2</v>
      </c>
      <c r="Z114" s="299">
        <f>+'Trial Bal'!AL447+'Trial Bal'!AL448+SUM('Trial Bal'!AL453:AL456)+'Trial Bal'!AL459</f>
        <v>4.424726966513999E-2</v>
      </c>
      <c r="AA114" s="299">
        <f>+'Trial Bal'!AM447+'Trial Bal'!AM448+SUM('Trial Bal'!AM453:AM456)+'Trial Bal'!AM459</f>
        <v>4.4250761665139991E-2</v>
      </c>
      <c r="AB114" s="299">
        <f>+'Trial Bal'!AN447+'Trial Bal'!AN448+SUM('Trial Bal'!AN453:AN456)+'Trial Bal'!AN459</f>
        <v>4.347918670581051E-2</v>
      </c>
      <c r="AC114" s="299">
        <f>+'Trial Bal'!AO447+'Trial Bal'!AO448+SUM('Trial Bal'!AO453:AO456)+'Trial Bal'!AO459</f>
        <v>4.6587125665139992E-2</v>
      </c>
      <c r="AD114" s="299">
        <f>+'Trial Bal'!AP447+'Trial Bal'!AP448+SUM('Trial Bal'!AP453:AP456)+'Trial Bal'!AP459</f>
        <v>4.5704442705810505E-2</v>
      </c>
      <c r="AE114" s="299">
        <f>+'Trial Bal'!AQ447+'Trial Bal'!AQ448+SUM('Trial Bal'!AQ453:AQ456)+'Trial Bal'!AQ459</f>
        <v>6.6405109665139989E-2</v>
      </c>
      <c r="AF114" s="530">
        <f t="shared" si="30"/>
        <v>0.59129621126637355</v>
      </c>
      <c r="AG114" s="299">
        <f>+'Trial Bal'!AS447+'Trial Bal'!AS448+SUM('Trial Bal'!AS453:AS456)+'Trial Bal'!AS459</f>
        <v>0.59433901526637356</v>
      </c>
      <c r="AH114" s="299">
        <f>+'Trial Bal'!AT447+'Trial Bal'!AT448+SUM('Trial Bal'!AT453:AT456)+'Trial Bal'!AT459</f>
        <v>0.44548749889236966</v>
      </c>
      <c r="AI114" s="299">
        <f>+'Trial Bal'!AU447+'Trial Bal'!AU448+SUM('Trial Bal'!AU453:AU456)+'Trial Bal'!AU459</f>
        <v>0.44761090435304018</v>
      </c>
      <c r="AJ114" s="299">
        <f>+'Trial Bal'!AV447+'Trial Bal'!AV448+SUM('Trial Bal'!AV453:AV456)+'Trial Bal'!AV459</f>
        <v>0.45056387564564016</v>
      </c>
      <c r="AK114" s="299">
        <f>+'Trial Bal'!AW447+'Trial Bal'!AW448+SUM('Trial Bal'!AW453:AW456)+'Trial Bal'!AW459</f>
        <v>0.4536054360770182</v>
      </c>
      <c r="AL114" s="299">
        <f>+'Trial Bal'!AX447+'Trial Bal'!AX448+SUM('Trial Bal'!AX453:AX456)+'Trial Bal'!AX459</f>
        <v>0.45748180028066698</v>
      </c>
      <c r="AM114" s="299">
        <f>+'Trial Bal'!AY447+'Trial Bal'!AY448+SUM('Trial Bal'!AY453:AY456)+'Trial Bal'!AY459</f>
        <v>0.45996503478298645</v>
      </c>
      <c r="AN114" s="299">
        <f>+'Trial Bal'!AZ447+'Trial Bal'!AZ448+SUM('Trial Bal'!AZ453:AZ456)+'Trial Bal'!AZ459</f>
        <v>0.46328862998848486</v>
      </c>
      <c r="AO114" s="299">
        <f>+'Trial Bal'!BA447+'Trial Bal'!BA448+SUM('Trial Bal'!BA453:BA456)+'Trial Bal'!BA459</f>
        <v>0.46671193305014813</v>
      </c>
      <c r="AP114" s="299">
        <f>+'Trial Bal'!BB447+'Trial Bal'!BB448+SUM('Trial Bal'!BB453:BB456)+'Trial Bal'!BB459</f>
        <v>0.76057615940799084</v>
      </c>
      <c r="AQ114" s="299">
        <f>+'Trial Bal'!BC447+'Trial Bal'!BC448+SUM('Trial Bal'!BC453:BC456)+'Trial Bal'!BC459</f>
        <v>0.76346438466678002</v>
      </c>
      <c r="AR114" s="299"/>
      <c r="AS114" s="299"/>
      <c r="AT114" s="153"/>
    </row>
    <row r="115" spans="1:46">
      <c r="A115" s="422">
        <f t="shared" si="19"/>
        <v>113</v>
      </c>
      <c r="C115" s="300"/>
      <c r="D115" s="300"/>
      <c r="E115" s="300"/>
      <c r="F115" s="531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531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531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299"/>
      <c r="AS115" s="299"/>
      <c r="AT115" s="153"/>
    </row>
    <row r="116" spans="1:46" ht="15.75">
      <c r="A116" s="422">
        <f t="shared" si="19"/>
        <v>114</v>
      </c>
      <c r="B116" s="131" t="s">
        <v>462</v>
      </c>
      <c r="C116" s="299"/>
      <c r="D116" s="299"/>
      <c r="E116" s="299">
        <f>+E100+E106+SUM(E108:E114)</f>
        <v>558.08976008000002</v>
      </c>
      <c r="F116" s="530"/>
      <c r="G116" s="299">
        <f t="shared" ref="G116:AQ116" si="31">+G100+G106+SUM(G108:G114)</f>
        <v>48.035740544490679</v>
      </c>
      <c r="H116" s="299">
        <f t="shared" si="31"/>
        <v>45.049735253451914</v>
      </c>
      <c r="I116" s="299">
        <f t="shared" si="31"/>
        <v>49.99029367457161</v>
      </c>
      <c r="J116" s="299">
        <f t="shared" si="31"/>
        <v>47.711001211814953</v>
      </c>
      <c r="K116" s="299">
        <f t="shared" si="31"/>
        <v>51.810087374057119</v>
      </c>
      <c r="L116" s="299">
        <f t="shared" si="31"/>
        <v>46.952660319551768</v>
      </c>
      <c r="M116" s="299">
        <f t="shared" si="31"/>
        <v>48.912198040771898</v>
      </c>
      <c r="N116" s="299">
        <f t="shared" si="31"/>
        <v>47.749129733751971</v>
      </c>
      <c r="O116" s="299">
        <f t="shared" si="31"/>
        <v>38.808994132243491</v>
      </c>
      <c r="P116" s="299">
        <f t="shared" si="31"/>
        <v>41.514029296113257</v>
      </c>
      <c r="Q116" s="299">
        <f t="shared" si="31"/>
        <v>38.514456708005788</v>
      </c>
      <c r="R116" s="299">
        <f t="shared" si="31"/>
        <v>38.789224549692896</v>
      </c>
      <c r="S116" s="530">
        <f t="shared" si="31"/>
        <v>543.83755083851736</v>
      </c>
      <c r="T116" s="299">
        <f t="shared" si="31"/>
        <v>40.153032164051702</v>
      </c>
      <c r="U116" s="299">
        <f t="shared" si="31"/>
        <v>37.167984378344052</v>
      </c>
      <c r="V116" s="299">
        <f t="shared" si="31"/>
        <v>41.147053544219958</v>
      </c>
      <c r="W116" s="299">
        <f t="shared" si="31"/>
        <v>41.975299259550695</v>
      </c>
      <c r="X116" s="299">
        <f t="shared" si="31"/>
        <v>41.328599894001051</v>
      </c>
      <c r="Y116" s="299">
        <f t="shared" si="31"/>
        <v>39.230245885718489</v>
      </c>
      <c r="Z116" s="299">
        <f t="shared" si="31"/>
        <v>39.531693694327338</v>
      </c>
      <c r="AA116" s="299">
        <f t="shared" si="31"/>
        <v>40.369617912147959</v>
      </c>
      <c r="AB116" s="299">
        <f t="shared" si="31"/>
        <v>39.326364286316284</v>
      </c>
      <c r="AC116" s="299">
        <f t="shared" si="31"/>
        <v>41.937268523571639</v>
      </c>
      <c r="AD116" s="299">
        <f t="shared" si="31"/>
        <v>38.922970004592386</v>
      </c>
      <c r="AE116" s="299">
        <f t="shared" si="31"/>
        <v>40.057816119216618</v>
      </c>
      <c r="AF116" s="530">
        <f t="shared" si="31"/>
        <v>481.14794566605821</v>
      </c>
      <c r="AG116" s="299">
        <f t="shared" si="31"/>
        <v>502.18977355841832</v>
      </c>
      <c r="AH116" s="299">
        <f t="shared" si="31"/>
        <v>520.61162991848846</v>
      </c>
      <c r="AI116" s="299">
        <f t="shared" si="31"/>
        <v>534.76913285659668</v>
      </c>
      <c r="AJ116" s="299">
        <f t="shared" si="31"/>
        <v>550.40865368285404</v>
      </c>
      <c r="AK116" s="299">
        <f t="shared" si="31"/>
        <v>704.94887989577421</v>
      </c>
      <c r="AL116" s="299">
        <f t="shared" si="31"/>
        <v>754.99250676062172</v>
      </c>
      <c r="AM116" s="299">
        <f t="shared" si="31"/>
        <v>764.75665746002619</v>
      </c>
      <c r="AN116" s="299">
        <f t="shared" si="31"/>
        <v>799.77069847713642</v>
      </c>
      <c r="AO116" s="299">
        <f t="shared" si="31"/>
        <v>811.22723792845022</v>
      </c>
      <c r="AP116" s="299">
        <f t="shared" si="31"/>
        <v>847.53833424367713</v>
      </c>
      <c r="AQ116" s="299">
        <f t="shared" si="31"/>
        <v>876.79280527173239</v>
      </c>
      <c r="AR116" s="299"/>
      <c r="AS116" s="299"/>
      <c r="AT116" s="153"/>
    </row>
    <row r="117" spans="1:46" ht="15.75">
      <c r="A117" s="422">
        <f t="shared" si="19"/>
        <v>115</v>
      </c>
      <c r="B117" s="131"/>
      <c r="C117" s="299"/>
      <c r="D117" s="299"/>
      <c r="E117" s="299"/>
      <c r="F117" s="530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530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530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153"/>
    </row>
    <row r="118" spans="1:46" ht="15.75">
      <c r="A118" s="422">
        <f t="shared" si="19"/>
        <v>116</v>
      </c>
      <c r="B118" s="131" t="s">
        <v>463</v>
      </c>
      <c r="C118" s="299"/>
      <c r="D118" s="299"/>
      <c r="E118" s="299">
        <f>E88-E116</f>
        <v>10.252475649999951</v>
      </c>
      <c r="F118" s="530"/>
      <c r="G118" s="299">
        <f t="shared" ref="G118:AQ118" si="32">G88-G116</f>
        <v>3.7356080377426792</v>
      </c>
      <c r="H118" s="299">
        <f t="shared" si="32"/>
        <v>1.6141807552465792</v>
      </c>
      <c r="I118" s="299">
        <f t="shared" si="32"/>
        <v>-0.95057179088114196</v>
      </c>
      <c r="J118" s="299">
        <f t="shared" si="32"/>
        <v>-3.5943264773971322</v>
      </c>
      <c r="K118" s="299">
        <f t="shared" si="32"/>
        <v>-6.0261656933354644</v>
      </c>
      <c r="L118" s="299">
        <f t="shared" si="32"/>
        <v>0.6972773377309025</v>
      </c>
      <c r="M118" s="299">
        <f t="shared" si="32"/>
        <v>2.5804832330701331</v>
      </c>
      <c r="N118" s="299">
        <f t="shared" si="32"/>
        <v>2.5668965720358869</v>
      </c>
      <c r="O118" s="299">
        <f t="shared" si="32"/>
        <v>-0.31215093163145724</v>
      </c>
      <c r="P118" s="299">
        <f t="shared" si="32"/>
        <v>-2.6645744829157607</v>
      </c>
      <c r="Q118" s="299">
        <f t="shared" si="32"/>
        <v>0.21861801031096917</v>
      </c>
      <c r="R118" s="299">
        <f t="shared" si="32"/>
        <v>3.8007739961335645</v>
      </c>
      <c r="S118" s="530">
        <f t="shared" si="32"/>
        <v>1.66604856610968</v>
      </c>
      <c r="T118" s="299">
        <f t="shared" si="32"/>
        <v>4.9883759916573567</v>
      </c>
      <c r="U118" s="299">
        <f t="shared" si="32"/>
        <v>3.3821058359996101</v>
      </c>
      <c r="V118" s="299">
        <f t="shared" si="32"/>
        <v>-2.2288249856523308</v>
      </c>
      <c r="W118" s="299">
        <f t="shared" si="32"/>
        <v>-6.8149764667424222</v>
      </c>
      <c r="X118" s="299">
        <f t="shared" si="32"/>
        <v>-4.3831378357846447</v>
      </c>
      <c r="Y118" s="299">
        <f t="shared" si="32"/>
        <v>1.7478799353086316</v>
      </c>
      <c r="Z118" s="299">
        <f t="shared" si="32"/>
        <v>3.5629627643880184</v>
      </c>
      <c r="AA118" s="299">
        <f t="shared" si="32"/>
        <v>3.4447209875385099</v>
      </c>
      <c r="AB118" s="299">
        <f t="shared" si="32"/>
        <v>0.42478847293161692</v>
      </c>
      <c r="AC118" s="299">
        <f t="shared" si="32"/>
        <v>-1.9385231626962138</v>
      </c>
      <c r="AD118" s="299">
        <f t="shared" si="32"/>
        <v>0.9294801571713549</v>
      </c>
      <c r="AE118" s="299">
        <f t="shared" si="32"/>
        <v>3.653510723109676</v>
      </c>
      <c r="AF118" s="530">
        <f t="shared" si="32"/>
        <v>6.7683624172291275</v>
      </c>
      <c r="AG118" s="299">
        <f t="shared" si="32"/>
        <v>6.9042845130308592</v>
      </c>
      <c r="AH118" s="299">
        <f t="shared" si="32"/>
        <v>4.1418941489068857</v>
      </c>
      <c r="AI118" s="299">
        <f t="shared" si="32"/>
        <v>2.3436501275473347</v>
      </c>
      <c r="AJ118" s="299">
        <f t="shared" si="32"/>
        <v>3.118981399845552</v>
      </c>
      <c r="AK118" s="299">
        <f t="shared" si="32"/>
        <v>7.0504481478382104</v>
      </c>
      <c r="AL118" s="299">
        <f t="shared" si="32"/>
        <v>6.7123036441743125</v>
      </c>
      <c r="AM118" s="299">
        <f t="shared" si="32"/>
        <v>6.2955615136236247</v>
      </c>
      <c r="AN118" s="299">
        <f t="shared" si="32"/>
        <v>6.125235627560869</v>
      </c>
      <c r="AO118" s="299">
        <f t="shared" si="32"/>
        <v>6.1808062552156571</v>
      </c>
      <c r="AP118" s="299">
        <f t="shared" si="32"/>
        <v>8.9926755708861492</v>
      </c>
      <c r="AQ118" s="299">
        <f t="shared" si="32"/>
        <v>8.8663740160110365</v>
      </c>
      <c r="AR118" s="299"/>
      <c r="AS118" s="299"/>
      <c r="AT118" s="153"/>
    </row>
    <row r="119" spans="1:46" ht="15.75">
      <c r="A119" s="422">
        <f t="shared" si="19"/>
        <v>117</v>
      </c>
      <c r="B119" s="131"/>
      <c r="C119" s="299"/>
      <c r="D119" s="299"/>
      <c r="E119" s="299"/>
      <c r="F119" s="530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299"/>
      <c r="S119" s="530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530"/>
      <c r="AG119" s="299"/>
      <c r="AH119" s="299"/>
      <c r="AI119" s="299"/>
      <c r="AJ119" s="299"/>
      <c r="AK119" s="299"/>
      <c r="AL119" s="299"/>
      <c r="AM119" s="299"/>
      <c r="AN119" s="299"/>
      <c r="AO119" s="299"/>
      <c r="AP119" s="299"/>
      <c r="AQ119" s="299"/>
      <c r="AR119" s="299"/>
      <c r="AS119" s="299"/>
      <c r="AT119" s="153"/>
    </row>
    <row r="120" spans="1:46">
      <c r="A120" s="422">
        <f t="shared" si="19"/>
        <v>118</v>
      </c>
      <c r="B120" s="148" t="s">
        <v>129</v>
      </c>
      <c r="C120" s="149"/>
      <c r="D120" s="149"/>
      <c r="E120" s="149">
        <v>0.96313031999999998</v>
      </c>
      <c r="F120" s="530"/>
      <c r="G120" s="149">
        <f>-SUM('Trial Bal'!S449:S449)</f>
        <v>0.17073353166899355</v>
      </c>
      <c r="H120" s="149">
        <f>-SUM('Trial Bal'!T449:T449)</f>
        <v>0.17009169511140093</v>
      </c>
      <c r="I120" s="149">
        <f>-SUM('Trial Bal'!U449:U449)</f>
        <v>0.16977814021572091</v>
      </c>
      <c r="J120" s="149">
        <f>-SUM('Trial Bal'!V449:V449)</f>
        <v>0.16947336528656909</v>
      </c>
      <c r="K120" s="149">
        <f>-SUM('Trial Bal'!W449:W449)</f>
        <v>0.16879698315529648</v>
      </c>
      <c r="L120" s="149">
        <f>-SUM('Trial Bal'!X449:X449)</f>
        <v>0.16792666529029654</v>
      </c>
      <c r="M120" s="149">
        <f>-SUM('Trial Bal'!Y449:Y449)</f>
        <v>0.16806924121043876</v>
      </c>
      <c r="N120" s="149">
        <f>-SUM('Trial Bal'!Z449:Z449)</f>
        <v>0.16779094943149278</v>
      </c>
      <c r="O120" s="149">
        <f>-SUM('Trial Bal'!AA449:AA449)</f>
        <v>0.16794803245991258</v>
      </c>
      <c r="P120" s="149">
        <f>-SUM('Trial Bal'!AB449:AB449)</f>
        <v>0.16753659061636295</v>
      </c>
      <c r="Q120" s="149">
        <f>-SUM('Trial Bal'!AC449:AC449)</f>
        <v>0.16636562886447287</v>
      </c>
      <c r="R120" s="149">
        <f>-SUM('Trial Bal'!AD449:AD449)</f>
        <v>0.16445705037247971</v>
      </c>
      <c r="S120" s="524">
        <f>SUM(G120:R120)</f>
        <v>2.0189678736834371</v>
      </c>
      <c r="T120" s="149">
        <f>-SUM('Trial Bal'!AF449:AF449)</f>
        <v>0.16584148914560665</v>
      </c>
      <c r="U120" s="149">
        <f>-SUM('Trial Bal'!AG449:AG449)</f>
        <v>0.16511526944357627</v>
      </c>
      <c r="V120" s="149">
        <f>-SUM('Trial Bal'!AH449:AH449)</f>
        <v>0.16595804788047308</v>
      </c>
      <c r="W120" s="149">
        <f>-SUM('Trial Bal'!AI449:AI449)</f>
        <v>0.16448790320242462</v>
      </c>
      <c r="X120" s="149">
        <f>-SUM('Trial Bal'!AJ449:AJ449)</f>
        <v>0.16310366962968792</v>
      </c>
      <c r="Y120" s="149">
        <f>-SUM('Trial Bal'!AK449:AK449)</f>
        <v>0.16092508332300048</v>
      </c>
      <c r="Z120" s="149">
        <f>-SUM('Trial Bal'!AL449:AL449)</f>
        <v>0.16155922303300657</v>
      </c>
      <c r="AA120" s="149">
        <f>-SUM('Trial Bal'!AM449:AM449)</f>
        <v>0.16152578419709135</v>
      </c>
      <c r="AB120" s="149">
        <f>-SUM('Trial Bal'!AN449:AN449)</f>
        <v>0.1603252534848548</v>
      </c>
      <c r="AC120" s="149">
        <f>-SUM('Trial Bal'!AO449:AO449)</f>
        <v>0.16089467170513985</v>
      </c>
      <c r="AD120" s="149">
        <f>-SUM('Trial Bal'!AP449:AP449)</f>
        <v>0.1606482265119179</v>
      </c>
      <c r="AE120" s="149">
        <f>-SUM('Trial Bal'!AQ449:AQ449)</f>
        <v>0.15938429104598745</v>
      </c>
      <c r="AF120" s="524">
        <f>SUM(T120:AE120)</f>
        <v>1.9497689126027669</v>
      </c>
      <c r="AG120" s="149">
        <f>-SUM('Trial Bal'!AS449:AS449)</f>
        <v>1.8777426026243624</v>
      </c>
      <c r="AH120" s="149">
        <f>-SUM('Trial Bal'!AT449:AT449)</f>
        <v>1.8170941780643934</v>
      </c>
      <c r="AI120" s="149">
        <f>-SUM('Trial Bal'!AU449:AU449)</f>
        <v>1.7597520542275795</v>
      </c>
      <c r="AJ120" s="149">
        <f>-SUM('Trial Bal'!AV449:AV449)</f>
        <v>1.6931378141532183</v>
      </c>
      <c r="AK120" s="149">
        <f>-SUM('Trial Bal'!AW449:AW449)</f>
        <v>1.6224381246517554</v>
      </c>
      <c r="AL120" s="149">
        <f>-SUM('Trial Bal'!AX449:AX449)</f>
        <v>1.5332517745948551</v>
      </c>
      <c r="AM120" s="149">
        <f>-SUM('Trial Bal'!AY449:AY449)</f>
        <v>1.4275314885653088</v>
      </c>
      <c r="AN120" s="149">
        <f>-SUM('Trial Bal'!AZ449:AZ449)</f>
        <v>1.3116743086316032</v>
      </c>
      <c r="AO120" s="149">
        <f>-SUM('Trial Bal'!BA449:BA449)</f>
        <v>1.2108962867926953</v>
      </c>
      <c r="AP120" s="149">
        <f>-SUM('Trial Bal'!BB449:BB449)</f>
        <v>1.2855074427264881</v>
      </c>
      <c r="AQ120" s="149">
        <f>-SUM('Trial Bal'!BC449:BC449)</f>
        <v>1.1480391437867417</v>
      </c>
      <c r="AR120" s="149"/>
      <c r="AS120" s="149"/>
      <c r="AT120" s="153"/>
    </row>
    <row r="121" spans="1:46">
      <c r="A121" s="422">
        <f t="shared" si="19"/>
        <v>119</v>
      </c>
      <c r="B121" s="148" t="s">
        <v>447</v>
      </c>
      <c r="C121" s="299"/>
      <c r="D121" s="299"/>
      <c r="E121" s="299"/>
      <c r="F121" s="530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530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530"/>
      <c r="AG121" s="299"/>
      <c r="AH121" s="299"/>
      <c r="AI121" s="299"/>
      <c r="AJ121" s="299"/>
      <c r="AK121" s="299"/>
      <c r="AL121" s="299"/>
      <c r="AM121" s="299"/>
      <c r="AN121" s="299"/>
      <c r="AO121" s="299"/>
      <c r="AP121" s="299"/>
      <c r="AQ121" s="299"/>
      <c r="AR121" s="299"/>
      <c r="AS121" s="299"/>
      <c r="AT121" s="153"/>
    </row>
    <row r="122" spans="1:46">
      <c r="A122" s="422">
        <f t="shared" si="19"/>
        <v>120</v>
      </c>
      <c r="B122" s="148" t="s">
        <v>453</v>
      </c>
      <c r="C122" s="299"/>
      <c r="D122" s="299"/>
      <c r="E122" s="299"/>
      <c r="F122" s="530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532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532"/>
      <c r="AG122" s="299"/>
      <c r="AH122" s="299"/>
      <c r="AI122" s="299"/>
      <c r="AJ122" s="299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153"/>
    </row>
    <row r="123" spans="1:46">
      <c r="A123" s="422">
        <f t="shared" si="19"/>
        <v>121</v>
      </c>
      <c r="B123" s="148" t="s">
        <v>454</v>
      </c>
      <c r="C123" s="299"/>
      <c r="D123" s="299"/>
      <c r="E123" s="299"/>
      <c r="F123" s="530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530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530"/>
      <c r="AG123" s="299"/>
      <c r="AH123" s="299"/>
      <c r="AI123" s="299"/>
      <c r="AJ123" s="299"/>
      <c r="AK123" s="299"/>
      <c r="AL123" s="299"/>
      <c r="AM123" s="299"/>
      <c r="AN123" s="299"/>
      <c r="AO123" s="299"/>
      <c r="AP123" s="299"/>
      <c r="AQ123" s="299"/>
      <c r="AR123" s="299"/>
      <c r="AS123" s="299"/>
      <c r="AT123" s="153"/>
    </row>
    <row r="124" spans="1:46">
      <c r="A124" s="422">
        <f t="shared" si="19"/>
        <v>122</v>
      </c>
      <c r="B124" s="148" t="s">
        <v>455</v>
      </c>
      <c r="C124" s="299"/>
      <c r="D124" s="299"/>
      <c r="E124" s="299"/>
      <c r="F124" s="530"/>
      <c r="G124" s="299"/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530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530"/>
      <c r="AG124" s="299"/>
      <c r="AH124" s="299"/>
      <c r="AI124" s="299"/>
      <c r="AJ124" s="299"/>
      <c r="AK124" s="299"/>
      <c r="AL124" s="299"/>
      <c r="AM124" s="299"/>
      <c r="AN124" s="299"/>
      <c r="AO124" s="299"/>
      <c r="AP124" s="299"/>
      <c r="AQ124" s="299"/>
      <c r="AR124" s="299"/>
      <c r="AS124" s="299"/>
      <c r="AT124" s="153"/>
    </row>
    <row r="125" spans="1:46">
      <c r="A125" s="422">
        <f t="shared" si="19"/>
        <v>123</v>
      </c>
      <c r="B125" s="148" t="s">
        <v>456</v>
      </c>
      <c r="C125" s="299"/>
      <c r="D125" s="299"/>
      <c r="E125" s="299">
        <v>6.148501E-2</v>
      </c>
      <c r="F125" s="530"/>
      <c r="G125" s="299">
        <f>-'Trial Bal'!S451</f>
        <v>0</v>
      </c>
      <c r="H125" s="299">
        <f>-'Trial Bal'!T451</f>
        <v>0</v>
      </c>
      <c r="I125" s="299">
        <f>-'Trial Bal'!U451</f>
        <v>1.23832464783125</v>
      </c>
      <c r="J125" s="299">
        <f>-'Trial Bal'!V451</f>
        <v>2.5000000000000001E-2</v>
      </c>
      <c r="K125" s="299">
        <f>-'Trial Bal'!W451</f>
        <v>0</v>
      </c>
      <c r="L125" s="299">
        <f>-'Trial Bal'!X451</f>
        <v>0</v>
      </c>
      <c r="M125" s="299">
        <f>-'Trial Bal'!Y451</f>
        <v>0</v>
      </c>
      <c r="N125" s="299">
        <f>-'Trial Bal'!Z451</f>
        <v>8.0000000000000002E-3</v>
      </c>
      <c r="O125" s="299">
        <f>-'Trial Bal'!AA451</f>
        <v>0</v>
      </c>
      <c r="P125" s="299">
        <f>-'Trial Bal'!AB451</f>
        <v>0</v>
      </c>
      <c r="Q125" s="299">
        <f>-'Trial Bal'!AC451</f>
        <v>0</v>
      </c>
      <c r="R125" s="299">
        <f>-'Trial Bal'!AD451</f>
        <v>0</v>
      </c>
      <c r="S125" s="530">
        <f>SUM(G125:R125)</f>
        <v>1.2713246478312499</v>
      </c>
      <c r="T125" s="299">
        <f>-'Trial Bal'!AF451</f>
        <v>0</v>
      </c>
      <c r="U125" s="299">
        <f>-'Trial Bal'!AG451</f>
        <v>0</v>
      </c>
      <c r="V125" s="299">
        <f>-'Trial Bal'!AH451</f>
        <v>2.7064475505600001</v>
      </c>
      <c r="W125" s="299">
        <f>-'Trial Bal'!AI451</f>
        <v>0</v>
      </c>
      <c r="X125" s="299">
        <f>-'Trial Bal'!AJ451</f>
        <v>0</v>
      </c>
      <c r="Y125" s="299">
        <f>-'Trial Bal'!AK451</f>
        <v>0</v>
      </c>
      <c r="Z125" s="299">
        <f>-'Trial Bal'!AL451</f>
        <v>0</v>
      </c>
      <c r="AA125" s="299">
        <f>-'Trial Bal'!AM451</f>
        <v>0</v>
      </c>
      <c r="AB125" s="299">
        <f>-'Trial Bal'!AN451</f>
        <v>0</v>
      </c>
      <c r="AC125" s="299">
        <f>-'Trial Bal'!AO451</f>
        <v>0</v>
      </c>
      <c r="AD125" s="299">
        <f>-'Trial Bal'!AP451</f>
        <v>0</v>
      </c>
      <c r="AE125" s="299">
        <f>-'Trial Bal'!AQ451</f>
        <v>0</v>
      </c>
      <c r="AF125" s="530">
        <f>SUM(T125:AE125)</f>
        <v>2.7064475505600001</v>
      </c>
      <c r="AG125" s="299">
        <f>-'Trial Bal'!AS451</f>
        <v>2.6243469322674997</v>
      </c>
      <c r="AH125" s="299">
        <f>-'Trial Bal'!AT451</f>
        <v>2.538535059075</v>
      </c>
      <c r="AI125" s="299">
        <f>-'Trial Bal'!AU451</f>
        <v>2.4486009990137503</v>
      </c>
      <c r="AJ125" s="299">
        <f>-'Trial Bal'!AV451</f>
        <v>2.3536433920412501</v>
      </c>
      <c r="AK125" s="299">
        <f>-'Trial Bal'!AW451</f>
        <v>2.2531521443862501</v>
      </c>
      <c r="AL125" s="299">
        <f>-'Trial Bal'!AX451</f>
        <v>2.1462980837550001</v>
      </c>
      <c r="AM125" s="299">
        <f>-'Trial Bal'!AY451</f>
        <v>2.0327081350387504</v>
      </c>
      <c r="AN125" s="299">
        <f>-'Trial Bal'!AZ451</f>
        <v>1.9124854773837496</v>
      </c>
      <c r="AO125" s="299">
        <f>-'Trial Bal'!BA451</f>
        <v>1.7849191323025004</v>
      </c>
      <c r="AP125" s="299">
        <f>-'Trial Bal'!BB451</f>
        <v>1.6498390890600008</v>
      </c>
      <c r="AQ125" s="299">
        <f>-'Trial Bal'!BC451</f>
        <v>1.5076748853300002</v>
      </c>
      <c r="AR125" s="299"/>
      <c r="AS125" s="299"/>
      <c r="AT125" s="153"/>
    </row>
    <row r="126" spans="1:46">
      <c r="A126" s="422">
        <f t="shared" si="19"/>
        <v>124</v>
      </c>
      <c r="B126" s="148" t="s">
        <v>370</v>
      </c>
      <c r="C126" s="300"/>
      <c r="D126" s="300"/>
      <c r="E126" s="300"/>
      <c r="F126" s="530"/>
      <c r="G126" s="300"/>
      <c r="H126" s="300"/>
      <c r="I126" s="300"/>
      <c r="J126" s="300"/>
      <c r="K126" s="300"/>
      <c r="L126" s="300"/>
      <c r="M126" s="300"/>
      <c r="N126" s="300"/>
      <c r="O126" s="300"/>
      <c r="P126" s="300"/>
      <c r="Q126" s="300"/>
      <c r="R126" s="300"/>
      <c r="S126" s="531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531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299"/>
      <c r="AS126" s="299"/>
      <c r="AT126" s="153"/>
    </row>
    <row r="127" spans="1:46" ht="16.5" thickBot="1">
      <c r="A127" s="422">
        <f t="shared" si="19"/>
        <v>125</v>
      </c>
      <c r="B127" s="131" t="s">
        <v>464</v>
      </c>
      <c r="C127" s="301"/>
      <c r="D127" s="301"/>
      <c r="E127" s="301">
        <f>E118+SUM(E120:E126)</f>
        <v>11.277090979999951</v>
      </c>
      <c r="F127" s="533"/>
      <c r="G127" s="301">
        <f t="shared" ref="G127:T127" si="33">G118+SUM(G120:G126)</f>
        <v>3.9063415694116728</v>
      </c>
      <c r="H127" s="301">
        <f t="shared" si="33"/>
        <v>1.7842724503579801</v>
      </c>
      <c r="I127" s="301">
        <f t="shared" si="33"/>
        <v>0.45753099716582879</v>
      </c>
      <c r="J127" s="301">
        <f t="shared" si="33"/>
        <v>-3.3998531121105633</v>
      </c>
      <c r="K127" s="301">
        <f t="shared" si="33"/>
        <v>-5.8573687101801681</v>
      </c>
      <c r="L127" s="301">
        <f t="shared" si="33"/>
        <v>0.86520400302119904</v>
      </c>
      <c r="M127" s="301">
        <f t="shared" si="33"/>
        <v>2.7485524742805718</v>
      </c>
      <c r="N127" s="301">
        <f t="shared" si="33"/>
        <v>2.7426875214673796</v>
      </c>
      <c r="O127" s="301">
        <f t="shared" si="33"/>
        <v>-0.14420289917154466</v>
      </c>
      <c r="P127" s="301">
        <f t="shared" si="33"/>
        <v>-2.4970378922993977</v>
      </c>
      <c r="Q127" s="301">
        <f t="shared" si="33"/>
        <v>0.38498363917544204</v>
      </c>
      <c r="R127" s="301">
        <f>R118+SUM(R120:R126)</f>
        <v>3.9652310465060441</v>
      </c>
      <c r="S127" s="533">
        <f>S118+SUM(S120:S126)</f>
        <v>4.9563410876243665</v>
      </c>
      <c r="T127" s="301">
        <f t="shared" si="33"/>
        <v>5.1542174808029637</v>
      </c>
      <c r="U127" s="301">
        <f t="shared" ref="U127:AQ127" si="34">U118+SUM(U120:U126)</f>
        <v>3.5472211054431866</v>
      </c>
      <c r="V127" s="301">
        <f t="shared" si="34"/>
        <v>0.64358061278814249</v>
      </c>
      <c r="W127" s="301">
        <f t="shared" si="34"/>
        <v>-6.650488563539998</v>
      </c>
      <c r="X127" s="301">
        <f t="shared" si="34"/>
        <v>-4.2200341661549565</v>
      </c>
      <c r="Y127" s="301">
        <f t="shared" si="34"/>
        <v>1.9088050186316321</v>
      </c>
      <c r="Z127" s="301">
        <f t="shared" si="34"/>
        <v>3.7245219874210251</v>
      </c>
      <c r="AA127" s="301">
        <f t="shared" si="34"/>
        <v>3.6062467717356013</v>
      </c>
      <c r="AB127" s="301">
        <f t="shared" si="34"/>
        <v>0.58511372641647175</v>
      </c>
      <c r="AC127" s="301">
        <f t="shared" si="34"/>
        <v>-1.777628490991074</v>
      </c>
      <c r="AD127" s="301">
        <f t="shared" si="34"/>
        <v>1.0901283836832727</v>
      </c>
      <c r="AE127" s="301">
        <f t="shared" si="34"/>
        <v>3.8128950141556635</v>
      </c>
      <c r="AF127" s="533">
        <f>AF118+SUM(AF120:AF126)</f>
        <v>11.424578880391895</v>
      </c>
      <c r="AG127" s="301">
        <f t="shared" si="34"/>
        <v>11.406374047922721</v>
      </c>
      <c r="AH127" s="301">
        <f t="shared" si="34"/>
        <v>8.4975233860462787</v>
      </c>
      <c r="AI127" s="301">
        <f t="shared" si="34"/>
        <v>6.5520031807886649</v>
      </c>
      <c r="AJ127" s="301">
        <f t="shared" si="34"/>
        <v>7.1657626060400208</v>
      </c>
      <c r="AK127" s="301">
        <f t="shared" si="34"/>
        <v>10.926038416876215</v>
      </c>
      <c r="AL127" s="301">
        <f t="shared" si="34"/>
        <v>10.391853502524167</v>
      </c>
      <c r="AM127" s="301">
        <f t="shared" si="34"/>
        <v>9.7558011372276834</v>
      </c>
      <c r="AN127" s="301">
        <f t="shared" si="34"/>
        <v>9.3493954135762216</v>
      </c>
      <c r="AO127" s="301">
        <f t="shared" si="34"/>
        <v>9.1766216743108533</v>
      </c>
      <c r="AP127" s="301">
        <f t="shared" si="34"/>
        <v>11.928022102672639</v>
      </c>
      <c r="AQ127" s="301">
        <f t="shared" si="34"/>
        <v>11.522088045127777</v>
      </c>
      <c r="AR127" s="299"/>
      <c r="AS127" s="299"/>
      <c r="AT127" s="153"/>
    </row>
    <row r="128" spans="1:46" ht="15.75" thickTop="1">
      <c r="A128" s="422">
        <f t="shared" si="19"/>
        <v>126</v>
      </c>
      <c r="C128" s="149"/>
      <c r="D128" s="149"/>
      <c r="E128" s="149"/>
      <c r="F128" s="526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526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526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</row>
    <row r="129" spans="1:46">
      <c r="A129" s="422">
        <f t="shared" si="19"/>
        <v>127</v>
      </c>
      <c r="C129" s="149"/>
      <c r="D129" s="149"/>
      <c r="E129" s="149"/>
      <c r="F129" s="526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534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534"/>
      <c r="AG129" s="342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</row>
    <row r="130" spans="1:46" ht="15.75">
      <c r="A130" s="422">
        <f t="shared" si="19"/>
        <v>128</v>
      </c>
      <c r="B130" s="157" t="s">
        <v>457</v>
      </c>
      <c r="C130" s="149"/>
      <c r="D130" s="149"/>
      <c r="E130" s="149"/>
      <c r="F130" s="526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526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526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53"/>
    </row>
    <row r="131" spans="1:46" s="150" customFormat="1">
      <c r="A131" s="422">
        <f t="shared" si="19"/>
        <v>129</v>
      </c>
      <c r="B131" s="150" t="s">
        <v>317</v>
      </c>
      <c r="C131" s="149"/>
      <c r="D131" s="149"/>
      <c r="E131" s="149">
        <v>1999.4080559900001</v>
      </c>
      <c r="F131" s="620"/>
      <c r="G131" s="149">
        <f>E131+E132-G132+'Capex &amp; Depr'!O31+'Capex &amp; Depr'!O32-('Capex &amp; Depr'!O31-'Capex &amp; Depr'!O20)*0.24</f>
        <v>2011.1511922999998</v>
      </c>
      <c r="H131" s="149">
        <f>G131+G132-H132+'Capex &amp; Depr'!P31+'Capex &amp; Depr'!P32-('Capex &amp; Depr'!P31-'Capex &amp; Depr'!P20)*0.24</f>
        <v>2012.4522528599998</v>
      </c>
      <c r="I131" s="149">
        <f>H131+H132-I132+'Capex &amp; Depr'!Q31+'Capex &amp; Depr'!Q32-('Capex &amp; Depr'!Q31-'Capex &amp; Depr'!Q20)*0.24</f>
        <v>2016.84222574</v>
      </c>
      <c r="J131" s="149">
        <f>I131+I132-J132+'Capex &amp; Depr'!R31+'Capex &amp; Depr'!R32-('Capex &amp; Depr'!R31-'Capex &amp; Depr'!R20)*0.24</f>
        <v>2023.1720623799999</v>
      </c>
      <c r="K131" s="149">
        <f>J131+J132-K132+'Capex &amp; Depr'!S31+'Capex &amp; Depr'!S32-('Capex &amp; Depr'!S31-'Capex &amp; Depr'!S20)*0.24</f>
        <v>2029.1318923400001</v>
      </c>
      <c r="L131" s="149">
        <f>K131+K132-L132+'Capex &amp; Depr'!T31+'Capex &amp; Depr'!T32-('Capex &amp; Depr'!T31-'Capex &amp; Depr'!T20)*0.24</f>
        <v>2031.9644355</v>
      </c>
      <c r="M131" s="149">
        <f>L131+L132-M132+'Capex &amp; Depr'!U31+'Capex &amp; Depr'!U32-('Capex &amp; Depr'!U31-'Capex &amp; Depr'!U20)*0.24</f>
        <v>2034.5723930600002</v>
      </c>
      <c r="N131" s="149">
        <f>M131+M132-N132+'Capex &amp; Depr'!V31+'Capex &amp; Depr'!V32-('Capex &amp; Depr'!V31-'Capex &amp; Depr'!V20)*0.24</f>
        <v>2036.0982677000002</v>
      </c>
      <c r="O131" s="149">
        <f>N131+N132-O132+'Capex &amp; Depr'!W31+'Capex &amp; Depr'!W32-('Capex &amp; Depr'!W31-'Capex &amp; Depr'!W20)*0.24</f>
        <v>2038.3745359800002</v>
      </c>
      <c r="P131" s="149">
        <f>O131+O132-P132+'Capex &amp; Depr'!X31+'Capex &amp; Depr'!X32-('Capex &amp; Depr'!X31-'Capex &amp; Depr'!X20)*0.24</f>
        <v>2044.0352990200001</v>
      </c>
      <c r="Q131" s="149">
        <f>P131+P132-Q132+'Capex &amp; Depr'!Y31+'Capex &amp; Depr'!Y32-('Capex &amp; Depr'!Y31-'Capex &amp; Depr'!Y20)*0.24</f>
        <v>2046.2057046999998</v>
      </c>
      <c r="R131" s="149">
        <f>Q131+Q132-R132+'Capex &amp; Depr'!Z31+'Capex &amp; Depr'!Z32-('Capex &amp; Depr'!Z31-'Capex &amp; Depr'!Z20)*0.24</f>
        <v>2046.5747535800001</v>
      </c>
      <c r="S131" s="526">
        <f>R131</f>
        <v>2046.5747535800001</v>
      </c>
      <c r="T131" s="149">
        <f>R131+R132-T132+'Capex &amp; Depr'!AB31+'Capex &amp; Depr'!AB32-('Capex &amp; Depr'!AB31-'Capex &amp; Depr'!AB20)*0.24</f>
        <v>2047.8181638599999</v>
      </c>
      <c r="U131" s="149">
        <f>T131+T132-U132+'Capex &amp; Depr'!AC31+'Capex &amp; Depr'!AC32-('Capex &amp; Depr'!AC31-'Capex &amp; Depr'!AC20)*0.24</f>
        <v>2048.5010196600001</v>
      </c>
      <c r="V131" s="149">
        <f>U131+U132-V132+'Capex &amp; Depr'!AD31+'Capex &amp; Depr'!AD32-('Capex &amp; Depr'!AD31-'Capex &amp; Depr'!AD20)*0.24</f>
        <v>2051.6927780599999</v>
      </c>
      <c r="W131" s="149">
        <f>V131+V132-W132+'Capex &amp; Depr'!AE31+'Capex &amp; Depr'!AE32-('Capex &amp; Depr'!AE31-'Capex &amp; Depr'!AE20)*0.24</f>
        <v>2063.0552892199998</v>
      </c>
      <c r="X131" s="149">
        <f>W131+W132-X132+'Capex &amp; Depr'!AF31+'Capex &amp; Depr'!AF32-('Capex &amp; Depr'!AF31-'Capex &amp; Depr'!AF20)*0.24</f>
        <v>2070.6179850599997</v>
      </c>
      <c r="Y131" s="149">
        <f>X131+X132-Y132+'Capex &amp; Depr'!AG31+'Capex &amp; Depr'!AG32-('Capex &amp; Depr'!AG31-'Capex &amp; Depr'!AG20)*0.24</f>
        <v>2072.0376690200001</v>
      </c>
      <c r="Z131" s="149">
        <f>Y131+Y132-Z132+'Capex &amp; Depr'!AH31+'Capex &amp; Depr'!AH32-('Capex &amp; Depr'!AH31-'Capex &amp; Depr'!AH20)*0.24</f>
        <v>2073.3625833799993</v>
      </c>
      <c r="AA131" s="149">
        <f>Z131+Z132-AA132+'Capex &amp; Depr'!AI31+'Capex &amp; Depr'!AI32-('Capex &amp; Depr'!AI31-'Capex &amp; Depr'!AI20)*0.24</f>
        <v>2137.6242507799998</v>
      </c>
      <c r="AB131" s="149">
        <f>AA131+AA132-AB132+'Capex &amp; Depr'!AJ31+'Capex &amp; Depr'!AJ32-('Capex &amp; Depr'!AJ31-'Capex &amp; Depr'!AJ20)*0.24</f>
        <v>2140.5171632199999</v>
      </c>
      <c r="AC131" s="149">
        <f>AB131+AB132-AC132+'Capex &amp; Depr'!AK31+'Capex &amp; Depr'!AK32-('Capex &amp; Depr'!AK31-'Capex &amp; Depr'!AK20)*0.24</f>
        <v>2143.8410312199999</v>
      </c>
      <c r="AD131" s="149">
        <f>AC131+AC132-AD132+'Capex &amp; Depr'!AL31+'Capex &amp; Depr'!AL32-('Capex &amp; Depr'!AL31-'Capex &amp; Depr'!AL20)*0.24</f>
        <v>2144.0182279799997</v>
      </c>
      <c r="AE131" s="149">
        <f>AD131+AD132-AE132+'Capex &amp; Depr'!AM31+'Capex &amp; Depr'!AM32-('Capex &amp; Depr'!AM31-'Capex &amp; Depr'!AM20)*0.24</f>
        <v>2144.1347170999998</v>
      </c>
      <c r="AF131" s="526">
        <f>AE131</f>
        <v>2144.1347170999998</v>
      </c>
      <c r="AG131" s="149">
        <f>AE131+AE132-AG132+'Capex &amp; Depr'!AO31+'Capex &amp; Depr'!AO32-('Capex &amp; Depr'!AO31-'Capex &amp; Depr'!AO20)*0.24</f>
        <v>2180.8204624999998</v>
      </c>
      <c r="AH131" s="149">
        <f>AG131+AG132-AH132+'Capex &amp; Depr'!AP31+'Capex &amp; Depr'!AP32-('Capex &amp; Depr'!AP31-'Capex &amp; Depr'!AP20)*0.24</f>
        <v>2210.0702554199997</v>
      </c>
      <c r="AI131" s="149">
        <f>AH131+AH132-AI132+'Capex &amp; Depr'!AQ31+'Capex &amp; Depr'!AQ32-('Capex &amp; Depr'!AQ31-'Capex &amp; Depr'!AQ20)*0.24</f>
        <v>2240.1933459037373</v>
      </c>
      <c r="AJ131" s="149">
        <f>AI131+AI132-AJ132+'Capex &amp; Depr'!AR31+'Capex &amp; Depr'!AR32-('Capex &amp; Depr'!AR31-'Capex &amp; Depr'!AR20)*0.24</f>
        <v>2271.2201291019869</v>
      </c>
      <c r="AK131" s="149">
        <f>AJ131+AJ132-AK132+'Capex &amp; Depr'!AS31+'Capex &amp; Depr'!AS32-('Capex &amp; Depr'!AS31-'Capex &amp; Depr'!AS20)*0.24</f>
        <v>2311.6872863207977</v>
      </c>
      <c r="AL131" s="149">
        <f>AK131+AK132-AL132+'Capex &amp; Depr'!AT31+'Capex &amp; Depr'!AT32-('Capex &amp; Depr'!AT31-'Capex &amp; Depr'!AT20)*0.24</f>
        <v>2353.3684582561732</v>
      </c>
      <c r="AM131" s="149">
        <f>AL131+AL132-AM132+'Capex &amp; Depr'!AU31+'Capex &amp; Depr'!AU32-('Capex &amp; Depr'!AU31-'Capex &amp; Depr'!AU20)*0.24</f>
        <v>2396.3000653496092</v>
      </c>
      <c r="AN131" s="149">
        <f>AM131+AM132-AN132+'Capex &amp; Depr'!AV31+'Capex &amp; Depr'!AV32-('Capex &amp; Depr'!AV31-'Capex &amp; Depr'!AV20)*0.24</f>
        <v>2440.5196206558489</v>
      </c>
      <c r="AO131" s="149">
        <f>AN131+AN132-AO132+'Capex &amp; Depr'!AW31+'Capex &amp; Depr'!AW32-('Capex &amp; Depr'!AW31-'Capex &amp; Depr'!AW20)*0.24</f>
        <v>2486.0657626212756</v>
      </c>
      <c r="AP131" s="149">
        <f>AO131+AO132-AP132+'Capex &amp; Depr'!AX31+'Capex &amp; Depr'!AX32-('Capex &amp; Depr'!AX31-'Capex &amp; Depr'!AX20)*0.24</f>
        <v>2532.9782888456652</v>
      </c>
      <c r="AQ131" s="149">
        <f>AP131+AP132-AQ132+'Capex &amp; Depr'!AY31+'Capex &amp; Depr'!AY32-('Capex &amp; Depr'!AY31-'Capex &amp; Depr'!AY20)*0.24</f>
        <v>2581.2981908567863</v>
      </c>
      <c r="AR131" s="149"/>
      <c r="AS131" s="149"/>
    </row>
    <row r="132" spans="1:46" s="150" customFormat="1">
      <c r="A132" s="422">
        <f t="shared" si="19"/>
        <v>130</v>
      </c>
      <c r="B132" s="150" t="s">
        <v>458</v>
      </c>
      <c r="C132" s="149"/>
      <c r="D132" s="149"/>
      <c r="E132" s="149">
        <v>50.813642989999998</v>
      </c>
      <c r="F132" s="526"/>
      <c r="G132" s="149">
        <f>'Capex &amp; Depr'!O33</f>
        <v>40</v>
      </c>
      <c r="H132" s="149">
        <f>'Capex &amp; Depr'!P33</f>
        <v>40</v>
      </c>
      <c r="I132" s="149">
        <f>'Capex &amp; Depr'!Q33</f>
        <v>40</v>
      </c>
      <c r="J132" s="149">
        <f>'Capex &amp; Depr'!R33</f>
        <v>40</v>
      </c>
      <c r="K132" s="149">
        <f>'Capex &amp; Depr'!S33</f>
        <v>40.902183000000001</v>
      </c>
      <c r="L132" s="149">
        <f>'Capex &amp; Depr'!T33</f>
        <v>42.109458000000004</v>
      </c>
      <c r="M132" s="149">
        <f>'Capex &amp; Depr'!U33</f>
        <v>44.425221000000001</v>
      </c>
      <c r="N132" s="149">
        <f>'Capex &amp; Depr'!V33</f>
        <v>46.752139</v>
      </c>
      <c r="O132" s="149">
        <f>'Capex &amp; Depr'!W33</f>
        <v>50.293121999999997</v>
      </c>
      <c r="P132" s="149">
        <f>'Capex &amp; Depr'!X33</f>
        <v>57.509931000000002</v>
      </c>
      <c r="Q132" s="149">
        <f>'Capex &amp; Depr'!Y33</f>
        <v>64.761416999999994</v>
      </c>
      <c r="R132" s="149">
        <f>'Capex &amp; Depr'!Z33</f>
        <v>72.197945000000004</v>
      </c>
      <c r="S132" s="526">
        <f t="shared" ref="S132:S188" si="35">R132</f>
        <v>72.197945000000004</v>
      </c>
      <c r="T132" s="149">
        <f>'Capex &amp; Depr'!AB33</f>
        <v>77.3643</v>
      </c>
      <c r="U132" s="149">
        <f>'Capex &amp; Depr'!AC33</f>
        <v>82.554904999999991</v>
      </c>
      <c r="V132" s="149">
        <f>'Capex &amp; Depr'!AD33</f>
        <v>87.831540999999987</v>
      </c>
      <c r="W132" s="149">
        <f>'Capex &amp; Depr'!AE33</f>
        <v>93.132912000000005</v>
      </c>
      <c r="X132" s="149">
        <f>'Capex &amp; Depr'!AF33</f>
        <v>98.459017999999986</v>
      </c>
      <c r="Y132" s="149">
        <f>'Capex &amp; Depr'!AG33</f>
        <v>101.209998</v>
      </c>
      <c r="Z132" s="149">
        <f>'Capex &amp; Depr'!AH33</f>
        <v>101.499252</v>
      </c>
      <c r="AA132" s="149">
        <f>'Capex &amp; Depr'!AI33</f>
        <v>40.000000000000007</v>
      </c>
      <c r="AB132" s="149">
        <f>'Capex &amp; Depr'!AJ33</f>
        <v>40.000000000000007</v>
      </c>
      <c r="AC132" s="149">
        <f>'Capex &amp; Depr'!AK33</f>
        <v>40.000000000000007</v>
      </c>
      <c r="AD132" s="149">
        <f>'Capex &amp; Depr'!AL33</f>
        <v>40.000000000000007</v>
      </c>
      <c r="AE132" s="149">
        <f>'Capex &amp; Depr'!AM33</f>
        <v>40.000000000000007</v>
      </c>
      <c r="AF132" s="526">
        <f t="shared" ref="AF132:AF188" si="36">AE132</f>
        <v>40.000000000000007</v>
      </c>
      <c r="AG132" s="149">
        <f>'Capex &amp; Depr'!AO33</f>
        <v>40.000000000000007</v>
      </c>
      <c r="AH132" s="149">
        <f>'Capex &amp; Depr'!AP33</f>
        <v>40.000000000000007</v>
      </c>
      <c r="AI132" s="149">
        <f>'Capex &amp; Depr'!AQ33</f>
        <v>40.000000000000007</v>
      </c>
      <c r="AJ132" s="149">
        <f>'Capex &amp; Depr'!AR33</f>
        <v>40.000000000000007</v>
      </c>
      <c r="AK132" s="149">
        <f>'Capex &amp; Depr'!AS33</f>
        <v>40.000000000000007</v>
      </c>
      <c r="AL132" s="149">
        <f>'Capex &amp; Depr'!AT33</f>
        <v>40.000000000000007</v>
      </c>
      <c r="AM132" s="149">
        <f>'Capex &amp; Depr'!AU33</f>
        <v>40.000000000000007</v>
      </c>
      <c r="AN132" s="149">
        <f>'Capex &amp; Depr'!AV33</f>
        <v>40.000000000000007</v>
      </c>
      <c r="AO132" s="149">
        <f>'Capex &amp; Depr'!AW33</f>
        <v>40.000000000000007</v>
      </c>
      <c r="AP132" s="149">
        <f>'Capex &amp; Depr'!AX33</f>
        <v>40.000000000000007</v>
      </c>
      <c r="AQ132" s="149">
        <f>'Capex &amp; Depr'!AY33</f>
        <v>40.000000000000007</v>
      </c>
      <c r="AR132" s="149"/>
      <c r="AS132" s="149"/>
    </row>
    <row r="133" spans="1:46" s="150" customFormat="1">
      <c r="A133" s="422">
        <f t="shared" si="19"/>
        <v>131</v>
      </c>
      <c r="B133" s="150" t="s">
        <v>501</v>
      </c>
      <c r="C133" s="149"/>
      <c r="D133" s="149"/>
      <c r="E133" s="149">
        <f>SUM(E131:E132)</f>
        <v>2050.2216989799999</v>
      </c>
      <c r="F133" s="526"/>
      <c r="G133" s="149">
        <f>SUM(G131:G132)</f>
        <v>2051.1511922999998</v>
      </c>
      <c r="H133" s="149">
        <f>SUM(H131:H132)</f>
        <v>2052.45225286</v>
      </c>
      <c r="I133" s="149">
        <f t="shared" ref="I133:R133" si="37">SUM(I131:I132)</f>
        <v>2056.8422257399998</v>
      </c>
      <c r="J133" s="149">
        <f t="shared" si="37"/>
        <v>2063.1720623800002</v>
      </c>
      <c r="K133" s="149">
        <f t="shared" si="37"/>
        <v>2070.0340753400001</v>
      </c>
      <c r="L133" s="149">
        <f t="shared" si="37"/>
        <v>2074.0738934999999</v>
      </c>
      <c r="M133" s="149">
        <f t="shared" si="37"/>
        <v>2078.9976140600002</v>
      </c>
      <c r="N133" s="149">
        <f t="shared" si="37"/>
        <v>2082.8504067000003</v>
      </c>
      <c r="O133" s="149">
        <f t="shared" si="37"/>
        <v>2088.6676579800001</v>
      </c>
      <c r="P133" s="149">
        <f t="shared" si="37"/>
        <v>2101.54523002</v>
      </c>
      <c r="Q133" s="149">
        <f t="shared" si="37"/>
        <v>2110.9671217</v>
      </c>
      <c r="R133" s="149">
        <f t="shared" si="37"/>
        <v>2118.77269858</v>
      </c>
      <c r="S133" s="526">
        <f t="shared" si="35"/>
        <v>2118.77269858</v>
      </c>
      <c r="T133" s="149">
        <f t="shared" ref="T133:AE133" si="38">SUM(T131:T132)</f>
        <v>2125.1824638600001</v>
      </c>
      <c r="U133" s="149">
        <f t="shared" si="38"/>
        <v>2131.0559246600001</v>
      </c>
      <c r="V133" s="149">
        <f t="shared" si="38"/>
        <v>2139.5243190599999</v>
      </c>
      <c r="W133" s="149">
        <f t="shared" si="38"/>
        <v>2156.1882012199999</v>
      </c>
      <c r="X133" s="149">
        <f t="shared" si="38"/>
        <v>2169.0770030599997</v>
      </c>
      <c r="Y133" s="149">
        <f t="shared" si="38"/>
        <v>2173.2476670199999</v>
      </c>
      <c r="Z133" s="149">
        <f t="shared" si="38"/>
        <v>2174.8618353799993</v>
      </c>
      <c r="AA133" s="149">
        <f t="shared" si="38"/>
        <v>2177.6242507799998</v>
      </c>
      <c r="AB133" s="149">
        <f t="shared" si="38"/>
        <v>2180.5171632199999</v>
      </c>
      <c r="AC133" s="149">
        <f t="shared" si="38"/>
        <v>2183.8410312199999</v>
      </c>
      <c r="AD133" s="149">
        <f t="shared" si="38"/>
        <v>2184.0182279799997</v>
      </c>
      <c r="AE133" s="149">
        <f t="shared" si="38"/>
        <v>2184.1347170999998</v>
      </c>
      <c r="AF133" s="526">
        <f t="shared" si="36"/>
        <v>2184.1347170999998</v>
      </c>
      <c r="AG133" s="149">
        <f>SUM(AG131:AG132)</f>
        <v>2220.8204624999998</v>
      </c>
      <c r="AH133" s="149">
        <f>SUM(AH131:AH132)</f>
        <v>2250.0702554199997</v>
      </c>
      <c r="AI133" s="149">
        <f t="shared" ref="AI133:AQ133" si="39">SUM(AI131:AI132)</f>
        <v>2280.1933459037373</v>
      </c>
      <c r="AJ133" s="149">
        <f t="shared" si="39"/>
        <v>2311.2201291019869</v>
      </c>
      <c r="AK133" s="149">
        <f t="shared" si="39"/>
        <v>2351.6872863207977</v>
      </c>
      <c r="AL133" s="149">
        <f t="shared" si="39"/>
        <v>2393.3684582561732</v>
      </c>
      <c r="AM133" s="149">
        <f t="shared" si="39"/>
        <v>2436.3000653496092</v>
      </c>
      <c r="AN133" s="149">
        <f t="shared" si="39"/>
        <v>2480.5196206558489</v>
      </c>
      <c r="AO133" s="149">
        <f t="shared" si="39"/>
        <v>2526.0657626212756</v>
      </c>
      <c r="AP133" s="149">
        <f t="shared" si="39"/>
        <v>2572.9782888456652</v>
      </c>
      <c r="AQ133" s="149">
        <f t="shared" si="39"/>
        <v>2621.2981908567863</v>
      </c>
      <c r="AR133" s="149"/>
      <c r="AS133" s="149"/>
    </row>
    <row r="134" spans="1:46" s="150" customFormat="1">
      <c r="A134" s="422">
        <f t="shared" si="19"/>
        <v>132</v>
      </c>
      <c r="B134" s="150" t="s">
        <v>465</v>
      </c>
      <c r="C134" s="156"/>
      <c r="D134" s="156"/>
      <c r="E134" s="156">
        <v>962.99427756</v>
      </c>
      <c r="F134" s="621"/>
      <c r="G134" s="156">
        <f>E134+'Capex &amp; Depr'!O53-('Capex &amp; Depr'!O31-'Capex &amp; Depr'!O20)*0.24</f>
        <v>966.41398487999993</v>
      </c>
      <c r="H134" s="156">
        <f>G134+'Capex &amp; Depr'!P53-('Capex &amp; Depr'!P31-'Capex &amp; Depr'!P20)*0.24</f>
        <v>969.72327343999996</v>
      </c>
      <c r="I134" s="156">
        <f>H134+'Capex &amp; Depr'!Q53-('Capex &amp; Depr'!Q31-'Capex &amp; Depr'!Q20)*0.24</f>
        <v>972.06609631999993</v>
      </c>
      <c r="J134" s="156">
        <f>I134+'Capex &amp; Depr'!R53-('Capex &amp; Depr'!R31-'Capex &amp; Depr'!R20)*0.24</f>
        <v>973.81362695999997</v>
      </c>
      <c r="K134" s="156">
        <f>J134+'Capex &amp; Depr'!S53-('Capex &amp; Depr'!S31-'Capex &amp; Depr'!S20)*0.24</f>
        <v>975.6911609199999</v>
      </c>
      <c r="L134" s="156">
        <f>K134+'Capex &amp; Depr'!T53-('Capex &amp; Depr'!T31-'Capex &amp; Depr'!T20)*0.24</f>
        <v>978.57397407999986</v>
      </c>
      <c r="M134" s="156">
        <f>L134+'Capex &amp; Depr'!U53-('Capex &amp; Depr'!U31-'Capex &amp; Depr'!U20)*0.24</f>
        <v>981.5390966399998</v>
      </c>
      <c r="N134" s="156">
        <f>M134+'Capex &amp; Depr'!V53-('Capex &amp; Depr'!V31-'Capex &amp; Depr'!V20)*0.24</f>
        <v>984.83698927999978</v>
      </c>
      <c r="O134" s="156">
        <f>N134+'Capex &amp; Depr'!W53-('Capex &amp; Depr'!W31-'Capex &amp; Depr'!W20)*0.24</f>
        <v>988.04306855999971</v>
      </c>
      <c r="P134" s="156">
        <f>O134+'Capex &amp; Depr'!X53-('Capex &amp; Depr'!X31-'Capex &amp; Depr'!X20)*0.24</f>
        <v>990.1919965999997</v>
      </c>
      <c r="Q134" s="156">
        <f>P134+'Capex &amp; Depr'!Y53-('Capex &amp; Depr'!Y31-'Capex &amp; Depr'!Y20)*0.24</f>
        <v>993.45241027999975</v>
      </c>
      <c r="R134" s="156">
        <f>Q134+'Capex &amp; Depr'!Z53-('Capex &amp; Depr'!Z31-'Capex &amp; Depr'!Z20)*0.24</f>
        <v>997.28823215999978</v>
      </c>
      <c r="S134" s="528">
        <f t="shared" si="35"/>
        <v>997.28823215999978</v>
      </c>
      <c r="T134" s="156">
        <f>R134+'Capex &amp; Depr'!AB53-('Capex &amp; Depr'!AB31-'Capex &amp; Depr'!AB20)*0.24</f>
        <v>1000.8361904399998</v>
      </c>
      <c r="U134" s="156">
        <f>T134+'Capex &amp; Depr'!AC53-('Capex &amp; Depr'!AC31-'Capex &amp; Depr'!AC20)*0.24</f>
        <v>1004.5655962399998</v>
      </c>
      <c r="V134" s="156">
        <f>U134+'Capex &amp; Depr'!AD53-('Capex &amp; Depr'!AD31-'Capex &amp; Depr'!AD20)*0.24</f>
        <v>1007.5076436399999</v>
      </c>
      <c r="W134" s="156">
        <f>V134+'Capex &amp; Depr'!AE53-('Capex &amp; Depr'!AE31-'Capex &amp; Depr'!AE20)*0.24</f>
        <v>1007.8872747999999</v>
      </c>
      <c r="X134" s="156">
        <f>W134+'Capex &amp; Depr'!AF53-('Capex &amp; Depr'!AF31-'Capex &amp; Depr'!AF20)*0.24</f>
        <v>1009.5004776399999</v>
      </c>
      <c r="Y134" s="156">
        <f>X134+'Capex &amp; Depr'!AG53-('Capex &amp; Depr'!AG31-'Capex &amp; Depr'!AG20)*0.24</f>
        <v>1013.0838825999998</v>
      </c>
      <c r="Z134" s="156">
        <f>Y134+'Capex &amp; Depr'!AH53-('Capex &amp; Depr'!AH31-'Capex &amp; Depr'!AH20)*0.24</f>
        <v>1016.7031539599998</v>
      </c>
      <c r="AA134" s="156">
        <f>Z134+'Capex &amp; Depr'!AI53-('Capex &amp; Depr'!AI31-'Capex &amp; Depr'!AI20)*0.24</f>
        <v>1019.8435433599998</v>
      </c>
      <c r="AB134" s="156">
        <f>AA134+'Capex &amp; Depr'!AJ53-('Capex &amp; Depr'!AJ31-'Capex &amp; Depr'!AJ20)*0.24</f>
        <v>1023.0774147999997</v>
      </c>
      <c r="AC134" s="156">
        <f>AB134+'Capex &amp; Depr'!AK53-('Capex &amp; Depr'!AK31-'Capex &amp; Depr'!AK20)*0.24</f>
        <v>1026.1869627999997</v>
      </c>
      <c r="AD134" s="156">
        <f>AC134+'Capex &amp; Depr'!AL53-('Capex &amp; Depr'!AL31-'Capex &amp; Depr'!AL20)*0.24</f>
        <v>1030.2917875599999</v>
      </c>
      <c r="AE134" s="156">
        <f>AD134+'Capex &amp; Depr'!AM53-('Capex &amp; Depr'!AM31-'Capex &amp; Depr'!AM20)*0.24</f>
        <v>1034.4161696799999</v>
      </c>
      <c r="AF134" s="528">
        <f t="shared" si="36"/>
        <v>1034.4161696799999</v>
      </c>
      <c r="AG134" s="156">
        <f>AE134+'Capex &amp; Depr'!AO53-('Capex &amp; Depr'!AO31-'Capex &amp; Depr'!AO20)*0.24</f>
        <v>1073.4463840799999</v>
      </c>
      <c r="AH134" s="156">
        <f>AG134+'Capex &amp; Depr'!AP53-('Capex &amp; Depr'!AP31-'Capex &amp; Depr'!AP20)*0.24</f>
        <v>1115.8214909999999</v>
      </c>
      <c r="AI134" s="156">
        <f>AH134+'Capex &amp; Depr'!AQ53-('Capex &amp; Depr'!AQ31-'Capex &amp; Depr'!AQ20)*0.24</f>
        <v>1158.8410861443247</v>
      </c>
      <c r="AJ134" s="156">
        <f>AI134+'Capex &amp; Depr'!AR53-('Capex &amp; Depr'!AR31-'Capex &amp; Depr'!AR20)*0.24</f>
        <v>1202.5285226553997</v>
      </c>
      <c r="AK134" s="156">
        <f>AJ134+'Capex &amp; Depr'!AS53-('Capex &amp; Depr'!AS31-'Capex &amp; Depr'!AS20)*0.24</f>
        <v>1244.1175795459899</v>
      </c>
      <c r="AL134" s="156">
        <f>AK134+'Capex &amp; Depr'!AT53-('Capex &amp; Depr'!AT31-'Capex &amp; Depr'!AT20)*0.24</f>
        <v>1286.2997307707592</v>
      </c>
      <c r="AM134" s="156">
        <f>AL134+'Capex &amp; Depr'!AU53-('Capex &amp; Depr'!AU31-'Capex &amp; Depr'!AU20)*0.24</f>
        <v>1329.0927691597328</v>
      </c>
      <c r="AN134" s="156">
        <f>AM134+'Capex &amp; Depr'!AV53-('Capex &amp; Depr'!AV31-'Capex &amp; Depr'!AV20)*0.24</f>
        <v>1372.5150213278373</v>
      </c>
      <c r="AO134" s="156">
        <f>AN134+'Capex &amp; Depr'!AW53-('Capex &amp; Depr'!AW31-'Capex &amp; Depr'!AW20)*0.24</f>
        <v>1416.5853636884463</v>
      </c>
      <c r="AP134" s="156">
        <f>AO134+'Capex &amp; Depr'!AX53-('Capex &amp; Depr'!AX31-'Capex &amp; Depr'!AX20)*0.24</f>
        <v>1461.3232389473349</v>
      </c>
      <c r="AQ134" s="156">
        <f>AP134+'Capex &amp; Depr'!AY53-('Capex &amp; Depr'!AY31-'Capex &amp; Depr'!AY20)*0.24</f>
        <v>1506.7486730914516</v>
      </c>
      <c r="AR134" s="149"/>
      <c r="AS134" s="149"/>
    </row>
    <row r="135" spans="1:46" s="150" customFormat="1" ht="15.75">
      <c r="A135" s="422">
        <f t="shared" ref="A135:A198" si="40">A134+1</f>
        <v>133</v>
      </c>
      <c r="B135" s="158" t="s">
        <v>466</v>
      </c>
      <c r="C135" s="149"/>
      <c r="D135" s="149"/>
      <c r="E135" s="149">
        <f>E133-E134</f>
        <v>1087.2274214199999</v>
      </c>
      <c r="F135" s="526"/>
      <c r="G135" s="149">
        <f>G133-G134</f>
        <v>1084.7372074199998</v>
      </c>
      <c r="H135" s="149">
        <f>H133-H134</f>
        <v>1082.7289794200001</v>
      </c>
      <c r="I135" s="149">
        <f t="shared" ref="I135:R135" si="41">I133-I134</f>
        <v>1084.77612942</v>
      </c>
      <c r="J135" s="149">
        <f t="shared" si="41"/>
        <v>1089.3584354200002</v>
      </c>
      <c r="K135" s="149">
        <f t="shared" si="41"/>
        <v>1094.3429144200002</v>
      </c>
      <c r="L135" s="149">
        <f t="shared" si="41"/>
        <v>1095.49991942</v>
      </c>
      <c r="M135" s="149">
        <f t="shared" si="41"/>
        <v>1097.4585174200004</v>
      </c>
      <c r="N135" s="149">
        <f t="shared" si="41"/>
        <v>1098.0134174200007</v>
      </c>
      <c r="O135" s="149">
        <f t="shared" si="41"/>
        <v>1100.6245894200003</v>
      </c>
      <c r="P135" s="149">
        <f t="shared" si="41"/>
        <v>1111.3532334200004</v>
      </c>
      <c r="Q135" s="149">
        <f t="shared" si="41"/>
        <v>1117.5147114200004</v>
      </c>
      <c r="R135" s="149">
        <f t="shared" si="41"/>
        <v>1121.4844664200002</v>
      </c>
      <c r="S135" s="526">
        <f t="shared" si="35"/>
        <v>1121.4844664200002</v>
      </c>
      <c r="T135" s="149">
        <f t="shared" ref="T135:AE135" si="42">T133-T134</f>
        <v>1124.3462734200002</v>
      </c>
      <c r="U135" s="149">
        <f t="shared" si="42"/>
        <v>1126.4903284200004</v>
      </c>
      <c r="V135" s="149">
        <f t="shared" si="42"/>
        <v>1132.01667542</v>
      </c>
      <c r="W135" s="149">
        <f t="shared" si="42"/>
        <v>1148.30092642</v>
      </c>
      <c r="X135" s="149">
        <f t="shared" si="42"/>
        <v>1159.5765254199998</v>
      </c>
      <c r="Y135" s="149">
        <f t="shared" si="42"/>
        <v>1160.16378442</v>
      </c>
      <c r="Z135" s="149">
        <f t="shared" si="42"/>
        <v>1158.1586814199995</v>
      </c>
      <c r="AA135" s="149">
        <f t="shared" si="42"/>
        <v>1157.78070742</v>
      </c>
      <c r="AB135" s="149">
        <f t="shared" si="42"/>
        <v>1157.4397484200003</v>
      </c>
      <c r="AC135" s="149">
        <f t="shared" si="42"/>
        <v>1157.6540684200002</v>
      </c>
      <c r="AD135" s="149">
        <f t="shared" si="42"/>
        <v>1153.7264404199998</v>
      </c>
      <c r="AE135" s="149">
        <f t="shared" si="42"/>
        <v>1149.7185474199998</v>
      </c>
      <c r="AF135" s="526">
        <f t="shared" si="36"/>
        <v>1149.7185474199998</v>
      </c>
      <c r="AG135" s="149">
        <f>AG133-AG134</f>
        <v>1147.3740784199999</v>
      </c>
      <c r="AH135" s="149">
        <f t="shared" ref="AH135:AQ135" si="43">AH133-AH134</f>
        <v>1134.2487644199998</v>
      </c>
      <c r="AI135" s="149">
        <f t="shared" si="43"/>
        <v>1121.3522597594126</v>
      </c>
      <c r="AJ135" s="149">
        <f t="shared" si="43"/>
        <v>1108.6916064465872</v>
      </c>
      <c r="AK135" s="149">
        <f t="shared" si="43"/>
        <v>1107.5697067748079</v>
      </c>
      <c r="AL135" s="149">
        <f t="shared" si="43"/>
        <v>1107.068727485414</v>
      </c>
      <c r="AM135" s="149">
        <f t="shared" si="43"/>
        <v>1107.2072961898764</v>
      </c>
      <c r="AN135" s="149">
        <f t="shared" si="43"/>
        <v>1108.0045993280116</v>
      </c>
      <c r="AO135" s="149">
        <f t="shared" si="43"/>
        <v>1109.4803989328293</v>
      </c>
      <c r="AP135" s="149">
        <f t="shared" si="43"/>
        <v>1111.6550498983304</v>
      </c>
      <c r="AQ135" s="149">
        <f t="shared" si="43"/>
        <v>1114.5495177653347</v>
      </c>
      <c r="AR135" s="149"/>
      <c r="AS135" s="149"/>
    </row>
    <row r="136" spans="1:46" s="150" customFormat="1" ht="15.75">
      <c r="A136" s="422">
        <f t="shared" si="40"/>
        <v>134</v>
      </c>
      <c r="B136" s="158"/>
      <c r="C136" s="149"/>
      <c r="D136" s="149"/>
      <c r="E136" s="149"/>
      <c r="F136" s="526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526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526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</row>
    <row r="137" spans="1:46" s="150" customFormat="1">
      <c r="A137" s="422">
        <f t="shared" si="40"/>
        <v>135</v>
      </c>
      <c r="B137" s="150" t="s">
        <v>467</v>
      </c>
      <c r="C137" s="149"/>
      <c r="D137" s="149"/>
      <c r="E137" s="149"/>
      <c r="F137" s="526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526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526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</row>
    <row r="138" spans="1:46" s="150" customFormat="1">
      <c r="A138" s="422">
        <f t="shared" si="40"/>
        <v>136</v>
      </c>
      <c r="B138" s="150" t="s">
        <v>468</v>
      </c>
      <c r="C138" s="149"/>
      <c r="D138" s="149"/>
      <c r="E138" s="149">
        <f>Pat.!D17</f>
        <v>3.68291251</v>
      </c>
      <c r="F138" s="526"/>
      <c r="G138" s="149">
        <f>Pat.!F17</f>
        <v>3.68291251</v>
      </c>
      <c r="H138" s="149">
        <f>Pat.!G17</f>
        <v>3.68291251</v>
      </c>
      <c r="I138" s="149">
        <f>Pat.!H17</f>
        <v>4.14538219630625</v>
      </c>
      <c r="J138" s="149">
        <f>Pat.!I17</f>
        <v>4.1541321963062501</v>
      </c>
      <c r="K138" s="149">
        <f>Pat.!J17</f>
        <v>4.1541321963062501</v>
      </c>
      <c r="L138" s="149">
        <f>Pat.!K17</f>
        <v>4.1541321963062501</v>
      </c>
      <c r="M138" s="149">
        <f>Pat.!L17</f>
        <v>4.1541321963062501</v>
      </c>
      <c r="N138" s="149">
        <f>Pat.!M17</f>
        <v>4.1565321963062498</v>
      </c>
      <c r="O138" s="149">
        <f>Pat.!N17</f>
        <v>4.1565321963062498</v>
      </c>
      <c r="P138" s="149">
        <f>Pat.!O17</f>
        <v>4.1565321963062498</v>
      </c>
      <c r="Q138" s="149">
        <f>Pat.!P17</f>
        <v>4.1565321963062498</v>
      </c>
      <c r="R138" s="149">
        <f>Pat.!Q17</f>
        <v>4.1565321963062498</v>
      </c>
      <c r="S138" s="526">
        <f t="shared" si="35"/>
        <v>4.1565321963062498</v>
      </c>
      <c r="T138" s="149">
        <f>Pat.!S17</f>
        <v>4.1565321963062498</v>
      </c>
      <c r="U138" s="149">
        <f>Pat.!T17</f>
        <v>4.1565321963062498</v>
      </c>
      <c r="V138" s="149">
        <f>Pat.!U17</f>
        <v>4.31801778998625</v>
      </c>
      <c r="W138" s="149">
        <f>Pat.!V17</f>
        <v>4.31801778998625</v>
      </c>
      <c r="X138" s="149">
        <f>Pat.!W17</f>
        <v>4.31801778998625</v>
      </c>
      <c r="Y138" s="149">
        <f>Pat.!X17</f>
        <v>4.31801778998625</v>
      </c>
      <c r="Z138" s="149">
        <f>Pat.!Y17</f>
        <v>4.31801778998625</v>
      </c>
      <c r="AA138" s="149">
        <f>Pat.!Z17</f>
        <v>4.31801778998625</v>
      </c>
      <c r="AB138" s="149">
        <f>Pat.!AA17</f>
        <v>4.31801778998625</v>
      </c>
      <c r="AC138" s="149">
        <f>Pat.!AB17</f>
        <v>4.31801778998625</v>
      </c>
      <c r="AD138" s="149">
        <f>Pat.!AC17</f>
        <v>4.31801778998625</v>
      </c>
      <c r="AE138" s="149">
        <f>Pat.!AD17</f>
        <v>4.31801778998625</v>
      </c>
      <c r="AF138" s="526">
        <f t="shared" si="36"/>
        <v>4.31801778998625</v>
      </c>
      <c r="AG138" s="149">
        <f>Pat.!AF17</f>
        <v>3.7197319196637499</v>
      </c>
      <c r="AH138" s="149">
        <f>Pat.!AG17</f>
        <v>3.5549265056387496</v>
      </c>
      <c r="AI138" s="149">
        <f>Pat.!AH17</f>
        <v>4.4521769651174994</v>
      </c>
      <c r="AJ138" s="149">
        <f>Pat.!AI17</f>
        <v>5.3161185285537496</v>
      </c>
      <c r="AK138" s="149">
        <f>Pat.!AJ17</f>
        <v>6.1446695292750002</v>
      </c>
      <c r="AL138" s="149">
        <f>Pat.!AK17</f>
        <v>6.9353668452899999</v>
      </c>
      <c r="AM138" s="149">
        <f>Pat.!AL17</f>
        <v>7.6855955490937511</v>
      </c>
      <c r="AN138" s="149">
        <f>Pat.!AM17</f>
        <v>8.392828710182501</v>
      </c>
      <c r="AO138" s="149">
        <f>Pat.!AN17</f>
        <v>9.0542220807150002</v>
      </c>
      <c r="AP138" s="149">
        <f>Pat.!AO17</f>
        <v>9.6668864248950008</v>
      </c>
      <c r="AQ138" s="149">
        <f>Pat.!AP17</f>
        <v>10.228189229385002</v>
      </c>
      <c r="AR138" s="149"/>
      <c r="AS138" s="149"/>
    </row>
    <row r="139" spans="1:46" s="150" customFormat="1">
      <c r="A139" s="422">
        <f t="shared" si="40"/>
        <v>137</v>
      </c>
      <c r="B139" s="150" t="s">
        <v>469</v>
      </c>
      <c r="C139" s="149"/>
      <c r="D139" s="149"/>
      <c r="E139" s="149">
        <v>43.840792999999998</v>
      </c>
      <c r="F139" s="526"/>
      <c r="G139" s="149">
        <f>E139+Pat.!F33</f>
        <v>43.840792999999998</v>
      </c>
      <c r="H139" s="149">
        <f>G139+Pat.!G33</f>
        <v>43.52573384604208</v>
      </c>
      <c r="I139" s="149">
        <f>H139+Pat.!H33</f>
        <v>43.52573384604208</v>
      </c>
      <c r="J139" s="149">
        <f>I139+Pat.!I33</f>
        <v>43.52573384604208</v>
      </c>
      <c r="K139" s="149">
        <f>J139+Pat.!J33</f>
        <v>43.206460776042078</v>
      </c>
      <c r="L139" s="149">
        <f>K139+Pat.!K33</f>
        <v>43.206460776042078</v>
      </c>
      <c r="M139" s="149">
        <f>L139+Pat.!L33</f>
        <v>43.206460776042078</v>
      </c>
      <c r="N139" s="149">
        <f>M139+Pat.!M33</f>
        <v>42.882917426042077</v>
      </c>
      <c r="O139" s="149">
        <f>N139+Pat.!N33</f>
        <v>42.882917426042077</v>
      </c>
      <c r="P139" s="149">
        <f>O139+Pat.!O33</f>
        <v>42.882917426042077</v>
      </c>
      <c r="Q139" s="149">
        <f>P139+Pat.!P33</f>
        <v>42.555046686042076</v>
      </c>
      <c r="R139" s="149">
        <f>Q139+Pat.!Q33</f>
        <v>42.555046686042076</v>
      </c>
      <c r="S139" s="526">
        <f t="shared" si="35"/>
        <v>42.555046686042076</v>
      </c>
      <c r="T139" s="149">
        <f>R139+Pat.!S33</f>
        <v>42.555046686042076</v>
      </c>
      <c r="U139" s="149">
        <f>T139+Pat.!T33</f>
        <v>42.222790676042074</v>
      </c>
      <c r="V139" s="149">
        <f>U139+Pat.!U33</f>
        <v>42.222790676042074</v>
      </c>
      <c r="W139" s="149">
        <f>V139+Pat.!V33</f>
        <v>42.222790676042074</v>
      </c>
      <c r="X139" s="149">
        <f>W139+Pat.!W33</f>
        <v>41.886090736042071</v>
      </c>
      <c r="Y139" s="149">
        <f>X139+Pat.!X33</f>
        <v>41.886090736042071</v>
      </c>
      <c r="Z139" s="149">
        <f>Y139+Pat.!Y33</f>
        <v>41.886090736042071</v>
      </c>
      <c r="AA139" s="149">
        <f>Z139+Pat.!Z33</f>
        <v>41.544887436042075</v>
      </c>
      <c r="AB139" s="149">
        <f>AA139+Pat.!AA33</f>
        <v>41.544887436042075</v>
      </c>
      <c r="AC139" s="149">
        <f>AB139+Pat.!AB33</f>
        <v>41.544887436042075</v>
      </c>
      <c r="AD139" s="149">
        <f>AC139+Pat.!AC33</f>
        <v>41.199120546042074</v>
      </c>
      <c r="AE139" s="149">
        <f>AD139+Pat.!AD33</f>
        <v>41.199120546042074</v>
      </c>
      <c r="AF139" s="526">
        <f t="shared" si="36"/>
        <v>41.199120546042074</v>
      </c>
      <c r="AG139" s="149">
        <f>AE139+Pat.!AF33</f>
        <v>39.769183966042071</v>
      </c>
      <c r="AH139" s="149">
        <f>AG139+Pat.!AG33</f>
        <v>38.261197246042073</v>
      </c>
      <c r="AI139" s="149">
        <f>AH139+Pat.!AH33</f>
        <v>36.670900156042073</v>
      </c>
      <c r="AJ139" s="149">
        <f>AI139+Pat.!AI33</f>
        <v>34.993799976042069</v>
      </c>
      <c r="AK139" s="149">
        <f>AJ139+Pat.!AJ33</f>
        <v>33.225158706042066</v>
      </c>
      <c r="AL139" s="149">
        <f>AK139+Pat.!AK33</f>
        <v>31.359979796042065</v>
      </c>
      <c r="AM139" s="149">
        <f>AL139+Pat.!AL33</f>
        <v>29.392993926042067</v>
      </c>
      <c r="AN139" s="149">
        <f>AM139+Pat.!AM33</f>
        <v>27.318644166042066</v>
      </c>
      <c r="AO139" s="149">
        <f>AN139+Pat.!AN33</f>
        <v>25.131070286042068</v>
      </c>
      <c r="AP139" s="149">
        <f>AO139+Pat.!AO33</f>
        <v>22.824092176042068</v>
      </c>
      <c r="AQ139" s="149">
        <f>AP139+Pat.!AP33</f>
        <v>20.391192406042066</v>
      </c>
      <c r="AR139" s="149"/>
      <c r="AS139" s="149"/>
    </row>
    <row r="140" spans="1:46" s="150" customFormat="1">
      <c r="A140" s="422">
        <f t="shared" si="40"/>
        <v>138</v>
      </c>
      <c r="B140" s="150" t="s">
        <v>470</v>
      </c>
      <c r="C140" s="149"/>
      <c r="D140" s="149"/>
      <c r="E140" s="149">
        <v>1.533385E-2</v>
      </c>
      <c r="F140" s="526"/>
      <c r="G140" s="149">
        <f>E140</f>
        <v>1.533385E-2</v>
      </c>
      <c r="H140" s="149">
        <f>G140</f>
        <v>1.533385E-2</v>
      </c>
      <c r="I140" s="149">
        <f t="shared" ref="I140:R140" si="44">H140</f>
        <v>1.533385E-2</v>
      </c>
      <c r="J140" s="149">
        <f t="shared" si="44"/>
        <v>1.533385E-2</v>
      </c>
      <c r="K140" s="149">
        <f t="shared" si="44"/>
        <v>1.533385E-2</v>
      </c>
      <c r="L140" s="149">
        <f t="shared" si="44"/>
        <v>1.533385E-2</v>
      </c>
      <c r="M140" s="149">
        <f t="shared" si="44"/>
        <v>1.533385E-2</v>
      </c>
      <c r="N140" s="149">
        <f t="shared" si="44"/>
        <v>1.533385E-2</v>
      </c>
      <c r="O140" s="149">
        <f t="shared" si="44"/>
        <v>1.533385E-2</v>
      </c>
      <c r="P140" s="149">
        <f t="shared" si="44"/>
        <v>1.533385E-2</v>
      </c>
      <c r="Q140" s="149">
        <f t="shared" si="44"/>
        <v>1.533385E-2</v>
      </c>
      <c r="R140" s="149">
        <f t="shared" si="44"/>
        <v>1.533385E-2</v>
      </c>
      <c r="S140" s="526">
        <f t="shared" si="35"/>
        <v>1.533385E-2</v>
      </c>
      <c r="T140" s="149">
        <f>R140</f>
        <v>1.533385E-2</v>
      </c>
      <c r="U140" s="149">
        <f>T140</f>
        <v>1.533385E-2</v>
      </c>
      <c r="V140" s="149">
        <f t="shared" ref="V140:AE140" si="45">U140</f>
        <v>1.533385E-2</v>
      </c>
      <c r="W140" s="149">
        <f t="shared" si="45"/>
        <v>1.533385E-2</v>
      </c>
      <c r="X140" s="149">
        <f t="shared" si="45"/>
        <v>1.533385E-2</v>
      </c>
      <c r="Y140" s="149">
        <f t="shared" si="45"/>
        <v>1.533385E-2</v>
      </c>
      <c r="Z140" s="149">
        <f t="shared" si="45"/>
        <v>1.533385E-2</v>
      </c>
      <c r="AA140" s="149">
        <f t="shared" si="45"/>
        <v>1.533385E-2</v>
      </c>
      <c r="AB140" s="149">
        <f t="shared" si="45"/>
        <v>1.533385E-2</v>
      </c>
      <c r="AC140" s="149">
        <f t="shared" si="45"/>
        <v>1.533385E-2</v>
      </c>
      <c r="AD140" s="149">
        <f t="shared" si="45"/>
        <v>1.533385E-2</v>
      </c>
      <c r="AE140" s="149">
        <f t="shared" si="45"/>
        <v>1.533385E-2</v>
      </c>
      <c r="AF140" s="526">
        <f t="shared" si="36"/>
        <v>1.533385E-2</v>
      </c>
      <c r="AG140" s="149">
        <f>AE140</f>
        <v>1.533385E-2</v>
      </c>
      <c r="AH140" s="149">
        <f>AG140</f>
        <v>1.533385E-2</v>
      </c>
      <c r="AI140" s="149">
        <f t="shared" ref="AI140:AP140" si="46">AH140</f>
        <v>1.533385E-2</v>
      </c>
      <c r="AJ140" s="149">
        <f t="shared" si="46"/>
        <v>1.533385E-2</v>
      </c>
      <c r="AK140" s="149">
        <f t="shared" si="46"/>
        <v>1.533385E-2</v>
      </c>
      <c r="AL140" s="149">
        <f t="shared" si="46"/>
        <v>1.533385E-2</v>
      </c>
      <c r="AM140" s="149">
        <f t="shared" si="46"/>
        <v>1.533385E-2</v>
      </c>
      <c r="AN140" s="149">
        <f t="shared" si="46"/>
        <v>1.533385E-2</v>
      </c>
      <c r="AO140" s="149">
        <f t="shared" si="46"/>
        <v>1.533385E-2</v>
      </c>
      <c r="AP140" s="149">
        <f t="shared" si="46"/>
        <v>1.533385E-2</v>
      </c>
      <c r="AQ140" s="149">
        <f t="shared" ref="AQ140:AQ141" si="47">AP140</f>
        <v>1.533385E-2</v>
      </c>
      <c r="AR140" s="149"/>
      <c r="AS140" s="149"/>
    </row>
    <row r="141" spans="1:46" s="150" customFormat="1">
      <c r="A141" s="422">
        <f t="shared" si="40"/>
        <v>139</v>
      </c>
      <c r="B141" s="150" t="s">
        <v>471</v>
      </c>
      <c r="C141" s="149"/>
      <c r="D141" s="149"/>
      <c r="E141" s="149">
        <v>1.1108068200000001</v>
      </c>
      <c r="F141" s="526"/>
      <c r="G141" s="149">
        <f>E141</f>
        <v>1.1108068200000001</v>
      </c>
      <c r="H141" s="149">
        <f>G141</f>
        <v>1.1108068200000001</v>
      </c>
      <c r="I141" s="149">
        <f t="shared" ref="I141:R141" si="48">H141</f>
        <v>1.1108068200000001</v>
      </c>
      <c r="J141" s="149">
        <f t="shared" si="48"/>
        <v>1.1108068200000001</v>
      </c>
      <c r="K141" s="149">
        <f t="shared" si="48"/>
        <v>1.1108068200000001</v>
      </c>
      <c r="L141" s="149">
        <f t="shared" si="48"/>
        <v>1.1108068200000001</v>
      </c>
      <c r="M141" s="149">
        <f t="shared" si="48"/>
        <v>1.1108068200000001</v>
      </c>
      <c r="N141" s="149">
        <f t="shared" si="48"/>
        <v>1.1108068200000001</v>
      </c>
      <c r="O141" s="149">
        <f t="shared" si="48"/>
        <v>1.1108068200000001</v>
      </c>
      <c r="P141" s="149">
        <f t="shared" si="48"/>
        <v>1.1108068200000001</v>
      </c>
      <c r="Q141" s="149">
        <f t="shared" si="48"/>
        <v>1.1108068200000001</v>
      </c>
      <c r="R141" s="149">
        <f t="shared" si="48"/>
        <v>1.1108068200000001</v>
      </c>
      <c r="S141" s="526">
        <f t="shared" si="35"/>
        <v>1.1108068200000001</v>
      </c>
      <c r="T141" s="149">
        <f>R141</f>
        <v>1.1108068200000001</v>
      </c>
      <c r="U141" s="149">
        <f>T141</f>
        <v>1.1108068200000001</v>
      </c>
      <c r="V141" s="149">
        <f t="shared" ref="V141:AE141" si="49">U141</f>
        <v>1.1108068200000001</v>
      </c>
      <c r="W141" s="149">
        <f t="shared" si="49"/>
        <v>1.1108068200000001</v>
      </c>
      <c r="X141" s="149">
        <f t="shared" si="49"/>
        <v>1.1108068200000001</v>
      </c>
      <c r="Y141" s="149">
        <f t="shared" si="49"/>
        <v>1.1108068200000001</v>
      </c>
      <c r="Z141" s="149">
        <f t="shared" si="49"/>
        <v>1.1108068200000001</v>
      </c>
      <c r="AA141" s="149">
        <f t="shared" si="49"/>
        <v>1.1108068200000001</v>
      </c>
      <c r="AB141" s="149">
        <f t="shared" si="49"/>
        <v>1.1108068200000001</v>
      </c>
      <c r="AC141" s="149">
        <f t="shared" si="49"/>
        <v>1.1108068200000001</v>
      </c>
      <c r="AD141" s="149">
        <f t="shared" si="49"/>
        <v>1.1108068200000001</v>
      </c>
      <c r="AE141" s="149">
        <f t="shared" si="49"/>
        <v>1.1108068200000001</v>
      </c>
      <c r="AF141" s="526">
        <f t="shared" si="36"/>
        <v>1.1108068200000001</v>
      </c>
      <c r="AG141" s="149">
        <f>AE141</f>
        <v>1.1108068200000001</v>
      </c>
      <c r="AH141" s="149">
        <f>AG141</f>
        <v>1.1108068200000001</v>
      </c>
      <c r="AI141" s="149">
        <f t="shared" ref="AI141:AP141" si="50">AH141</f>
        <v>1.1108068200000001</v>
      </c>
      <c r="AJ141" s="149">
        <f t="shared" si="50"/>
        <v>1.1108068200000001</v>
      </c>
      <c r="AK141" s="149">
        <f t="shared" si="50"/>
        <v>1.1108068200000001</v>
      </c>
      <c r="AL141" s="149">
        <f t="shared" si="50"/>
        <v>1.1108068200000001</v>
      </c>
      <c r="AM141" s="149">
        <f t="shared" si="50"/>
        <v>1.1108068200000001</v>
      </c>
      <c r="AN141" s="149">
        <f t="shared" si="50"/>
        <v>1.1108068200000001</v>
      </c>
      <c r="AO141" s="149">
        <f t="shared" si="50"/>
        <v>1.1108068200000001</v>
      </c>
      <c r="AP141" s="149">
        <f t="shared" si="50"/>
        <v>1.1108068200000001</v>
      </c>
      <c r="AQ141" s="149">
        <f t="shared" si="47"/>
        <v>1.1108068200000001</v>
      </c>
      <c r="AR141" s="149"/>
      <c r="AS141" s="149"/>
    </row>
    <row r="142" spans="1:46" s="150" customFormat="1">
      <c r="A142" s="422">
        <f t="shared" si="40"/>
        <v>140</v>
      </c>
      <c r="B142" s="150" t="s">
        <v>676</v>
      </c>
      <c r="C142" s="149"/>
      <c r="D142" s="149"/>
      <c r="E142" s="149">
        <f>Interest!K11</f>
        <v>35.00869994</v>
      </c>
      <c r="F142" s="526"/>
      <c r="G142" s="149">
        <f>Interest!M11</f>
        <v>35.017619964916221</v>
      </c>
      <c r="H142" s="149">
        <f>Interest!N11</f>
        <v>35.025678814442394</v>
      </c>
      <c r="I142" s="149">
        <f>Interest!O11</f>
        <v>35.034603165482785</v>
      </c>
      <c r="J142" s="149">
        <f>Interest!P11</f>
        <v>35.043241834756465</v>
      </c>
      <c r="K142" s="149">
        <f>Interest!Q11</f>
        <v>35.0521706607582</v>
      </c>
      <c r="L142" s="149">
        <f>Interest!R11</f>
        <v>35.060813661743047</v>
      </c>
      <c r="M142" s="149">
        <f>Interest!S11</f>
        <v>35.069746964950014</v>
      </c>
      <c r="N142" s="149">
        <f>Interest!T11</f>
        <v>35.078682544313686</v>
      </c>
      <c r="O142" s="149">
        <f>Interest!U11</f>
        <v>35.087332082475299</v>
      </c>
      <c r="P142" s="149">
        <f>Interest!V11</f>
        <v>35.096272142430557</v>
      </c>
      <c r="Q142" s="149">
        <f>Interest!W11</f>
        <v>35.10492601775335</v>
      </c>
      <c r="R142" s="149">
        <f>Interest!X11</f>
        <v>35.113870560546914</v>
      </c>
      <c r="S142" s="526">
        <f t="shared" si="35"/>
        <v>35.113870560546914</v>
      </c>
      <c r="T142" s="149">
        <f>Interest!Z11</f>
        <v>35.122817382360971</v>
      </c>
      <c r="U142" s="149">
        <f>Interest!AA11</f>
        <v>35.130900441703758</v>
      </c>
      <c r="V142" s="149">
        <f>Interest!AB11</f>
        <v>35.139851602638217</v>
      </c>
      <c r="W142" s="149">
        <f>Interest!AC11</f>
        <v>35.148516223581332</v>
      </c>
      <c r="X142" s="149">
        <f>Interest!AD11</f>
        <v>35.157471872920489</v>
      </c>
      <c r="Y142" s="149">
        <f>Interest!AE11</f>
        <v>35.166140838587786</v>
      </c>
      <c r="Z142" s="149">
        <f>Interest!AF11</f>
        <v>35.175100978582279</v>
      </c>
      <c r="AA142" s="149">
        <f>Interest!AG11</f>
        <v>35.184063401571343</v>
      </c>
      <c r="AB142" s="149">
        <f>Interest!AH11</f>
        <v>35.19273892405392</v>
      </c>
      <c r="AC142" s="149">
        <f>Interest!AI11</f>
        <v>35.201705841094842</v>
      </c>
      <c r="AD142" s="149">
        <f>Interest!AJ11</f>
        <v>35.210385713767991</v>
      </c>
      <c r="AE142" s="149">
        <f>Interest!AK11</f>
        <v>35.219357127114236</v>
      </c>
      <c r="AF142" s="526">
        <f t="shared" si="36"/>
        <v>35.219357127114236</v>
      </c>
      <c r="AG142" s="149">
        <f>Interest!AM11</f>
        <v>35.325015198495578</v>
      </c>
      <c r="AH142" s="149">
        <f>Interest!AN11</f>
        <v>35.430990244091063</v>
      </c>
      <c r="AI142" s="149">
        <f>Interest!AO11</f>
        <v>35.53728321482334</v>
      </c>
      <c r="AJ142" s="149">
        <f>Interest!AP11</f>
        <v>35.643895064467813</v>
      </c>
      <c r="AK142" s="149">
        <f>Interest!AQ11</f>
        <v>35.750826749661215</v>
      </c>
      <c r="AL142" s="149">
        <f>Interest!AR11</f>
        <v>35.858079229910196</v>
      </c>
      <c r="AM142" s="149">
        <f>Interest!AS11</f>
        <v>35.965653467599928</v>
      </c>
      <c r="AN142" s="149">
        <f>Interest!AT11</f>
        <v>36.073550428002726</v>
      </c>
      <c r="AO142" s="149">
        <f>Interest!AU11</f>
        <v>36.181771079286733</v>
      </c>
      <c r="AP142" s="149">
        <f>Interest!AV11</f>
        <v>36.290316392524595</v>
      </c>
      <c r="AQ142" s="149">
        <f>Interest!AW11</f>
        <v>36.399187341702167</v>
      </c>
      <c r="AR142" s="149"/>
      <c r="AS142" s="149"/>
    </row>
    <row r="143" spans="1:46" s="150" customFormat="1">
      <c r="A143" s="422">
        <f t="shared" si="40"/>
        <v>141</v>
      </c>
      <c r="B143" s="150" t="s">
        <v>677</v>
      </c>
      <c r="C143" s="149"/>
      <c r="D143" s="149"/>
      <c r="E143" s="149">
        <f>Rates!K149</f>
        <v>80.510928620000001</v>
      </c>
      <c r="F143" s="526"/>
      <c r="G143" s="149">
        <f>Rates!M149</f>
        <v>78.090167091310121</v>
      </c>
      <c r="H143" s="149">
        <f>Rates!N149</f>
        <v>76.038305328715069</v>
      </c>
      <c r="I143" s="149">
        <f>Rates!O149</f>
        <v>74.225137557300442</v>
      </c>
      <c r="J143" s="149">
        <f>Rates!P149</f>
        <v>72.90798061882623</v>
      </c>
      <c r="K143" s="149">
        <f>Rates!Q149</f>
        <v>71.370701820614428</v>
      </c>
      <c r="L143" s="149">
        <f>Rates!R149</f>
        <v>69.20187561119279</v>
      </c>
      <c r="M143" s="149">
        <f>Rates!S149</f>
        <v>66.879438458100651</v>
      </c>
      <c r="N143" s="149">
        <f>Rates!T149</f>
        <v>64.373776497163007</v>
      </c>
      <c r="O143" s="149">
        <f>Rates!U149</f>
        <v>61.846068495837763</v>
      </c>
      <c r="P143" s="149">
        <f>Rates!V149</f>
        <v>59.701931749953538</v>
      </c>
      <c r="Q143" s="149">
        <f>Rates!W149</f>
        <v>57.328068336608247</v>
      </c>
      <c r="R143" s="149">
        <f>Rates!X149</f>
        <v>54.246955986803989</v>
      </c>
      <c r="S143" s="526">
        <f t="shared" si="35"/>
        <v>54.246955986803989</v>
      </c>
      <c r="T143" s="149">
        <f>Rates!Z149</f>
        <v>50.908687579378068</v>
      </c>
      <c r="U143" s="149">
        <f>Rates!AA149</f>
        <v>47.996227094064579</v>
      </c>
      <c r="V143" s="149">
        <f>Rates!AB149</f>
        <v>45.314509916722507</v>
      </c>
      <c r="W143" s="149">
        <f>Rates!AC149</f>
        <v>43.045165452343106</v>
      </c>
      <c r="X143" s="149">
        <f>Rates!AD149</f>
        <v>40.532780812020313</v>
      </c>
      <c r="Y143" s="149">
        <f>Rates!AE149</f>
        <v>37.326351602623895</v>
      </c>
      <c r="Z143" s="149">
        <f>Rates!AF149</f>
        <v>34.416740239485989</v>
      </c>
      <c r="AA143" s="149">
        <f>Rates!AG149</f>
        <v>31.354108761940946</v>
      </c>
      <c r="AB143" s="149">
        <f>Rates!AH149</f>
        <v>28.768234545919078</v>
      </c>
      <c r="AC143" s="149">
        <f>Rates!AI149</f>
        <v>26.617480913344984</v>
      </c>
      <c r="AD143" s="149">
        <f>Rates!AJ149</f>
        <v>24.265213809080784</v>
      </c>
      <c r="AE143" s="149">
        <f>Rates!AK149</f>
        <v>21.267143334747672</v>
      </c>
      <c r="AF143" s="526">
        <f t="shared" si="36"/>
        <v>21.267143334747672</v>
      </c>
      <c r="AG143" s="149">
        <f>Rates!AM149</f>
        <v>0</v>
      </c>
      <c r="AH143" s="149">
        <f>Rates!AN149</f>
        <v>0</v>
      </c>
      <c r="AI143" s="149">
        <f>Rates!AO149</f>
        <v>0</v>
      </c>
      <c r="AJ143" s="149">
        <f>Rates!AP149</f>
        <v>0</v>
      </c>
      <c r="AK143" s="149">
        <f>Rates!AQ149</f>
        <v>0</v>
      </c>
      <c r="AL143" s="149">
        <f>Rates!AR149</f>
        <v>0</v>
      </c>
      <c r="AM143" s="149">
        <f>Rates!AS149</f>
        <v>0</v>
      </c>
      <c r="AN143" s="149">
        <f>Rates!AT149</f>
        <v>0</v>
      </c>
      <c r="AO143" s="149">
        <f>Rates!AU149</f>
        <v>0</v>
      </c>
      <c r="AP143" s="149">
        <f>Rates!AV149</f>
        <v>0</v>
      </c>
      <c r="AQ143" s="149">
        <f>Rates!AW149</f>
        <v>0</v>
      </c>
      <c r="AR143" s="149"/>
      <c r="AS143" s="149"/>
    </row>
    <row r="144" spans="1:46" s="150" customFormat="1">
      <c r="A144" s="422">
        <f t="shared" si="40"/>
        <v>142</v>
      </c>
      <c r="B144" s="150" t="s">
        <v>679</v>
      </c>
      <c r="C144" s="156"/>
      <c r="D144" s="156"/>
      <c r="E144" s="156">
        <f>Rates!K159</f>
        <v>64.003003169999999</v>
      </c>
      <c r="F144" s="528"/>
      <c r="G144" s="156">
        <f>Rates!M159</f>
        <v>64.10302320563882</v>
      </c>
      <c r="H144" s="156">
        <f>Rates!N159</f>
        <v>64.193505061955378</v>
      </c>
      <c r="I144" s="156">
        <f>Rates!O159</f>
        <v>64.29382280246864</v>
      </c>
      <c r="J144" s="156">
        <f>Rates!P159</f>
        <v>64.391056200241138</v>
      </c>
      <c r="K144" s="156">
        <f>Rates!Q159</f>
        <v>64.49168266176612</v>
      </c>
      <c r="L144" s="156">
        <f>Rates!R159</f>
        <v>64.589215288695698</v>
      </c>
      <c r="M144" s="156">
        <f>Rates!S159</f>
        <v>64.690151421300286</v>
      </c>
      <c r="N144" s="156">
        <f>Rates!T159</f>
        <v>64.791245290809073</v>
      </c>
      <c r="O144" s="156">
        <f>Rates!U159</f>
        <v>64.889230954920109</v>
      </c>
      <c r="P144" s="156">
        <f>Rates!V159</f>
        <v>64.990635933924736</v>
      </c>
      <c r="Q144" s="156">
        <f>Rates!W159</f>
        <v>65.088923142241242</v>
      </c>
      <c r="R144" s="156">
        <f>Rates!X159</f>
        <v>65.190640188159961</v>
      </c>
      <c r="S144" s="528">
        <f t="shared" si="35"/>
        <v>65.190640188159961</v>
      </c>
      <c r="T144" s="156">
        <f>Rates!Z159</f>
        <v>65.292516191347161</v>
      </c>
      <c r="U144" s="156">
        <f>Rates!AA159</f>
        <v>65.384677025160258</v>
      </c>
      <c r="V144" s="156">
        <f>Rates!AB159</f>
        <v>65.486856257420953</v>
      </c>
      <c r="W144" s="156">
        <f>Rates!AC159</f>
        <v>65.585893914007514</v>
      </c>
      <c r="X144" s="156">
        <f>Rates!AD159</f>
        <v>65.688387595893957</v>
      </c>
      <c r="Y144" s="156">
        <f>Rates!AE159</f>
        <v>65.787730034121168</v>
      </c>
      <c r="Z144" s="156">
        <f>Rates!AF159</f>
        <v>65.890539133330648</v>
      </c>
      <c r="AA144" s="156">
        <f>Rates!AG159</f>
        <v>65.993508896403668</v>
      </c>
      <c r="AB144" s="156">
        <f>Rates!AH159</f>
        <v>66.093312778351105</v>
      </c>
      <c r="AC144" s="156">
        <f>Rates!AI159</f>
        <v>66.196599423854593</v>
      </c>
      <c r="AD144" s="156">
        <f>Rates!AJ159</f>
        <v>66.296710445449023</v>
      </c>
      <c r="AE144" s="156">
        <f>Rates!AK159</f>
        <v>66.400314948567058</v>
      </c>
      <c r="AF144" s="528">
        <f t="shared" si="36"/>
        <v>66.400314948567058</v>
      </c>
      <c r="AG144" s="156">
        <f>Rates!AM159</f>
        <v>55.541797744363286</v>
      </c>
      <c r="AH144" s="156">
        <f>Rates!AN159</f>
        <v>26.517347636553719</v>
      </c>
      <c r="AI144" s="156">
        <f>Rates!AO159</f>
        <v>0</v>
      </c>
      <c r="AJ144" s="156">
        <f>Rates!AP159</f>
        <v>0</v>
      </c>
      <c r="AK144" s="156">
        <f>Rates!AQ159</f>
        <v>0</v>
      </c>
      <c r="AL144" s="156">
        <f>Rates!AR159</f>
        <v>0</v>
      </c>
      <c r="AM144" s="156">
        <f>Rates!AS159</f>
        <v>0</v>
      </c>
      <c r="AN144" s="156">
        <f>Rates!AT159</f>
        <v>0</v>
      </c>
      <c r="AO144" s="156">
        <f>Rates!AU159</f>
        <v>0</v>
      </c>
      <c r="AP144" s="156">
        <f>Rates!AV159</f>
        <v>0</v>
      </c>
      <c r="AQ144" s="156">
        <f>Rates!AW159</f>
        <v>0</v>
      </c>
      <c r="AR144" s="149"/>
      <c r="AS144" s="149"/>
    </row>
    <row r="145" spans="1:45" s="150" customFormat="1" ht="15.75">
      <c r="A145" s="422">
        <f t="shared" si="40"/>
        <v>143</v>
      </c>
      <c r="B145" s="158" t="s">
        <v>472</v>
      </c>
      <c r="C145" s="149"/>
      <c r="D145" s="149"/>
      <c r="E145" s="149">
        <f>SUM(E138:E144)</f>
        <v>228.17247791</v>
      </c>
      <c r="F145" s="526"/>
      <c r="G145" s="149">
        <f>SUM(G137:G144)</f>
        <v>225.86065644186516</v>
      </c>
      <c r="H145" s="149">
        <f t="shared" ref="H145:R145" si="51">SUM(H137:H144)</f>
        <v>223.59227623115493</v>
      </c>
      <c r="I145" s="149">
        <f t="shared" si="51"/>
        <v>222.3508202376002</v>
      </c>
      <c r="J145" s="149">
        <f t="shared" si="51"/>
        <v>221.14828536617216</v>
      </c>
      <c r="K145" s="149">
        <f t="shared" si="51"/>
        <v>219.40128878548705</v>
      </c>
      <c r="L145" s="149">
        <f t="shared" si="51"/>
        <v>217.33863820397988</v>
      </c>
      <c r="M145" s="149">
        <f t="shared" si="51"/>
        <v>215.12607048669929</v>
      </c>
      <c r="N145" s="149">
        <f t="shared" si="51"/>
        <v>212.40929462463407</v>
      </c>
      <c r="O145" s="149">
        <f t="shared" si="51"/>
        <v>209.98822182558149</v>
      </c>
      <c r="P145" s="149">
        <f t="shared" si="51"/>
        <v>207.95443011865717</v>
      </c>
      <c r="Q145" s="149">
        <f t="shared" si="51"/>
        <v>205.35963704895116</v>
      </c>
      <c r="R145" s="149">
        <f t="shared" si="51"/>
        <v>202.38918628785919</v>
      </c>
      <c r="S145" s="526">
        <f t="shared" si="35"/>
        <v>202.38918628785919</v>
      </c>
      <c r="T145" s="149">
        <f>SUM(T137:T144)</f>
        <v>199.16174070543451</v>
      </c>
      <c r="U145" s="149">
        <f t="shared" ref="U145:AE145" si="52">SUM(U137:U144)</f>
        <v>196.01726810327693</v>
      </c>
      <c r="V145" s="149">
        <f t="shared" si="52"/>
        <v>193.60816691280999</v>
      </c>
      <c r="W145" s="149">
        <f t="shared" si="52"/>
        <v>191.44652472596027</v>
      </c>
      <c r="X145" s="149">
        <f t="shared" si="52"/>
        <v>188.70888947686308</v>
      </c>
      <c r="Y145" s="149">
        <f t="shared" si="52"/>
        <v>185.61047167136115</v>
      </c>
      <c r="Z145" s="149">
        <f t="shared" si="52"/>
        <v>182.81262954742724</v>
      </c>
      <c r="AA145" s="149">
        <f t="shared" si="52"/>
        <v>179.52072695594427</v>
      </c>
      <c r="AB145" s="149">
        <f t="shared" si="52"/>
        <v>177.04333214435243</v>
      </c>
      <c r="AC145" s="149">
        <f t="shared" si="52"/>
        <v>175.00483207432274</v>
      </c>
      <c r="AD145" s="149">
        <f t="shared" si="52"/>
        <v>172.41558897432611</v>
      </c>
      <c r="AE145" s="149">
        <f t="shared" si="52"/>
        <v>169.5300944164573</v>
      </c>
      <c r="AF145" s="526">
        <f t="shared" si="36"/>
        <v>169.5300944164573</v>
      </c>
      <c r="AG145" s="149">
        <f>SUM(AG137:AG144)</f>
        <v>135.48186949856469</v>
      </c>
      <c r="AH145" s="149">
        <f t="shared" ref="AH145:AQ145" si="53">SUM(AH137:AH144)</f>
        <v>104.8906023023256</v>
      </c>
      <c r="AI145" s="149">
        <f t="shared" si="53"/>
        <v>77.786501005982913</v>
      </c>
      <c r="AJ145" s="149">
        <f t="shared" si="53"/>
        <v>77.079954239063625</v>
      </c>
      <c r="AK145" s="149">
        <f t="shared" si="53"/>
        <v>76.246795654978285</v>
      </c>
      <c r="AL145" s="149">
        <f t="shared" si="53"/>
        <v>75.279566541242261</v>
      </c>
      <c r="AM145" s="149">
        <f t="shared" si="53"/>
        <v>74.170383612735748</v>
      </c>
      <c r="AN145" s="149">
        <f t="shared" si="53"/>
        <v>72.911163974227293</v>
      </c>
      <c r="AO145" s="149">
        <f t="shared" si="53"/>
        <v>71.493204116043799</v>
      </c>
      <c r="AP145" s="149">
        <f t="shared" si="53"/>
        <v>69.907435663461655</v>
      </c>
      <c r="AQ145" s="149">
        <f t="shared" si="53"/>
        <v>68.144709647129233</v>
      </c>
      <c r="AR145" s="149"/>
      <c r="AS145" s="149"/>
    </row>
    <row r="146" spans="1:45" s="150" customFormat="1" ht="15.75">
      <c r="A146" s="422">
        <f t="shared" si="40"/>
        <v>144</v>
      </c>
      <c r="B146" s="158"/>
      <c r="C146" s="149"/>
      <c r="D146" s="149"/>
      <c r="E146" s="149"/>
      <c r="F146" s="526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526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526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</row>
    <row r="147" spans="1:45" s="150" customFormat="1">
      <c r="A147" s="422">
        <f t="shared" si="40"/>
        <v>145</v>
      </c>
      <c r="B147" s="150" t="s">
        <v>473</v>
      </c>
      <c r="C147" s="149"/>
      <c r="D147" s="149"/>
      <c r="E147" s="149">
        <v>7.3112799999999999E-3</v>
      </c>
      <c r="F147" s="620"/>
      <c r="G147" s="149">
        <f>E147</f>
        <v>7.3112799999999999E-3</v>
      </c>
      <c r="H147" s="149">
        <f>G147</f>
        <v>7.3112799999999999E-3</v>
      </c>
      <c r="I147" s="149">
        <f t="shared" ref="I147:R147" si="54">H147</f>
        <v>7.3112799999999999E-3</v>
      </c>
      <c r="J147" s="149">
        <f t="shared" si="54"/>
        <v>7.3112799999999999E-3</v>
      </c>
      <c r="K147" s="149">
        <f t="shared" si="54"/>
        <v>7.3112799999999999E-3</v>
      </c>
      <c r="L147" s="149">
        <f t="shared" si="54"/>
        <v>7.3112799999999999E-3</v>
      </c>
      <c r="M147" s="149">
        <f t="shared" si="54"/>
        <v>7.3112799999999999E-3</v>
      </c>
      <c r="N147" s="149">
        <f t="shared" si="54"/>
        <v>7.3112799999999999E-3</v>
      </c>
      <c r="O147" s="149">
        <f t="shared" si="54"/>
        <v>7.3112799999999999E-3</v>
      </c>
      <c r="P147" s="149">
        <f t="shared" si="54"/>
        <v>7.3112799999999999E-3</v>
      </c>
      <c r="Q147" s="149">
        <f t="shared" si="54"/>
        <v>7.3112799999999999E-3</v>
      </c>
      <c r="R147" s="436">
        <f t="shared" si="54"/>
        <v>7.3112799999999999E-3</v>
      </c>
      <c r="S147" s="526">
        <f t="shared" si="35"/>
        <v>7.3112799999999999E-3</v>
      </c>
      <c r="T147" s="149">
        <f>R147</f>
        <v>7.3112799999999999E-3</v>
      </c>
      <c r="U147" s="149">
        <f>T147</f>
        <v>7.3112799999999999E-3</v>
      </c>
      <c r="V147" s="149">
        <f t="shared" ref="V147:AE147" si="55">U147</f>
        <v>7.3112799999999999E-3</v>
      </c>
      <c r="W147" s="149">
        <f t="shared" si="55"/>
        <v>7.3112799999999999E-3</v>
      </c>
      <c r="X147" s="149">
        <f t="shared" si="55"/>
        <v>7.3112799999999999E-3</v>
      </c>
      <c r="Y147" s="149">
        <f t="shared" si="55"/>
        <v>7.3112799999999999E-3</v>
      </c>
      <c r="Z147" s="149">
        <f t="shared" si="55"/>
        <v>7.3112799999999999E-3</v>
      </c>
      <c r="AA147" s="149">
        <f t="shared" si="55"/>
        <v>7.3112799999999999E-3</v>
      </c>
      <c r="AB147" s="149">
        <f t="shared" si="55"/>
        <v>7.3112799999999999E-3</v>
      </c>
      <c r="AC147" s="149">
        <f t="shared" si="55"/>
        <v>7.3112799999999999E-3</v>
      </c>
      <c r="AD147" s="149">
        <f t="shared" si="55"/>
        <v>7.3112799999999999E-3</v>
      </c>
      <c r="AE147" s="149">
        <f t="shared" si="55"/>
        <v>7.3112799999999999E-3</v>
      </c>
      <c r="AF147" s="526">
        <f t="shared" si="36"/>
        <v>7.3112799999999999E-3</v>
      </c>
      <c r="AG147" s="149">
        <f>AE147</f>
        <v>7.3112799999999999E-3</v>
      </c>
      <c r="AH147" s="149">
        <f>AG147</f>
        <v>7.3112799999999999E-3</v>
      </c>
      <c r="AI147" s="149">
        <f t="shared" ref="AI147:AP147" si="56">AH147</f>
        <v>7.3112799999999999E-3</v>
      </c>
      <c r="AJ147" s="149">
        <f t="shared" si="56"/>
        <v>7.3112799999999999E-3</v>
      </c>
      <c r="AK147" s="149">
        <f t="shared" si="56"/>
        <v>7.3112799999999999E-3</v>
      </c>
      <c r="AL147" s="149">
        <f t="shared" si="56"/>
        <v>7.3112799999999999E-3</v>
      </c>
      <c r="AM147" s="149">
        <f t="shared" si="56"/>
        <v>7.3112799999999999E-3</v>
      </c>
      <c r="AN147" s="149">
        <f t="shared" si="56"/>
        <v>7.3112799999999999E-3</v>
      </c>
      <c r="AO147" s="149">
        <f t="shared" si="56"/>
        <v>7.3112799999999999E-3</v>
      </c>
      <c r="AP147" s="149">
        <f t="shared" si="56"/>
        <v>7.3112799999999999E-3</v>
      </c>
      <c r="AQ147" s="149">
        <f>AP147</f>
        <v>7.3112799999999999E-3</v>
      </c>
      <c r="AR147" s="149"/>
      <c r="AS147" s="149"/>
    </row>
    <row r="148" spans="1:45" s="150" customFormat="1">
      <c r="A148" s="422">
        <f t="shared" si="40"/>
        <v>146</v>
      </c>
      <c r="B148" s="150" t="s">
        <v>474</v>
      </c>
      <c r="C148" s="149"/>
      <c r="D148" s="149"/>
      <c r="E148" s="149"/>
      <c r="F148" s="526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526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526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</row>
    <row r="149" spans="1:45" s="150" customFormat="1">
      <c r="A149" s="422">
        <f t="shared" si="40"/>
        <v>147</v>
      </c>
      <c r="B149" s="150" t="s">
        <v>475</v>
      </c>
      <c r="C149" s="149"/>
      <c r="D149" s="149"/>
      <c r="E149" s="149">
        <v>0.59848643000000001</v>
      </c>
      <c r="F149" s="526"/>
      <c r="G149" s="149">
        <f>E149</f>
        <v>0.59848643000000001</v>
      </c>
      <c r="H149" s="149">
        <f>G149</f>
        <v>0.59848643000000001</v>
      </c>
      <c r="I149" s="149">
        <f t="shared" ref="I149:R149" si="57">H149</f>
        <v>0.59848643000000001</v>
      </c>
      <c r="J149" s="149">
        <f t="shared" si="57"/>
        <v>0.59848643000000001</v>
      </c>
      <c r="K149" s="149">
        <f t="shared" si="57"/>
        <v>0.59848643000000001</v>
      </c>
      <c r="L149" s="149">
        <f t="shared" si="57"/>
        <v>0.59848643000000001</v>
      </c>
      <c r="M149" s="149">
        <f t="shared" si="57"/>
        <v>0.59848643000000001</v>
      </c>
      <c r="N149" s="149">
        <f t="shared" si="57"/>
        <v>0.59848643000000001</v>
      </c>
      <c r="O149" s="149">
        <f t="shared" si="57"/>
        <v>0.59848643000000001</v>
      </c>
      <c r="P149" s="149">
        <f t="shared" si="57"/>
        <v>0.59848643000000001</v>
      </c>
      <c r="Q149" s="149">
        <f t="shared" si="57"/>
        <v>0.59848643000000001</v>
      </c>
      <c r="R149" s="149">
        <f t="shared" si="57"/>
        <v>0.59848643000000001</v>
      </c>
      <c r="S149" s="526">
        <f t="shared" si="35"/>
        <v>0.59848643000000001</v>
      </c>
      <c r="T149" s="149">
        <f>R149</f>
        <v>0.59848643000000001</v>
      </c>
      <c r="U149" s="149">
        <f>T149</f>
        <v>0.59848643000000001</v>
      </c>
      <c r="V149" s="149">
        <f t="shared" ref="V149:AE149" si="58">U149</f>
        <v>0.59848643000000001</v>
      </c>
      <c r="W149" s="149">
        <f t="shared" si="58"/>
        <v>0.59848643000000001</v>
      </c>
      <c r="X149" s="149">
        <f t="shared" si="58"/>
        <v>0.59848643000000001</v>
      </c>
      <c r="Y149" s="149">
        <f t="shared" si="58"/>
        <v>0.59848643000000001</v>
      </c>
      <c r="Z149" s="149">
        <f t="shared" si="58"/>
        <v>0.59848643000000001</v>
      </c>
      <c r="AA149" s="149">
        <f t="shared" si="58"/>
        <v>0.59848643000000001</v>
      </c>
      <c r="AB149" s="149">
        <f t="shared" si="58"/>
        <v>0.59848643000000001</v>
      </c>
      <c r="AC149" s="149">
        <f t="shared" si="58"/>
        <v>0.59848643000000001</v>
      </c>
      <c r="AD149" s="149">
        <f t="shared" si="58"/>
        <v>0.59848643000000001</v>
      </c>
      <c r="AE149" s="149">
        <f t="shared" si="58"/>
        <v>0.59848643000000001</v>
      </c>
      <c r="AF149" s="526">
        <f t="shared" si="36"/>
        <v>0.59848643000000001</v>
      </c>
      <c r="AG149" s="149">
        <f>AE149</f>
        <v>0.59848643000000001</v>
      </c>
      <c r="AH149" s="149">
        <f>AG149</f>
        <v>0.59848643000000001</v>
      </c>
      <c r="AI149" s="149">
        <f t="shared" ref="AI149:AP149" si="59">AH149</f>
        <v>0.59848643000000001</v>
      </c>
      <c r="AJ149" s="149">
        <f t="shared" si="59"/>
        <v>0.59848643000000001</v>
      </c>
      <c r="AK149" s="149">
        <f t="shared" si="59"/>
        <v>0.59848643000000001</v>
      </c>
      <c r="AL149" s="149">
        <f t="shared" si="59"/>
        <v>0.59848643000000001</v>
      </c>
      <c r="AM149" s="149">
        <f t="shared" si="59"/>
        <v>0.59848643000000001</v>
      </c>
      <c r="AN149" s="149">
        <f t="shared" si="59"/>
        <v>0.59848643000000001</v>
      </c>
      <c r="AO149" s="149">
        <f t="shared" si="59"/>
        <v>0.59848643000000001</v>
      </c>
      <c r="AP149" s="149">
        <f t="shared" si="59"/>
        <v>0.59848643000000001</v>
      </c>
      <c r="AQ149" s="149">
        <f>AP149</f>
        <v>0.59848643000000001</v>
      </c>
      <c r="AR149" s="149"/>
      <c r="AS149" s="149"/>
    </row>
    <row r="150" spans="1:45" s="150" customFormat="1">
      <c r="A150" s="422">
        <f t="shared" si="40"/>
        <v>148</v>
      </c>
      <c r="B150" s="573" t="s">
        <v>476</v>
      </c>
      <c r="C150" s="149"/>
      <c r="D150" s="149"/>
      <c r="E150" s="149">
        <v>110.16543623</v>
      </c>
      <c r="F150" s="526"/>
      <c r="G150" s="149">
        <f>G249-G142-G147</f>
        <v>105.84939377196017</v>
      </c>
      <c r="H150" s="149">
        <f t="shared" ref="H150:AP150" si="60">H249-H142-H147</f>
        <v>108.24741707472988</v>
      </c>
      <c r="I150" s="149">
        <f t="shared" si="60"/>
        <v>112.42744622628796</v>
      </c>
      <c r="J150" s="149">
        <f t="shared" si="60"/>
        <v>111.92960665940673</v>
      </c>
      <c r="K150" s="149">
        <f t="shared" si="60"/>
        <v>100.17640734565195</v>
      </c>
      <c r="L150" s="149">
        <f t="shared" si="60"/>
        <v>100.07197963027004</v>
      </c>
      <c r="M150" s="149">
        <f t="shared" si="60"/>
        <v>98.327127470624035</v>
      </c>
      <c r="N150" s="149">
        <f t="shared" si="60"/>
        <v>92.131629185000278</v>
      </c>
      <c r="O150" s="149">
        <f t="shared" si="60"/>
        <v>112.33748060615497</v>
      </c>
      <c r="P150" s="149">
        <f t="shared" si="60"/>
        <v>104.1172182019866</v>
      </c>
      <c r="Q150" s="149">
        <f t="shared" si="60"/>
        <v>93.311575880216097</v>
      </c>
      <c r="R150" s="149">
        <f>R249-R142-R147</f>
        <v>81.013919528534885</v>
      </c>
      <c r="S150" s="526">
        <f t="shared" si="35"/>
        <v>81.013919528534885</v>
      </c>
      <c r="T150" s="149">
        <f t="shared" si="60"/>
        <v>92.998507617811001</v>
      </c>
      <c r="U150" s="149">
        <f t="shared" si="60"/>
        <v>94.939502394089487</v>
      </c>
      <c r="V150" s="149">
        <f t="shared" si="60"/>
        <v>104.65211665915294</v>
      </c>
      <c r="W150" s="149">
        <f t="shared" si="60"/>
        <v>90.655679300861308</v>
      </c>
      <c r="X150" s="149">
        <f t="shared" si="60"/>
        <v>70.641296179967028</v>
      </c>
      <c r="Y150" s="149">
        <f t="shared" si="60"/>
        <v>67.104862825925593</v>
      </c>
      <c r="Z150" s="149">
        <f t="shared" si="60"/>
        <v>71.488310841143289</v>
      </c>
      <c r="AA150" s="149">
        <f t="shared" si="60"/>
        <v>71.260077629611501</v>
      </c>
      <c r="AB150" s="149">
        <f t="shared" si="60"/>
        <v>79.131605228125593</v>
      </c>
      <c r="AC150" s="149">
        <f t="shared" si="60"/>
        <v>82.561722800906253</v>
      </c>
      <c r="AD150" s="149">
        <f t="shared" si="60"/>
        <v>82.84489789833242</v>
      </c>
      <c r="AE150" s="149">
        <f t="shared" si="60"/>
        <v>79.18292410508549</v>
      </c>
      <c r="AF150" s="526">
        <f t="shared" si="36"/>
        <v>79.18292410508549</v>
      </c>
      <c r="AG150" s="149">
        <f t="shared" si="60"/>
        <v>80.936025408638741</v>
      </c>
      <c r="AH150" s="149">
        <f t="shared" si="60"/>
        <v>89.417837045038539</v>
      </c>
      <c r="AI150" s="149">
        <f t="shared" si="60"/>
        <v>92.236796154146802</v>
      </c>
      <c r="AJ150" s="149">
        <f t="shared" si="60"/>
        <v>94.776623449083829</v>
      </c>
      <c r="AK150" s="149">
        <f t="shared" si="60"/>
        <v>82.843916943270003</v>
      </c>
      <c r="AL150" s="149">
        <f t="shared" si="60"/>
        <v>58.61055342264325</v>
      </c>
      <c r="AM150" s="149">
        <f t="shared" si="60"/>
        <v>28.704689500535043</v>
      </c>
      <c r="AN150" s="149">
        <f t="shared" si="60"/>
        <v>18.586106691085465</v>
      </c>
      <c r="AO150" s="149">
        <f t="shared" si="60"/>
        <v>188.821858309026</v>
      </c>
      <c r="AP150" s="149">
        <f t="shared" si="60"/>
        <v>152.21437382089945</v>
      </c>
      <c r="AQ150" s="149">
        <f>AQ249-AQ142-AQ147</f>
        <v>113.84606761712386</v>
      </c>
      <c r="AR150" s="149"/>
      <c r="AS150" s="149"/>
    </row>
    <row r="151" spans="1:45" s="150" customFormat="1">
      <c r="A151" s="422">
        <f t="shared" si="40"/>
        <v>149</v>
      </c>
      <c r="B151" s="150" t="s">
        <v>871</v>
      </c>
      <c r="C151" s="149"/>
      <c r="D151" s="149"/>
      <c r="E151" s="149">
        <v>44.758033339999997</v>
      </c>
      <c r="F151" s="620"/>
      <c r="G151" s="149">
        <f t="shared" ref="G151:R151" si="61">G85</f>
        <v>51.459181582233356</v>
      </c>
      <c r="H151" s="149">
        <f t="shared" si="61"/>
        <v>46.356249008698491</v>
      </c>
      <c r="I151" s="149">
        <f t="shared" si="61"/>
        <v>48.732054883690466</v>
      </c>
      <c r="J151" s="149">
        <f t="shared" si="61"/>
        <v>43.809007734417818</v>
      </c>
      <c r="K151" s="149">
        <f t="shared" si="61"/>
        <v>45.476254680721652</v>
      </c>
      <c r="L151" s="149">
        <f t="shared" si="61"/>
        <v>47.342270657282668</v>
      </c>
      <c r="M151" s="149">
        <f t="shared" si="61"/>
        <v>51.185014273842029</v>
      </c>
      <c r="N151" s="149">
        <f t="shared" si="61"/>
        <v>50.008359305787856</v>
      </c>
      <c r="O151" s="149">
        <f t="shared" si="61"/>
        <v>38.189176200612032</v>
      </c>
      <c r="P151" s="149">
        <f t="shared" si="61"/>
        <v>38.541787813197494</v>
      </c>
      <c r="Q151" s="149">
        <f t="shared" si="61"/>
        <v>38.425407718316755</v>
      </c>
      <c r="R151" s="149">
        <f t="shared" si="61"/>
        <v>42.282335545826463</v>
      </c>
      <c r="S151" s="526">
        <f t="shared" si="35"/>
        <v>42.282335545826463</v>
      </c>
      <c r="T151" s="149">
        <f t="shared" ref="T151:AE151" si="62">T85</f>
        <v>44.829241155709056</v>
      </c>
      <c r="U151" s="149">
        <f t="shared" si="62"/>
        <v>40.24242321434366</v>
      </c>
      <c r="V151" s="149">
        <f t="shared" si="62"/>
        <v>38.610561558567625</v>
      </c>
      <c r="W151" s="149">
        <f t="shared" si="62"/>
        <v>34.852655792808271</v>
      </c>
      <c r="X151" s="149">
        <f t="shared" si="62"/>
        <v>36.637795058216405</v>
      </c>
      <c r="Y151" s="149">
        <f t="shared" si="62"/>
        <v>40.670458821027118</v>
      </c>
      <c r="Z151" s="149">
        <f t="shared" si="62"/>
        <v>42.786989458715354</v>
      </c>
      <c r="AA151" s="149">
        <f t="shared" si="62"/>
        <v>43.506671899686467</v>
      </c>
      <c r="AB151" s="149">
        <f t="shared" si="62"/>
        <v>39.443485759247899</v>
      </c>
      <c r="AC151" s="149">
        <f t="shared" si="62"/>
        <v>39.691078360875423</v>
      </c>
      <c r="AD151" s="149">
        <f t="shared" si="62"/>
        <v>39.544783161763739</v>
      </c>
      <c r="AE151" s="149">
        <f t="shared" si="62"/>
        <v>43.403663842326296</v>
      </c>
      <c r="AF151" s="526">
        <f t="shared" si="36"/>
        <v>43.403663842326296</v>
      </c>
      <c r="AG151" s="149">
        <f>(AG85-PCM!AN72-PCM!AN71)*30/360</f>
        <v>42.114757002897392</v>
      </c>
      <c r="AH151" s="149">
        <f>(AH85-PCM!AO72-PCM!AO71)*30/360</f>
        <v>43.417486833986693</v>
      </c>
      <c r="AI151" s="149">
        <f>(AI85-PCM!AP72-PCM!AP71)*30/360</f>
        <v>44.44728464011115</v>
      </c>
      <c r="AJ151" s="149">
        <f>(AJ85-PCM!AQ72-PCM!AQ71)*30/360</f>
        <v>45.814074099569453</v>
      </c>
      <c r="AK151" s="149">
        <f>(AK85-PCM!AR72-PCM!AR71)*30/360</f>
        <v>59.014257230076225</v>
      </c>
      <c r="AL151" s="149">
        <f>(AL85-PCM!AS72-PCM!AS71)*30/360</f>
        <v>63.152824010735941</v>
      </c>
      <c r="AM151" s="149">
        <f>(AM85-PCM!AT72-PCM!AT71)*30/360</f>
        <v>63.930833239547198</v>
      </c>
      <c r="AN151" s="149">
        <f>(AN85-PCM!AU72-PCM!AU71)*30/360</f>
        <v>66.83405359055206</v>
      </c>
      <c r="AO151" s="149">
        <f>(AO85-PCM!AV72-PCM!AV71)*30/360</f>
        <v>67.794085447031947</v>
      </c>
      <c r="AP151" s="149">
        <f>(AP85-PCM!AW72-PCM!AW71)*30/360</f>
        <v>71.054002095545385</v>
      </c>
      <c r="AQ151" s="149">
        <f>(AQ85-PCM!AX72-PCM!AX71)*30/360</f>
        <v>73.481195844052536</v>
      </c>
      <c r="AR151" s="149"/>
      <c r="AS151" s="149"/>
    </row>
    <row r="152" spans="1:45" s="150" customFormat="1">
      <c r="A152" s="422">
        <f t="shared" si="40"/>
        <v>150</v>
      </c>
      <c r="B152" s="150" t="s">
        <v>478</v>
      </c>
      <c r="C152" s="149"/>
      <c r="D152" s="149"/>
      <c r="E152" s="149">
        <v>2.3456192900000001</v>
      </c>
      <c r="F152" s="526"/>
      <c r="G152" s="149">
        <f>E152</f>
        <v>2.3456192900000001</v>
      </c>
      <c r="H152" s="149">
        <f>G152</f>
        <v>2.3456192900000001</v>
      </c>
      <c r="I152" s="149">
        <f t="shared" ref="I152:R152" si="63">H152</f>
        <v>2.3456192900000001</v>
      </c>
      <c r="J152" s="149">
        <f t="shared" si="63"/>
        <v>2.3456192900000001</v>
      </c>
      <c r="K152" s="149">
        <f t="shared" si="63"/>
        <v>2.3456192900000001</v>
      </c>
      <c r="L152" s="149">
        <f t="shared" si="63"/>
        <v>2.3456192900000001</v>
      </c>
      <c r="M152" s="149">
        <f t="shared" si="63"/>
        <v>2.3456192900000001</v>
      </c>
      <c r="N152" s="149">
        <f t="shared" si="63"/>
        <v>2.3456192900000001</v>
      </c>
      <c r="O152" s="149">
        <f t="shared" si="63"/>
        <v>2.3456192900000001</v>
      </c>
      <c r="P152" s="149">
        <f t="shared" si="63"/>
        <v>2.3456192900000001</v>
      </c>
      <c r="Q152" s="149">
        <f t="shared" si="63"/>
        <v>2.3456192900000001</v>
      </c>
      <c r="R152" s="149">
        <f t="shared" si="63"/>
        <v>2.3456192900000001</v>
      </c>
      <c r="S152" s="526">
        <f t="shared" si="35"/>
        <v>2.3456192900000001</v>
      </c>
      <c r="T152" s="149">
        <f>R152</f>
        <v>2.3456192900000001</v>
      </c>
      <c r="U152" s="149">
        <f>T152</f>
        <v>2.3456192900000001</v>
      </c>
      <c r="V152" s="149">
        <f t="shared" ref="V152:AE152" si="64">U152</f>
        <v>2.3456192900000001</v>
      </c>
      <c r="W152" s="149">
        <f t="shared" si="64"/>
        <v>2.3456192900000001</v>
      </c>
      <c r="X152" s="149">
        <f t="shared" si="64"/>
        <v>2.3456192900000001</v>
      </c>
      <c r="Y152" s="149">
        <f t="shared" si="64"/>
        <v>2.3456192900000001</v>
      </c>
      <c r="Z152" s="149">
        <f t="shared" si="64"/>
        <v>2.3456192900000001</v>
      </c>
      <c r="AA152" s="149">
        <f t="shared" si="64"/>
        <v>2.3456192900000001</v>
      </c>
      <c r="AB152" s="149">
        <f t="shared" si="64"/>
        <v>2.3456192900000001</v>
      </c>
      <c r="AC152" s="149">
        <f t="shared" si="64"/>
        <v>2.3456192900000001</v>
      </c>
      <c r="AD152" s="149">
        <f t="shared" si="64"/>
        <v>2.3456192900000001</v>
      </c>
      <c r="AE152" s="149">
        <f t="shared" si="64"/>
        <v>2.3456192900000001</v>
      </c>
      <c r="AF152" s="526">
        <f t="shared" si="36"/>
        <v>2.3456192900000001</v>
      </c>
      <c r="AG152" s="149">
        <f>AE152</f>
        <v>2.3456192900000001</v>
      </c>
      <c r="AH152" s="149">
        <f>AG152</f>
        <v>2.3456192900000001</v>
      </c>
      <c r="AI152" s="149">
        <f t="shared" ref="AI152:AP152" si="65">AH152</f>
        <v>2.3456192900000001</v>
      </c>
      <c r="AJ152" s="149">
        <f t="shared" si="65"/>
        <v>2.3456192900000001</v>
      </c>
      <c r="AK152" s="149">
        <f t="shared" si="65"/>
        <v>2.3456192900000001</v>
      </c>
      <c r="AL152" s="149">
        <f t="shared" si="65"/>
        <v>2.3456192900000001</v>
      </c>
      <c r="AM152" s="149">
        <f t="shared" si="65"/>
        <v>2.3456192900000001</v>
      </c>
      <c r="AN152" s="149">
        <f t="shared" si="65"/>
        <v>2.3456192900000001</v>
      </c>
      <c r="AO152" s="149">
        <f t="shared" si="65"/>
        <v>2.3456192900000001</v>
      </c>
      <c r="AP152" s="149">
        <f t="shared" si="65"/>
        <v>2.3456192900000001</v>
      </c>
      <c r="AQ152" s="149">
        <f>AP152</f>
        <v>2.3456192900000001</v>
      </c>
      <c r="AR152" s="149"/>
      <c r="AS152" s="149"/>
    </row>
    <row r="153" spans="1:45" s="150" customFormat="1">
      <c r="A153" s="422">
        <f t="shared" si="40"/>
        <v>151</v>
      </c>
      <c r="B153" s="150" t="s">
        <v>479</v>
      </c>
      <c r="C153" s="149"/>
      <c r="D153" s="149"/>
      <c r="E153" s="149">
        <f>Fuel!K22</f>
        <v>34.145612190000001</v>
      </c>
      <c r="F153" s="526"/>
      <c r="G153" s="149">
        <f>Fuel!M22</f>
        <v>34.362394068152582</v>
      </c>
      <c r="H153" s="149">
        <f>Fuel!N22</f>
        <v>34.476641136690688</v>
      </c>
      <c r="I153" s="149">
        <f>Fuel!O22</f>
        <v>34.554483125089448</v>
      </c>
      <c r="J153" s="149">
        <f>Fuel!P22</f>
        <v>34.410984133799943</v>
      </c>
      <c r="K153" s="149">
        <f>Fuel!Q22</f>
        <v>34.366729355907928</v>
      </c>
      <c r="L153" s="149">
        <f>Fuel!R22</f>
        <v>34.487488133882664</v>
      </c>
      <c r="M153" s="149">
        <f>Fuel!S22</f>
        <v>34.603165717813496</v>
      </c>
      <c r="N153" s="149">
        <f>Fuel!T22</f>
        <v>34.624685212026776</v>
      </c>
      <c r="O153" s="149">
        <f>Fuel!U22</f>
        <v>34.923259423632032</v>
      </c>
      <c r="P153" s="149">
        <f>Fuel!V22</f>
        <v>35.141719610028069</v>
      </c>
      <c r="Q153" s="149">
        <f>Fuel!W22</f>
        <v>35.28419853008846</v>
      </c>
      <c r="R153" s="149">
        <f>Fuel!X22</f>
        <v>35.371671068843561</v>
      </c>
      <c r="S153" s="526">
        <f t="shared" si="35"/>
        <v>35.371671068843561</v>
      </c>
      <c r="T153" s="149">
        <f>Fuel!Z22</f>
        <v>35.760649919053506</v>
      </c>
      <c r="U153" s="149">
        <f>Fuel!AA22</f>
        <v>35.997896954700863</v>
      </c>
      <c r="V153" s="149">
        <f>Fuel!AB22</f>
        <v>36.248658875710902</v>
      </c>
      <c r="W153" s="149">
        <f>Fuel!AC22</f>
        <v>36.31620620864328</v>
      </c>
      <c r="X153" s="149">
        <f>Fuel!AD22</f>
        <v>36.275139397347274</v>
      </c>
      <c r="Y153" s="149">
        <f>Fuel!AE22</f>
        <v>36.344648860442518</v>
      </c>
      <c r="Z153" s="149">
        <f>Fuel!AF22</f>
        <v>36.392938532075377</v>
      </c>
      <c r="AA153" s="149">
        <f>Fuel!AG22</f>
        <v>36.419593085513128</v>
      </c>
      <c r="AB153" s="149">
        <f>Fuel!AH22</f>
        <v>36.450639883761475</v>
      </c>
      <c r="AC153" s="149">
        <f>Fuel!AI22</f>
        <v>36.484440658637546</v>
      </c>
      <c r="AD153" s="149">
        <f>Fuel!AJ22</f>
        <v>36.504495254537105</v>
      </c>
      <c r="AE153" s="149">
        <f>Fuel!AK22</f>
        <v>36.51041011041908</v>
      </c>
      <c r="AF153" s="526">
        <f t="shared" si="36"/>
        <v>36.51041011041908</v>
      </c>
      <c r="AG153" s="149">
        <f>Fuel!AM22</f>
        <v>38.576619890917044</v>
      </c>
      <c r="AH153" s="149">
        <f>Fuel!AN22</f>
        <v>39.280677929679428</v>
      </c>
      <c r="AI153" s="149">
        <f>Fuel!AO22</f>
        <v>41.026521766412657</v>
      </c>
      <c r="AJ153" s="149">
        <f>Fuel!AP22</f>
        <v>42.304186491982932</v>
      </c>
      <c r="AK153" s="149">
        <f>Fuel!AQ22</f>
        <v>43.504972567545451</v>
      </c>
      <c r="AL153" s="149">
        <f>Fuel!AR22</f>
        <v>45.563116143637671</v>
      </c>
      <c r="AM153" s="149">
        <f>Fuel!AS22</f>
        <v>46.971225695996111</v>
      </c>
      <c r="AN153" s="149">
        <f>Fuel!AT22</f>
        <v>48.84044700596678</v>
      </c>
      <c r="AO153" s="149">
        <f>Fuel!AU22</f>
        <v>51.238183412264448</v>
      </c>
      <c r="AP153" s="149">
        <f>Fuel!AV22</f>
        <v>52.432458798226719</v>
      </c>
      <c r="AQ153" s="149">
        <f>Fuel!AW22</f>
        <v>56.799455507499033</v>
      </c>
      <c r="AR153" s="149"/>
      <c r="AS153" s="149"/>
    </row>
    <row r="154" spans="1:45" s="150" customFormat="1">
      <c r="A154" s="422">
        <f t="shared" si="40"/>
        <v>152</v>
      </c>
      <c r="B154" s="150" t="s">
        <v>480</v>
      </c>
      <c r="C154" s="149"/>
      <c r="D154" s="149"/>
      <c r="E154" s="149">
        <v>24.95707286</v>
      </c>
      <c r="F154" s="620"/>
      <c r="G154" s="149">
        <f>E154*(1+'O&amp;M'!$D$3/12)-PCM!N116</f>
        <v>25.011783502860801</v>
      </c>
      <c r="H154" s="149">
        <f>G154*(1+'O&amp;M'!$D$3/12)-PCM!O116</f>
        <v>25.067429526225201</v>
      </c>
      <c r="I154" s="149">
        <f>H154*(1+'O&amp;M'!$D$3/12)-PCM!P116</f>
        <v>25.122654002137963</v>
      </c>
      <c r="J154" s="149">
        <f>I154*(1+'O&amp;M'!$D$3/12)-PCM!Q116</f>
        <v>25.179272973038888</v>
      </c>
      <c r="K154" s="149">
        <f>J154*(1+'O&amp;M'!$D$3/12)-PCM!R116</f>
        <v>25.226584800466018</v>
      </c>
      <c r="L154" s="149">
        <f>K154*(1+'O&amp;M'!$D$3/12)-PCM!S116</f>
        <v>25.28232221290175</v>
      </c>
      <c r="M154" s="149">
        <f>L154*(1+'O&amp;M'!$D$3/12)-PCM!T116</f>
        <v>25.335888498037548</v>
      </c>
      <c r="N154" s="149">
        <f>M154*(1+'O&amp;M'!$D$3/12)-PCM!U116</f>
        <v>25.391929724599308</v>
      </c>
      <c r="O154" s="149">
        <f>N154*(1+'O&amp;M'!$D$3/12)-PCM!V116</f>
        <v>25.451525286559484</v>
      </c>
      <c r="P154" s="149">
        <f>O154*(1+'O&amp;M'!$D$3/12)-PCM!W116</f>
        <v>25.511005331411109</v>
      </c>
      <c r="Q154" s="149">
        <f>P154*(1+'O&amp;M'!$D$3/12)-PCM!X116</f>
        <v>25.570768439753351</v>
      </c>
      <c r="R154" s="149">
        <f>Q154*(1+'O&amp;M'!$D$3/12)-PCM!Y116</f>
        <v>25.630592212109278</v>
      </c>
      <c r="S154" s="526">
        <f t="shared" si="35"/>
        <v>25.630592212109278</v>
      </c>
      <c r="T154" s="149">
        <f>R154*(1+'O&amp;M'!$D$3/12)-PCM!AA116</f>
        <v>25.692067189606018</v>
      </c>
      <c r="U154" s="149">
        <f>T154*(1+'O&amp;M'!$D$3/12)-PCM!AB116</f>
        <v>25.753960756054223</v>
      </c>
      <c r="V154" s="149">
        <f>U154*(1+'O&amp;M'!$D$3/12)-PCM!AC116</f>
        <v>25.816019551663018</v>
      </c>
      <c r="W154" s="149">
        <f>V154*(1+'O&amp;M'!$D$3/12)-PCM!AD116</f>
        <v>25.878487728422389</v>
      </c>
      <c r="X154" s="149">
        <f>W154*(1+'O&amp;M'!$D$3/12)-PCM!AE116</f>
        <v>25.941188592091674</v>
      </c>
      <c r="Y154" s="149">
        <f>X154*(1+'O&amp;M'!$D$3/12)-PCM!AF116</f>
        <v>26.003636514088946</v>
      </c>
      <c r="Z154" s="149">
        <f>Y154*(1+'O&amp;M'!$D$3/12)-PCM!AG116</f>
        <v>26.066140303381292</v>
      </c>
      <c r="AA154" s="149">
        <f>Z154*(1+'O&amp;M'!$D$3/12)-PCM!AH116</f>
        <v>26.128821464253605</v>
      </c>
      <c r="AB154" s="149">
        <f>AA154*(1+'O&amp;M'!$D$3/12)-PCM!AI116</f>
        <v>26.191734858825892</v>
      </c>
      <c r="AC154" s="149">
        <f>AB154*(1+'O&amp;M'!$D$3/12)-PCM!AJ116</f>
        <v>26.254635395253093</v>
      </c>
      <c r="AD154" s="149">
        <f>AC154*(1+'O&amp;M'!$D$3/12)-PCM!AK116</f>
        <v>26.317793283567699</v>
      </c>
      <c r="AE154" s="149">
        <f>AD154*(1+'O&amp;M'!$D$3/12)-PCM!AL116</f>
        <v>26.381063539361843</v>
      </c>
      <c r="AF154" s="526">
        <f t="shared" si="36"/>
        <v>26.381063539361843</v>
      </c>
      <c r="AG154" s="149">
        <f>AE154*(1+'O&amp;M'!$D$3)-PCM!AN116</f>
        <v>27.146553000612737</v>
      </c>
      <c r="AH154" s="149">
        <f>AG154*(1+'O&amp;M'!$D$3)-PCM!AO116</f>
        <v>27.94455845049297</v>
      </c>
      <c r="AI154" s="149">
        <f>AH154*(1+'O&amp;M'!$D$3)-PCM!AP116</f>
        <v>28.765473524738621</v>
      </c>
      <c r="AJ154" s="149">
        <f>AI154*(1+'O&amp;M'!$D$3)-PCM!AQ116</f>
        <v>29.617044225791947</v>
      </c>
      <c r="AK154" s="149">
        <f>AJ154*(1+'O&amp;M'!$D$3)-PCM!AR116</f>
        <v>30.487895539616019</v>
      </c>
      <c r="AL154" s="149">
        <f>AK154*(1+'O&amp;M'!$D$3)-PCM!AS116</f>
        <v>31.389738990220291</v>
      </c>
      <c r="AM154" s="149">
        <f>AL154*(1+'O&amp;M'!$D$3)-PCM!AT116</f>
        <v>32.321011901536288</v>
      </c>
      <c r="AN154" s="149">
        <f>AM154*(1+'O&amp;M'!$D$3)-PCM!AU116</f>
        <v>33.283643228820083</v>
      </c>
      <c r="AO154" s="149">
        <f>AN154*(1+'O&amp;M'!$D$3)-PCM!AV116</f>
        <v>34.276849927942187</v>
      </c>
      <c r="AP154" s="149">
        <f>AO154*(1+'O&amp;M'!$D$3)-PCM!AW116</f>
        <v>35.30199139694659</v>
      </c>
      <c r="AQ154" s="149">
        <f>AP154*(1+'O&amp;M'!$D$3)-PCM!AX116</f>
        <v>36.359033344966143</v>
      </c>
      <c r="AR154" s="149"/>
      <c r="AS154" s="149"/>
    </row>
    <row r="155" spans="1:45" s="150" customFormat="1">
      <c r="A155" s="422">
        <f t="shared" si="40"/>
        <v>153</v>
      </c>
      <c r="B155" s="150" t="s">
        <v>481</v>
      </c>
      <c r="C155" s="149"/>
      <c r="D155" s="149"/>
      <c r="E155" s="149">
        <v>4.1754739599999997</v>
      </c>
      <c r="F155" s="526"/>
      <c r="G155" s="149">
        <f>Debt!P135+'O&amp;M'!O69</f>
        <v>3.5975558907889869</v>
      </c>
      <c r="H155" s="149">
        <f>Debt!Q135+'O&amp;M'!P69</f>
        <v>3.2862944915016197</v>
      </c>
      <c r="I155" s="149">
        <f>Debt!R135+'O&amp;M'!Q69</f>
        <v>2.9733251922906065</v>
      </c>
      <c r="J155" s="149">
        <f>Debt!S135+'O&amp;M'!R69</f>
        <v>2.6609251930541418</v>
      </c>
      <c r="K155" s="149">
        <f>Debt!T135+'O&amp;M'!S69</f>
        <v>2.3479560038431284</v>
      </c>
      <c r="L155" s="149">
        <f>Debt!U135+'O&amp;M'!T69</f>
        <v>2.0526350038431285</v>
      </c>
      <c r="M155" s="149">
        <f>Debt!V135+'O&amp;M'!U69</f>
        <v>1.7573140038431287</v>
      </c>
      <c r="N155" s="149">
        <f>Debt!W135+'O&amp;M'!V69</f>
        <v>1.4619930038431288</v>
      </c>
      <c r="O155" s="149">
        <f>Debt!X135+'O&amp;M'!W69</f>
        <v>1.1666720038431289</v>
      </c>
      <c r="P155" s="149">
        <f>Debt!Y135+'O&amp;M'!X69</f>
        <v>0.8713510038431288</v>
      </c>
      <c r="Q155" s="149">
        <f>Debt!Z135+'O&amp;M'!Y69</f>
        <v>0.57603000384312886</v>
      </c>
      <c r="R155" s="149">
        <f>Debt!AA135+'O&amp;M'!Z69</f>
        <v>4.1827200038431291</v>
      </c>
      <c r="S155" s="526">
        <f t="shared" si="35"/>
        <v>4.1827200038431291</v>
      </c>
      <c r="T155" s="149">
        <f>Debt!AC135+'O&amp;M'!AB69</f>
        <v>3.8571310038431288</v>
      </c>
      <c r="U155" s="149">
        <f>Debt!AD135+'O&amp;M'!AC69</f>
        <v>3.5320040038431286</v>
      </c>
      <c r="V155" s="149">
        <f>Debt!AE135+'O&amp;M'!AD69</f>
        <v>3.2068770038431285</v>
      </c>
      <c r="W155" s="149">
        <f>Debt!AF135+'O&amp;M'!AE69</f>
        <v>2.8817500038431283</v>
      </c>
      <c r="X155" s="149">
        <f>Debt!AG135+'O&amp;M'!AF69</f>
        <v>2.5566230038431281</v>
      </c>
      <c r="Y155" s="149">
        <f>Debt!AH135+'O&amp;M'!AG69</f>
        <v>2.231496003843128</v>
      </c>
      <c r="Z155" s="149">
        <f>Debt!AI135+'O&amp;M'!AH69</f>
        <v>1.9063690038431282</v>
      </c>
      <c r="AA155" s="149">
        <f>Debt!AJ135+'O&amp;M'!AI69</f>
        <v>1.5812420038431283</v>
      </c>
      <c r="AB155" s="149">
        <f>Debt!AK135+'O&amp;M'!AJ69</f>
        <v>1.2561150038431284</v>
      </c>
      <c r="AC155" s="149">
        <f>Debt!AL135+'O&amp;M'!AK69</f>
        <v>0.9309880038431283</v>
      </c>
      <c r="AD155" s="149">
        <f>Debt!AM135+'O&amp;M'!AL69</f>
        <v>0.60586100384312835</v>
      </c>
      <c r="AE155" s="149">
        <f>Debt!AN135+'O&amp;M'!AM69</f>
        <v>4.3777400038431296</v>
      </c>
      <c r="AF155" s="526">
        <f t="shared" si="36"/>
        <v>4.3777400038431296</v>
      </c>
      <c r="AG155" s="149">
        <f>Debt!AP135+'O&amp;M'!AO69</f>
        <v>4.5826010038431306</v>
      </c>
      <c r="AH155" s="149">
        <f>Debt!AQ135+'O&amp;M'!AP69</f>
        <v>4.7116587838431307</v>
      </c>
      <c r="AI155" s="149">
        <f>Debt!AR135+'O&amp;M'!AQ69</f>
        <v>4.8445882972431304</v>
      </c>
      <c r="AJ155" s="149">
        <f>Debt!AS135+'O&amp;M'!AR69</f>
        <v>4.9815056960451303</v>
      </c>
      <c r="AK155" s="149">
        <f>Debt!AT135+'O&amp;M'!AS69</f>
        <v>5.1225306168111917</v>
      </c>
      <c r="AL155" s="149">
        <f>Debt!AU135+'O&amp;M'!AT69</f>
        <v>5.2677862852002315</v>
      </c>
      <c r="AM155" s="149">
        <f>Debt!AV135+'O&amp;M'!AU69</f>
        <v>5.4173996236409465</v>
      </c>
      <c r="AN155" s="149">
        <f>Debt!AW135+'O&amp;M'!AV69</f>
        <v>5.5715013622348808</v>
      </c>
      <c r="AO155" s="149">
        <f>Debt!AX135+'O&amp;M'!AW69</f>
        <v>5.7302261529866332</v>
      </c>
      <c r="AP155" s="149">
        <f>Debt!AY135+'O&amp;M'!AX69</f>
        <v>5.8937126874609396</v>
      </c>
      <c r="AQ155" s="149">
        <f>Debt!AZ135+'O&amp;M'!AY69</f>
        <v>6.0621038179694731</v>
      </c>
      <c r="AR155" s="149"/>
      <c r="AS155" s="149"/>
    </row>
    <row r="156" spans="1:45" s="150" customFormat="1">
      <c r="A156" s="422">
        <f t="shared" si="40"/>
        <v>154</v>
      </c>
      <c r="B156" s="150" t="s">
        <v>482</v>
      </c>
      <c r="C156" s="156"/>
      <c r="D156" s="156"/>
      <c r="E156" s="156">
        <v>1.2761927399999999</v>
      </c>
      <c r="F156" s="621"/>
      <c r="G156" s="156">
        <f>E156</f>
        <v>1.2761927399999999</v>
      </c>
      <c r="H156" s="156">
        <f>G156</f>
        <v>1.2761927399999999</v>
      </c>
      <c r="I156" s="156">
        <f t="shared" ref="I156:R156" si="66">H156</f>
        <v>1.2761927399999999</v>
      </c>
      <c r="J156" s="156">
        <f t="shared" si="66"/>
        <v>1.2761927399999999</v>
      </c>
      <c r="K156" s="156">
        <f t="shared" si="66"/>
        <v>1.2761927399999999</v>
      </c>
      <c r="L156" s="156">
        <f t="shared" si="66"/>
        <v>1.2761927399999999</v>
      </c>
      <c r="M156" s="156">
        <f t="shared" si="66"/>
        <v>1.2761927399999999</v>
      </c>
      <c r="N156" s="156">
        <f t="shared" si="66"/>
        <v>1.2761927399999999</v>
      </c>
      <c r="O156" s="156">
        <f t="shared" si="66"/>
        <v>1.2761927399999999</v>
      </c>
      <c r="P156" s="156">
        <f t="shared" si="66"/>
        <v>1.2761927399999999</v>
      </c>
      <c r="Q156" s="156">
        <f t="shared" si="66"/>
        <v>1.2761927399999999</v>
      </c>
      <c r="R156" s="156">
        <f t="shared" si="66"/>
        <v>1.2761927399999999</v>
      </c>
      <c r="S156" s="528">
        <f t="shared" si="35"/>
        <v>1.2761927399999999</v>
      </c>
      <c r="T156" s="156">
        <f>R156</f>
        <v>1.2761927399999999</v>
      </c>
      <c r="U156" s="156">
        <f>T156</f>
        <v>1.2761927399999999</v>
      </c>
      <c r="V156" s="156">
        <f t="shared" ref="V156:AE156" si="67">U156</f>
        <v>1.2761927399999999</v>
      </c>
      <c r="W156" s="156">
        <f t="shared" si="67"/>
        <v>1.2761927399999999</v>
      </c>
      <c r="X156" s="156">
        <f t="shared" si="67"/>
        <v>1.2761927399999999</v>
      </c>
      <c r="Y156" s="156">
        <f t="shared" si="67"/>
        <v>1.2761927399999999</v>
      </c>
      <c r="Z156" s="156">
        <f t="shared" si="67"/>
        <v>1.2761927399999999</v>
      </c>
      <c r="AA156" s="156">
        <f t="shared" si="67"/>
        <v>1.2761927399999999</v>
      </c>
      <c r="AB156" s="156">
        <f t="shared" si="67"/>
        <v>1.2761927399999999</v>
      </c>
      <c r="AC156" s="156">
        <f t="shared" si="67"/>
        <v>1.2761927399999999</v>
      </c>
      <c r="AD156" s="156">
        <f t="shared" si="67"/>
        <v>1.2761927399999999</v>
      </c>
      <c r="AE156" s="156">
        <f t="shared" si="67"/>
        <v>1.2761927399999999</v>
      </c>
      <c r="AF156" s="528">
        <f t="shared" si="36"/>
        <v>1.2761927399999999</v>
      </c>
      <c r="AG156" s="156">
        <f>AE156</f>
        <v>1.2761927399999999</v>
      </c>
      <c r="AH156" s="156">
        <f t="shared" ref="AH156:AP156" si="68">AG156</f>
        <v>1.2761927399999999</v>
      </c>
      <c r="AI156" s="156">
        <f t="shared" si="68"/>
        <v>1.2761927399999999</v>
      </c>
      <c r="AJ156" s="156">
        <f t="shared" si="68"/>
        <v>1.2761927399999999</v>
      </c>
      <c r="AK156" s="156">
        <f t="shared" si="68"/>
        <v>1.2761927399999999</v>
      </c>
      <c r="AL156" s="156">
        <f t="shared" si="68"/>
        <v>1.2761927399999999</v>
      </c>
      <c r="AM156" s="156">
        <f t="shared" si="68"/>
        <v>1.2761927399999999</v>
      </c>
      <c r="AN156" s="156">
        <f t="shared" si="68"/>
        <v>1.2761927399999999</v>
      </c>
      <c r="AO156" s="156">
        <f t="shared" si="68"/>
        <v>1.2761927399999999</v>
      </c>
      <c r="AP156" s="156">
        <f t="shared" si="68"/>
        <v>1.2761927399999999</v>
      </c>
      <c r="AQ156" s="156">
        <f>AP156</f>
        <v>1.2761927399999999</v>
      </c>
      <c r="AR156" s="149"/>
      <c r="AS156" s="149"/>
    </row>
    <row r="157" spans="1:45" s="150" customFormat="1" ht="15.75">
      <c r="A157" s="422">
        <f t="shared" si="40"/>
        <v>155</v>
      </c>
      <c r="B157" s="158" t="s">
        <v>502</v>
      </c>
      <c r="C157" s="149"/>
      <c r="D157" s="149"/>
      <c r="E157" s="149">
        <f>SUM(E147:E156)</f>
        <v>222.42923832000002</v>
      </c>
      <c r="F157" s="526"/>
      <c r="G157" s="149">
        <f>SUM(G147:G156)</f>
        <v>224.50791855599587</v>
      </c>
      <c r="H157" s="149">
        <f t="shared" ref="H157:R157" si="69">SUM(H147:H156)</f>
        <v>221.66164097784588</v>
      </c>
      <c r="I157" s="149">
        <f t="shared" si="69"/>
        <v>228.03757316949643</v>
      </c>
      <c r="J157" s="149">
        <f t="shared" si="69"/>
        <v>222.21740643371751</v>
      </c>
      <c r="K157" s="149">
        <f t="shared" si="69"/>
        <v>211.82154192659067</v>
      </c>
      <c r="L157" s="149">
        <f t="shared" si="69"/>
        <v>213.46430537818026</v>
      </c>
      <c r="M157" s="149">
        <f t="shared" si="69"/>
        <v>215.43611970416026</v>
      </c>
      <c r="N157" s="149">
        <f t="shared" si="69"/>
        <v>207.84620617125734</v>
      </c>
      <c r="O157" s="149">
        <f t="shared" si="69"/>
        <v>216.29572326080165</v>
      </c>
      <c r="P157" s="149">
        <f t="shared" si="69"/>
        <v>208.4106917004664</v>
      </c>
      <c r="Q157" s="149">
        <f t="shared" si="69"/>
        <v>197.39559031221779</v>
      </c>
      <c r="R157" s="149">
        <f t="shared" si="69"/>
        <v>192.70884809915734</v>
      </c>
      <c r="S157" s="526">
        <f t="shared" si="35"/>
        <v>192.70884809915734</v>
      </c>
      <c r="T157" s="149">
        <f t="shared" ref="T157:AE157" si="70">SUM(T147:T156)</f>
        <v>207.36520662602268</v>
      </c>
      <c r="U157" s="149">
        <f t="shared" si="70"/>
        <v>204.6933970630314</v>
      </c>
      <c r="V157" s="149">
        <f t="shared" si="70"/>
        <v>212.76184338893759</v>
      </c>
      <c r="W157" s="149">
        <f t="shared" si="70"/>
        <v>194.81238877457838</v>
      </c>
      <c r="X157" s="149">
        <f t="shared" si="70"/>
        <v>176.27965197146548</v>
      </c>
      <c r="Y157" s="149">
        <f t="shared" si="70"/>
        <v>176.5827127653273</v>
      </c>
      <c r="Z157" s="149">
        <f t="shared" si="70"/>
        <v>182.86835787915848</v>
      </c>
      <c r="AA157" s="149">
        <f t="shared" si="70"/>
        <v>183.12401582290784</v>
      </c>
      <c r="AB157" s="149">
        <f t="shared" si="70"/>
        <v>186.70119047380399</v>
      </c>
      <c r="AC157" s="149">
        <f t="shared" si="70"/>
        <v>190.15047495951546</v>
      </c>
      <c r="AD157" s="149">
        <f t="shared" si="70"/>
        <v>190.04544034204412</v>
      </c>
      <c r="AE157" s="149">
        <f t="shared" si="70"/>
        <v>194.08341134103586</v>
      </c>
      <c r="AF157" s="526">
        <f t="shared" si="36"/>
        <v>194.08341134103586</v>
      </c>
      <c r="AG157" s="149">
        <f t="shared" ref="AG157:AQ157" si="71">SUM(AG147:AG156)</f>
        <v>197.58416604690905</v>
      </c>
      <c r="AH157" s="149">
        <f t="shared" si="71"/>
        <v>208.99982878304075</v>
      </c>
      <c r="AI157" s="149">
        <f t="shared" si="71"/>
        <v>215.54827412265234</v>
      </c>
      <c r="AJ157" s="149">
        <f t="shared" si="71"/>
        <v>221.72104370247328</v>
      </c>
      <c r="AK157" s="149">
        <f t="shared" si="71"/>
        <v>225.20118263731891</v>
      </c>
      <c r="AL157" s="149">
        <f t="shared" si="71"/>
        <v>208.21162859243736</v>
      </c>
      <c r="AM157" s="149">
        <f t="shared" si="71"/>
        <v>181.5727697012556</v>
      </c>
      <c r="AN157" s="149">
        <f t="shared" si="71"/>
        <v>177.34336161865929</v>
      </c>
      <c r="AO157" s="149">
        <f t="shared" si="71"/>
        <v>352.08881298925121</v>
      </c>
      <c r="AP157" s="149">
        <f t="shared" si="71"/>
        <v>321.12414853907904</v>
      </c>
      <c r="AQ157" s="149">
        <f t="shared" si="71"/>
        <v>290.77546587161106</v>
      </c>
      <c r="AR157" s="149"/>
      <c r="AS157" s="149"/>
    </row>
    <row r="158" spans="1:45" s="150" customFormat="1" ht="15.75">
      <c r="A158" s="422">
        <f t="shared" si="40"/>
        <v>156</v>
      </c>
      <c r="B158" s="158"/>
      <c r="C158" s="149"/>
      <c r="D158" s="149"/>
      <c r="E158" s="149"/>
      <c r="F158" s="526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526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526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</row>
    <row r="159" spans="1:45" s="150" customFormat="1">
      <c r="A159" s="422">
        <f t="shared" si="40"/>
        <v>157</v>
      </c>
      <c r="B159" s="150" t="s">
        <v>483</v>
      </c>
      <c r="C159" s="149"/>
      <c r="D159" s="149"/>
      <c r="E159" s="149">
        <f>Debt!N127</f>
        <v>4.1636148099999994</v>
      </c>
      <c r="F159" s="526"/>
      <c r="G159" s="149">
        <f>+Debt!P127</f>
        <v>4.1370324482898226</v>
      </c>
      <c r="H159" s="149">
        <f>+Debt!Q127</f>
        <v>5.5119271440569753</v>
      </c>
      <c r="I159" s="149">
        <f>+Debt!R127</f>
        <v>5.4788633008653171</v>
      </c>
      <c r="J159" s="149">
        <f>+Debt!S127</f>
        <v>5.4462918101661018</v>
      </c>
      <c r="K159" s="149">
        <f>+Debt!T127</f>
        <v>5.4132279669744436</v>
      </c>
      <c r="L159" s="149">
        <f>+Debt!U127</f>
        <v>5.3806564762752283</v>
      </c>
      <c r="M159" s="149">
        <f>+Debt!V127</f>
        <v>5.3475926330835701</v>
      </c>
      <c r="N159" s="149">
        <f>+Debt!W127</f>
        <v>5.314528789891912</v>
      </c>
      <c r="O159" s="149">
        <f>+Debt!X127</f>
        <v>5.2819572991926966</v>
      </c>
      <c r="P159" s="149">
        <f>+Debt!Y127</f>
        <v>5.2488934560010385</v>
      </c>
      <c r="Q159" s="149">
        <f>+Debt!Z127</f>
        <v>5.2163219653018231</v>
      </c>
      <c r="R159" s="149">
        <f>+Debt!AA127</f>
        <v>5.1832581221101641</v>
      </c>
      <c r="S159" s="526">
        <f t="shared" si="35"/>
        <v>5.1832581221101641</v>
      </c>
      <c r="T159" s="149">
        <f>+Debt!AC127</f>
        <v>5.150194278918506</v>
      </c>
      <c r="U159" s="149">
        <f>+Debt!AD127</f>
        <v>5.118607493204177</v>
      </c>
      <c r="V159" s="149">
        <f>+Debt!AE127</f>
        <v>5.0855436500125188</v>
      </c>
      <c r="W159" s="149">
        <f>+Debt!AF127</f>
        <v>5.0529721593133035</v>
      </c>
      <c r="X159" s="149">
        <f>+Debt!AG127</f>
        <v>5.0199083161216453</v>
      </c>
      <c r="Y159" s="149">
        <f>+Debt!AH127</f>
        <v>4.98733682542243</v>
      </c>
      <c r="Z159" s="149">
        <f>+Debt!AI127</f>
        <v>4.9542729822307718</v>
      </c>
      <c r="AA159" s="149">
        <f>+Debt!AJ127</f>
        <v>4.9212091390391137</v>
      </c>
      <c r="AB159" s="149">
        <f>+Debt!AK127</f>
        <v>4.8886376483398983</v>
      </c>
      <c r="AC159" s="149">
        <f>+Debt!AL127</f>
        <v>4.8555738051482402</v>
      </c>
      <c r="AD159" s="149">
        <f>+Debt!AM127</f>
        <v>4.8230023144490248</v>
      </c>
      <c r="AE159" s="149">
        <f>+Debt!AN127</f>
        <v>4.7899384712573658</v>
      </c>
      <c r="AF159" s="526">
        <f t="shared" si="36"/>
        <v>4.7899384712573658</v>
      </c>
      <c r="AG159" s="149">
        <f>+Debt!AP127</f>
        <v>4.3966188204045666</v>
      </c>
      <c r="AH159" s="149">
        <f>+Debt!AQ127</f>
        <v>4.1386401503926589</v>
      </c>
      <c r="AI159" s="149">
        <f>+Debt!AR127</f>
        <v>3.8811538328731938</v>
      </c>
      <c r="AJ159" s="149">
        <f>+Debt!AS127</f>
        <v>3.6236675153537288</v>
      </c>
      <c r="AK159" s="149">
        <f>+Debt!AT127</f>
        <v>3.3661811978342637</v>
      </c>
      <c r="AL159" s="149">
        <f>+Debt!AU127</f>
        <v>3.108202527822356</v>
      </c>
      <c r="AM159" s="149">
        <f>+Debt!AV127</f>
        <v>2.8507162103028909</v>
      </c>
      <c r="AN159" s="149">
        <f>+Debt!AW127</f>
        <v>2.5932298927834259</v>
      </c>
      <c r="AO159" s="149">
        <f>+Debt!AX127</f>
        <v>8.12763692016396</v>
      </c>
      <c r="AP159" s="149">
        <f>+Debt!AY127</f>
        <v>7.5800635829070524</v>
      </c>
      <c r="AQ159" s="149">
        <f>+Debt!AZ127</f>
        <v>7.0329825981425875</v>
      </c>
      <c r="AR159" s="149"/>
      <c r="AS159" s="149"/>
    </row>
    <row r="160" spans="1:45" s="150" customFormat="1">
      <c r="A160" s="422">
        <f t="shared" si="40"/>
        <v>158</v>
      </c>
      <c r="B160" s="150" t="s">
        <v>487</v>
      </c>
      <c r="C160" s="149"/>
      <c r="D160" s="149"/>
      <c r="E160" s="149">
        <f>'Regulatory Charge'!K38+'Regulatory Charge'!K43</f>
        <v>0.99691719999999995</v>
      </c>
      <c r="F160" s="526"/>
      <c r="G160" s="149">
        <f>'Regulatory Charge'!M27+'Regulatory Charge'!M38+'Regulatory Charge'!M43+'Regulatory Charge'!M48</f>
        <v>1.2436591078787878</v>
      </c>
      <c r="H160" s="149">
        <f>'Regulatory Charge'!N27+'Regulatory Charge'!N38+'Regulatory Charge'!N43+'Regulatory Charge'!N48</f>
        <v>1.4008971357575759</v>
      </c>
      <c r="I160" s="149">
        <f>'Regulatory Charge'!O27+'Regulatory Charge'!O38+'Regulatory Charge'!O43+'Regulatory Charge'!O48</f>
        <v>1.5011161636363637</v>
      </c>
      <c r="J160" s="149">
        <f>'Regulatory Charge'!P27+'Regulatory Charge'!P38+'Regulatory Charge'!P43+'Regulatory Charge'!P48</f>
        <v>1.6336001915151517</v>
      </c>
      <c r="K160" s="149">
        <f>'Regulatory Charge'!Q27+'Regulatory Charge'!Q38+'Regulatory Charge'!Q43+'Regulatory Charge'!Q48</f>
        <v>1.7958242193939395</v>
      </c>
      <c r="L160" s="149">
        <f>'Regulatory Charge'!R27+'Regulatory Charge'!R38+'Regulatory Charge'!R43+'Regulatory Charge'!R48</f>
        <v>2.0771992472727274</v>
      </c>
      <c r="M160" s="149">
        <f>'Regulatory Charge'!S27+'Regulatory Charge'!S38+'Regulatory Charge'!S43+'Regulatory Charge'!S48</f>
        <v>2.133293275151515</v>
      </c>
      <c r="N160" s="149">
        <f>'Regulatory Charge'!T27+'Regulatory Charge'!T38+'Regulatory Charge'!T43+'Regulatory Charge'!T48</f>
        <v>6.7193763030303026</v>
      </c>
      <c r="O160" s="149">
        <f>'Regulatory Charge'!U27+'Regulatory Charge'!U38+'Regulatory Charge'!U43+'Regulatory Charge'!U48</f>
        <v>6.5773187475757577</v>
      </c>
      <c r="P160" s="149">
        <f>'Regulatory Charge'!V27+'Regulatory Charge'!V38+'Regulatory Charge'!V43+'Regulatory Charge'!V48</f>
        <v>6.4352611921212128</v>
      </c>
      <c r="Q160" s="149">
        <f>'Regulatory Charge'!W27+'Regulatory Charge'!W38+'Regulatory Charge'!W43+'Regulatory Charge'!W48</f>
        <v>6.2932036366666679</v>
      </c>
      <c r="R160" s="149">
        <f>'Regulatory Charge'!X27+'Regulatory Charge'!X38+'Regulatory Charge'!X43+'Regulatory Charge'!X48</f>
        <v>6.151146081212123</v>
      </c>
      <c r="S160" s="526">
        <f t="shared" si="35"/>
        <v>6.151146081212123</v>
      </c>
      <c r="T160" s="149">
        <f>'Regulatory Charge'!Z27+'Regulatory Charge'!Z38+'Regulatory Charge'!Z43+'Regulatory Charge'!Z48</f>
        <v>6.0090885257575781</v>
      </c>
      <c r="U160" s="149">
        <f>'Regulatory Charge'!AA27+'Regulatory Charge'!AA38+'Regulatory Charge'!AA43+'Regulatory Charge'!AA48</f>
        <v>5.8670309703030332</v>
      </c>
      <c r="V160" s="149">
        <f>'Regulatory Charge'!AB27+'Regulatory Charge'!AB38+'Regulatory Charge'!AB43+'Regulatory Charge'!AB48</f>
        <v>5.7249734148484883</v>
      </c>
      <c r="W160" s="149">
        <f>'Regulatory Charge'!AC27+'Regulatory Charge'!AC38+'Regulatory Charge'!AC43+'Regulatory Charge'!AC48</f>
        <v>5.5829158593939425</v>
      </c>
      <c r="X160" s="149">
        <f>'Regulatory Charge'!AD27+'Regulatory Charge'!AD38+'Regulatory Charge'!AD43+'Regulatory Charge'!AD48</f>
        <v>5.4408583039393967</v>
      </c>
      <c r="Y160" s="149">
        <f>'Regulatory Charge'!AE27+'Regulatory Charge'!AE38+'Regulatory Charge'!AE43+'Regulatory Charge'!AE48</f>
        <v>5.2988007484848518</v>
      </c>
      <c r="Z160" s="149">
        <f>'Regulatory Charge'!AF27+'Regulatory Charge'!AF38+'Regulatory Charge'!AF43+'Regulatory Charge'!AF48</f>
        <v>5.1567431930303069</v>
      </c>
      <c r="AA160" s="149">
        <f>'Regulatory Charge'!AG27+'Regulatory Charge'!AG38+'Regulatory Charge'!AG43+'Regulatory Charge'!AG48</f>
        <v>5.0146856375757611</v>
      </c>
      <c r="AB160" s="149">
        <f>'Regulatory Charge'!AH27+'Regulatory Charge'!AH38+'Regulatory Charge'!AH43+'Regulatory Charge'!AH48</f>
        <v>4.8726280821212153</v>
      </c>
      <c r="AC160" s="149">
        <f>'Regulatory Charge'!AI27+'Regulatory Charge'!AI38+'Regulatory Charge'!AI43+'Regulatory Charge'!AI48</f>
        <v>4.7305705266666704</v>
      </c>
      <c r="AD160" s="149">
        <f>'Regulatory Charge'!AJ27+'Regulatory Charge'!AJ38+'Regulatory Charge'!AJ43+'Regulatory Charge'!AJ48</f>
        <v>4.5885129712121246</v>
      </c>
      <c r="AE160" s="149">
        <f>'Regulatory Charge'!AK27+'Regulatory Charge'!AK38+'Regulatory Charge'!AK43+'Regulatory Charge'!AK48</f>
        <v>4.4464554157575797</v>
      </c>
      <c r="AF160" s="526">
        <f t="shared" si="36"/>
        <v>4.4464554157575797</v>
      </c>
      <c r="AG160" s="149">
        <f>'Regulatory Charge'!AM27+'Regulatory Charge'!AM38+'Regulatory Charge'!AM43+'Regulatory Charge'!AM48</f>
        <v>6.3456995474424458</v>
      </c>
      <c r="AH160" s="149">
        <f>'Regulatory Charge'!AN27+'Regulatory Charge'!AN38+'Regulatory Charge'!AN43+'Regulatory Charge'!AN48</f>
        <v>4.9526948643739299</v>
      </c>
      <c r="AI160" s="149">
        <f>'Regulatory Charge'!AO27+'Regulatory Charge'!AO38+'Regulatory Charge'!AO43+'Regulatory Charge'!AO48</f>
        <v>4.0470893293488555</v>
      </c>
      <c r="AJ160" s="149">
        <f>'Regulatory Charge'!AP27+'Regulatory Charge'!AP38+'Regulatory Charge'!AP43+'Regulatory Charge'!AP48</f>
        <v>3.7708898275589635</v>
      </c>
      <c r="AK160" s="149">
        <f>'Regulatory Charge'!AQ27+'Regulatory Charge'!AQ38+'Regulatory Charge'!AQ43+'Regulatory Charge'!AQ48</f>
        <v>3.7697730923481028</v>
      </c>
      <c r="AL160" s="149">
        <f>'Regulatory Charge'!AR27+'Regulatory Charge'!AR38+'Regulatory Charge'!AR43+'Regulatory Charge'!AR48</f>
        <v>3.754685026529772</v>
      </c>
      <c r="AM160" s="149">
        <f>'Regulatory Charge'!AS27+'Regulatory Charge'!AS38+'Regulatory Charge'!AS43+'Regulatory Charge'!AS48</f>
        <v>4.1132754394961282</v>
      </c>
      <c r="AN160" s="149">
        <f>'Regulatory Charge'!AT27+'Regulatory Charge'!AT38+'Regulatory Charge'!AT43+'Regulatory Charge'!AT48</f>
        <v>4.1106490755448704</v>
      </c>
      <c r="AO160" s="149">
        <f>'Regulatory Charge'!AU27+'Regulatory Charge'!AU38+'Regulatory Charge'!AU43+'Regulatory Charge'!AU48</f>
        <v>4.1121206690763117</v>
      </c>
      <c r="AP160" s="149">
        <f>'Regulatory Charge'!AV27+'Regulatory Charge'!AV38+'Regulatory Charge'!AV43+'Regulatory Charge'!AV48</f>
        <v>4.4738429189342117</v>
      </c>
      <c r="AQ160" s="149">
        <f>'Regulatory Charge'!AW27+'Regulatory Charge'!AW38+'Regulatory Charge'!AW43+'Regulatory Charge'!AW48</f>
        <v>4.4845293220444535</v>
      </c>
      <c r="AR160" s="149"/>
      <c r="AS160" s="149"/>
    </row>
    <row r="161" spans="1:45" s="150" customFormat="1">
      <c r="A161" s="422">
        <f t="shared" si="40"/>
        <v>159</v>
      </c>
      <c r="B161" s="150" t="s">
        <v>488</v>
      </c>
      <c r="C161" s="149"/>
      <c r="D161" s="149"/>
      <c r="E161" s="149">
        <f>3.98108151-0.29283012</f>
        <v>3.68825139</v>
      </c>
      <c r="F161" s="526"/>
      <c r="G161" s="149">
        <f>E161-'O&amp;M'!O9-'O&amp;M'!O10-'O&amp;M'!O186+G234+Debt!P113+SUM(Debt!P114:P115)</f>
        <v>3.6394205715265184</v>
      </c>
      <c r="H161" s="149">
        <f>G161-'O&amp;M'!P9-'O&amp;M'!P10-'O&amp;M'!P186+H234+Debt!Q113+SUM(Debt!Q114:Q115)</f>
        <v>3.6225933864536963</v>
      </c>
      <c r="I161" s="149">
        <f>H161-'O&amp;M'!Q9-'O&amp;M'!Q10-'O&amp;M'!Q186+I234+Debt!R113+SUM(Debt!R114:R115)</f>
        <v>3.5607125679802145</v>
      </c>
      <c r="J161" s="149">
        <f>I161-'O&amp;M'!R9-'O&amp;M'!R10-'O&amp;M'!R186+J234+Debt!S113+SUM(Debt!S114:S115)</f>
        <v>3.5121329639736194</v>
      </c>
      <c r="K161" s="149">
        <f>J161-'O&amp;M'!S9-'O&amp;M'!S10-'O&amp;M'!S186+K234+Debt!T113+SUM(Debt!T114:T115)</f>
        <v>3.4945521455001378</v>
      </c>
      <c r="L161" s="149">
        <f>K161-'O&amp;M'!T9-'O&amp;M'!T10-'O&amp;M'!T186+L234+Debt!U113+SUM(Debt!U114:U115)</f>
        <v>3.4403425414935427</v>
      </c>
      <c r="M161" s="149">
        <f>L161-'O&amp;M'!U9-'O&amp;M'!U10-'O&amp;M'!U186+M234+Debt!V113+SUM(Debt!V114:V115)</f>
        <v>3.3915117230200611</v>
      </c>
      <c r="N161" s="149">
        <f>M161-'O&amp;M'!V9-'O&amp;M'!V10-'O&amp;M'!V186+N234+Debt!W113+SUM(Debt!W114:W115)</f>
        <v>3.3689309045465792</v>
      </c>
      <c r="O161" s="149">
        <f>N161-'O&amp;M'!W9-'O&amp;M'!W10-'O&amp;M'!W186+O234+Debt!X113+SUM(Debt!X114:X115)</f>
        <v>3.3073013005399838</v>
      </c>
      <c r="P161" s="149">
        <f>O161-'O&amp;M'!X9-'O&amp;M'!X10-'O&amp;M'!X186+P234+Debt!Y113+SUM(Debt!Y114:Y115)</f>
        <v>3.2584704820665022</v>
      </c>
      <c r="Q161" s="149">
        <f>P161-'O&amp;M'!Y9-'O&amp;M'!Y10-'O&amp;M'!Y186+Q234+Debt!Z113+SUM(Debt!Z114:Z115)</f>
        <v>3.2211408780599071</v>
      </c>
      <c r="R161" s="149">
        <f>Q161-'O&amp;M'!Z9-'O&amp;M'!Z10-'O&amp;M'!Z186+R234+Debt!AA113+SUM(Debt!AA114:AA115)</f>
        <v>3.1691800595864255</v>
      </c>
      <c r="S161" s="526">
        <f t="shared" si="35"/>
        <v>3.1691800595864255</v>
      </c>
      <c r="T161" s="149">
        <f>R161-'O&amp;M'!AB9-'O&amp;M'!AB10-'O&amp;M'!AB186+T234+Debt!AC113+SUM(Debt!AC114:AC115)</f>
        <v>3.1203492411129439</v>
      </c>
      <c r="U161" s="149">
        <f>T161-'O&amp;M'!AC9-'O&amp;M'!AC10-'O&amp;M'!AC186+U234+Debt!AD113+SUM(Debt!AD114:AD115)</f>
        <v>3.1035220560401218</v>
      </c>
      <c r="V161" s="149">
        <f>U161-'O&amp;M'!AD9-'O&amp;M'!AD10-'O&amp;M'!AD186+V234+Debt!AE113+SUM(Debt!AE114:AE115)</f>
        <v>3.04164123756664</v>
      </c>
      <c r="W161" s="149">
        <f>V161-'O&amp;M'!AE9-'O&amp;M'!AE10-'O&amp;M'!AE186+W234+Debt!AF113+SUM(Debt!AF114:AF115)</f>
        <v>2.9930616335600448</v>
      </c>
      <c r="X161" s="149">
        <f>W161-'O&amp;M'!AF9-'O&amp;M'!AF10-'O&amp;M'!AF186+X234+Debt!AG113+SUM(Debt!AG114:AG115)</f>
        <v>2.9754808150865633</v>
      </c>
      <c r="Y161" s="149">
        <f>X161-'O&amp;M'!AG9-'O&amp;M'!AG10-'O&amp;M'!AG186+Y234+Debt!AH113+SUM(Debt!AH114:AH115)</f>
        <v>2.9212712110799681</v>
      </c>
      <c r="Z161" s="149">
        <f>Y161-'O&amp;M'!AH9-'O&amp;M'!AH10-'O&amp;M'!AH186+Z234+Debt!AI113+SUM(Debt!AI114:AI115)</f>
        <v>2.9973233926064862</v>
      </c>
      <c r="AA161" s="149">
        <f>Z161-'O&amp;M'!AI9-'O&amp;M'!AI10-'O&amp;M'!AI186+AA234+Debt!AJ113+SUM(Debt!AJ114:AJ115)</f>
        <v>2.9745755741330044</v>
      </c>
      <c r="AB161" s="149">
        <f>AA161-'O&amp;M'!AJ9-'O&amp;M'!AJ10-'O&amp;M'!AJ186+AB234+Debt!AK113+SUM(Debt!AK114:AK115)</f>
        <v>2.9127789701264093</v>
      </c>
      <c r="AC161" s="149">
        <f>AB161-'O&amp;M'!AK9-'O&amp;M'!AK10-'O&amp;M'!AK186+AC234+Debt!AL113+SUM(Debt!AL114:AL115)</f>
        <v>2.8637811516529275</v>
      </c>
      <c r="AD161" s="149">
        <f>AC161-'O&amp;M'!AL9-'O&amp;M'!AL10-'O&amp;M'!AL186+AD234+Debt!AM113+SUM(Debt!AM114:AM115)</f>
        <v>2.8262845476463321</v>
      </c>
      <c r="AE161" s="149">
        <f>AD161-'O&amp;M'!AM9-'O&amp;M'!AM10-'O&amp;M'!AM186+AE234+Debt!AN113+SUM(Debt!AN114:AN115)</f>
        <v>2.7741567291728502</v>
      </c>
      <c r="AF161" s="526">
        <f t="shared" si="36"/>
        <v>2.7741567291728502</v>
      </c>
      <c r="AG161" s="149">
        <f>AE161-'O&amp;M'!AO9-'O&amp;M'!AO10-'O&amp;M'!AO186+AG234+Debt!AP113+SUM(Debt!AP114:AP115)</f>
        <v>2.2530813987592748</v>
      </c>
      <c r="AH161" s="149">
        <f>AG161-'O&amp;M'!AP9-'O&amp;M'!AP10-'O&amp;M'!AP186+AH234+Debt!AQ113+SUM(Debt!AQ114:AQ115)</f>
        <v>1.7317548638788129</v>
      </c>
      <c r="AI161" s="149">
        <f>AH161-'O&amp;M'!AQ9-'O&amp;M'!AQ10-'O&amp;M'!AQ186+AI234+Debt!AR113+SUM(Debt!AR114:AR115)</f>
        <v>1.410679533465238</v>
      </c>
      <c r="AJ161" s="149">
        <f>AI161-'O&amp;M'!AR9-'O&amp;M'!AR10-'O&amp;M'!AR186+AJ234+Debt!AS113+SUM(Debt!AS114:AS115)</f>
        <v>0.88960420305166299</v>
      </c>
      <c r="AK161" s="149">
        <f>AJ161-'O&amp;M'!AS9-'O&amp;M'!AS10-'O&amp;M'!AS186+AK234+Debt!AT113+SUM(Debt!AT114:AT115)</f>
        <v>0.49352887263808787</v>
      </c>
      <c r="AL161" s="149">
        <f>AK161-'O&amp;M'!AT9-'O&amp;M'!AT10-'O&amp;M'!AT186+AL234+Debt!AU113+SUM(Debt!AU114:AU115)</f>
        <v>-2.7797662242373788E-2</v>
      </c>
      <c r="AM161" s="149">
        <f>AL161-'O&amp;M'!AU9-'O&amp;M'!AU10-'O&amp;M'!AU186+AM234+Debt!AV113+SUM(Debt!AV114:AV115)</f>
        <v>-0.54887299265594891</v>
      </c>
      <c r="AN161" s="149">
        <f>AM161-'O&amp;M'!AV9-'O&amp;M'!AV10-'O&amp;M'!AV186+AN234+Debt!AW113+SUM(Debt!AW114:AW115)</f>
        <v>-0.86994832306952397</v>
      </c>
      <c r="AO161" s="149">
        <f>AN161-'O&amp;M'!AW9-'O&amp;M'!AW10-'O&amp;M'!AW186+AO234+Debt!AX113+SUM(Debt!AX114:AX115)</f>
        <v>-1.3910236534830991</v>
      </c>
      <c r="AP161" s="149">
        <f>AO161-'O&amp;M'!AX9-'O&amp;M'!AX10-'O&amp;M'!AX186+AP234+Debt!AY113+SUM(Debt!AY114:AY115)</f>
        <v>-1.7873501883635607</v>
      </c>
      <c r="AQ161" s="149">
        <f>AP161-'O&amp;M'!AY9-'O&amp;M'!AY10-'O&amp;M'!AY186+AQ234+Debt!AZ113+SUM(Debt!AZ114:AZ115)</f>
        <v>-2.3084255187771356</v>
      </c>
      <c r="AR161" s="149"/>
      <c r="AS161" s="149"/>
    </row>
    <row r="162" spans="1:45" s="150" customFormat="1">
      <c r="A162" s="422">
        <f t="shared" si="40"/>
        <v>160</v>
      </c>
      <c r="B162" s="150" t="s">
        <v>489</v>
      </c>
      <c r="C162" s="149"/>
      <c r="D162" s="149"/>
      <c r="E162" s="149">
        <v>0</v>
      </c>
      <c r="F162" s="620"/>
      <c r="G162" s="149">
        <f>E162</f>
        <v>0</v>
      </c>
      <c r="H162" s="149">
        <f>G162</f>
        <v>0</v>
      </c>
      <c r="I162" s="149">
        <f t="shared" ref="I162:Q162" si="72">H162</f>
        <v>0</v>
      </c>
      <c r="J162" s="149">
        <f t="shared" si="72"/>
        <v>0</v>
      </c>
      <c r="K162" s="149">
        <f t="shared" si="72"/>
        <v>0</v>
      </c>
      <c r="L162" s="149">
        <f t="shared" si="72"/>
        <v>0</v>
      </c>
      <c r="M162" s="149">
        <f t="shared" si="72"/>
        <v>0</v>
      </c>
      <c r="N162" s="149">
        <f t="shared" si="72"/>
        <v>0</v>
      </c>
      <c r="O162" s="149">
        <f t="shared" si="72"/>
        <v>0</v>
      </c>
      <c r="P162" s="149">
        <f t="shared" si="72"/>
        <v>0</v>
      </c>
      <c r="Q162" s="149">
        <f t="shared" si="72"/>
        <v>0</v>
      </c>
      <c r="R162" s="149">
        <f>Q162</f>
        <v>0</v>
      </c>
      <c r="S162" s="526">
        <f t="shared" si="35"/>
        <v>0</v>
      </c>
      <c r="T162" s="149">
        <f>R162</f>
        <v>0</v>
      </c>
      <c r="U162" s="149">
        <f>T162</f>
        <v>0</v>
      </c>
      <c r="V162" s="149">
        <f t="shared" ref="V162:AD162" si="73">U162</f>
        <v>0</v>
      </c>
      <c r="W162" s="149">
        <f t="shared" si="73"/>
        <v>0</v>
      </c>
      <c r="X162" s="149">
        <f t="shared" si="73"/>
        <v>0</v>
      </c>
      <c r="Y162" s="149">
        <f t="shared" si="73"/>
        <v>0</v>
      </c>
      <c r="Z162" s="149">
        <f t="shared" si="73"/>
        <v>0</v>
      </c>
      <c r="AA162" s="149">
        <f t="shared" si="73"/>
        <v>0</v>
      </c>
      <c r="AB162" s="149">
        <f t="shared" si="73"/>
        <v>0</v>
      </c>
      <c r="AC162" s="149">
        <f t="shared" si="73"/>
        <v>0</v>
      </c>
      <c r="AD162" s="149">
        <f t="shared" si="73"/>
        <v>0</v>
      </c>
      <c r="AE162" s="149">
        <f>AD162</f>
        <v>0</v>
      </c>
      <c r="AF162" s="526">
        <f t="shared" si="36"/>
        <v>0</v>
      </c>
      <c r="AG162" s="149">
        <f>AE162</f>
        <v>0</v>
      </c>
      <c r="AH162" s="149">
        <f>AG162</f>
        <v>0</v>
      </c>
      <c r="AI162" s="149">
        <f t="shared" ref="AI162:AP162" si="74">AH162</f>
        <v>0</v>
      </c>
      <c r="AJ162" s="149">
        <f t="shared" si="74"/>
        <v>0</v>
      </c>
      <c r="AK162" s="149">
        <f t="shared" si="74"/>
        <v>0</v>
      </c>
      <c r="AL162" s="149">
        <f t="shared" si="74"/>
        <v>0</v>
      </c>
      <c r="AM162" s="149">
        <f t="shared" si="74"/>
        <v>0</v>
      </c>
      <c r="AN162" s="149">
        <f t="shared" si="74"/>
        <v>0</v>
      </c>
      <c r="AO162" s="149">
        <f t="shared" si="74"/>
        <v>0</v>
      </c>
      <c r="AP162" s="149">
        <f t="shared" si="74"/>
        <v>0</v>
      </c>
      <c r="AQ162" s="149">
        <f>AP162</f>
        <v>0</v>
      </c>
      <c r="AR162" s="149"/>
      <c r="AS162" s="149"/>
    </row>
    <row r="163" spans="1:45" s="150" customFormat="1">
      <c r="A163" s="422">
        <f t="shared" si="40"/>
        <v>161</v>
      </c>
      <c r="C163" s="149"/>
      <c r="D163" s="149"/>
      <c r="E163" s="149"/>
      <c r="F163" s="526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526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526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</row>
    <row r="164" spans="1:45" s="150" customFormat="1" ht="16.5" thickBot="1">
      <c r="A164" s="422">
        <f t="shared" si="40"/>
        <v>162</v>
      </c>
      <c r="B164" s="158" t="s">
        <v>490</v>
      </c>
      <c r="C164" s="152"/>
      <c r="D164" s="152"/>
      <c r="E164" s="152">
        <f>SUM(E159:E163)+E157+E145+E135</f>
        <v>1546.6779210499999</v>
      </c>
      <c r="F164" s="525"/>
      <c r="G164" s="152">
        <f t="shared" ref="G164:R164" si="75">+G135+G145+G157+SUM(G159:G162)</f>
        <v>1544.1258945455559</v>
      </c>
      <c r="H164" s="152">
        <f t="shared" si="75"/>
        <v>1538.5183142952694</v>
      </c>
      <c r="I164" s="152">
        <f t="shared" si="75"/>
        <v>1545.7052148595785</v>
      </c>
      <c r="J164" s="152">
        <f t="shared" si="75"/>
        <v>1543.3161521855448</v>
      </c>
      <c r="K164" s="152">
        <f t="shared" si="75"/>
        <v>1536.2693494639466</v>
      </c>
      <c r="L164" s="152">
        <f t="shared" si="75"/>
        <v>1537.2010612672013</v>
      </c>
      <c r="M164" s="152">
        <f t="shared" si="75"/>
        <v>1538.8931052421151</v>
      </c>
      <c r="N164" s="152">
        <f t="shared" si="75"/>
        <v>1533.6717542133611</v>
      </c>
      <c r="O164" s="152">
        <f t="shared" si="75"/>
        <v>1542.0751118536919</v>
      </c>
      <c r="P164" s="152">
        <f t="shared" si="75"/>
        <v>1542.6609803693129</v>
      </c>
      <c r="Q164" s="152">
        <f t="shared" si="75"/>
        <v>1535.0006052611977</v>
      </c>
      <c r="R164" s="152">
        <f t="shared" si="75"/>
        <v>1531.0860850699257</v>
      </c>
      <c r="S164" s="525">
        <f t="shared" si="35"/>
        <v>1531.0860850699257</v>
      </c>
      <c r="T164" s="152">
        <f t="shared" ref="T164:AE164" si="76">+T135+T145+T157+SUM(T159:T162)</f>
        <v>1545.1528527972464</v>
      </c>
      <c r="U164" s="152">
        <f t="shared" si="76"/>
        <v>1541.2901541058559</v>
      </c>
      <c r="V164" s="152">
        <f t="shared" si="76"/>
        <v>1552.2388440241753</v>
      </c>
      <c r="W164" s="152">
        <f t="shared" si="76"/>
        <v>1548.1887895728059</v>
      </c>
      <c r="X164" s="152">
        <f t="shared" si="76"/>
        <v>1538.001314303476</v>
      </c>
      <c r="Y164" s="152">
        <f t="shared" si="76"/>
        <v>1535.5643776416759</v>
      </c>
      <c r="Z164" s="152">
        <f t="shared" si="76"/>
        <v>1536.9480084144527</v>
      </c>
      <c r="AA164" s="152">
        <f t="shared" si="76"/>
        <v>1533.3359205495999</v>
      </c>
      <c r="AB164" s="152">
        <f t="shared" si="76"/>
        <v>1533.8583157387443</v>
      </c>
      <c r="AC164" s="152">
        <f t="shared" si="76"/>
        <v>1535.2593009373065</v>
      </c>
      <c r="AD164" s="152">
        <f t="shared" si="76"/>
        <v>1528.4252695696775</v>
      </c>
      <c r="AE164" s="152">
        <f t="shared" si="76"/>
        <v>1525.3426037936808</v>
      </c>
      <c r="AF164" s="525">
        <f t="shared" si="36"/>
        <v>1525.3426037936808</v>
      </c>
      <c r="AG164" s="152">
        <f t="shared" ref="AG164:AP164" si="77">+AG135+AG145+AG157+SUM(AG159:AG162)</f>
        <v>1493.4355137320802</v>
      </c>
      <c r="AH164" s="152">
        <f t="shared" si="77"/>
        <v>1458.9622853840115</v>
      </c>
      <c r="AI164" s="152">
        <f t="shared" si="77"/>
        <v>1424.0259575837351</v>
      </c>
      <c r="AJ164" s="152">
        <f t="shared" si="77"/>
        <v>1415.7767659340884</v>
      </c>
      <c r="AK164" s="152">
        <f t="shared" si="77"/>
        <v>1416.6471682299255</v>
      </c>
      <c r="AL164" s="152">
        <f t="shared" si="77"/>
        <v>1397.3950125112035</v>
      </c>
      <c r="AM164" s="152">
        <f t="shared" si="77"/>
        <v>1369.3655681610107</v>
      </c>
      <c r="AN164" s="152">
        <f t="shared" si="77"/>
        <v>1364.0930555661569</v>
      </c>
      <c r="AO164" s="152">
        <f t="shared" si="77"/>
        <v>1543.9111499738815</v>
      </c>
      <c r="AP164" s="152">
        <f t="shared" si="77"/>
        <v>1512.9531904143487</v>
      </c>
      <c r="AQ164" s="152">
        <f>+AQ135+AQ145+AQ157+SUM(AQ159:AQ162)</f>
        <v>1482.6787796854849</v>
      </c>
      <c r="AR164" s="149"/>
      <c r="AS164" s="149"/>
    </row>
    <row r="165" spans="1:45" s="150" customFormat="1" ht="16.5" thickTop="1">
      <c r="A165" s="422">
        <f t="shared" si="40"/>
        <v>163</v>
      </c>
      <c r="B165" s="158"/>
      <c r="C165" s="149"/>
      <c r="D165" s="149"/>
      <c r="E165" s="149"/>
      <c r="F165" s="526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526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526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</row>
    <row r="166" spans="1:45" s="150" customFormat="1" ht="15.75">
      <c r="A166" s="422">
        <f t="shared" si="40"/>
        <v>164</v>
      </c>
      <c r="B166" s="158"/>
      <c r="C166" s="149"/>
      <c r="D166" s="149"/>
      <c r="E166" s="149"/>
      <c r="F166" s="526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526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526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</row>
    <row r="167" spans="1:45" s="150" customFormat="1" ht="15.75">
      <c r="A167" s="422">
        <f t="shared" si="40"/>
        <v>165</v>
      </c>
      <c r="B167" s="158" t="s">
        <v>491</v>
      </c>
      <c r="C167" s="149"/>
      <c r="D167" s="149"/>
      <c r="E167" s="149">
        <v>402.88168718999998</v>
      </c>
      <c r="F167" s="526"/>
      <c r="G167" s="149">
        <f>E167+G127</f>
        <v>406.78802875941165</v>
      </c>
      <c r="H167" s="149">
        <f t="shared" ref="H167:R167" si="78">G167+H127</f>
        <v>408.57230120976965</v>
      </c>
      <c r="I167" s="149">
        <f t="shared" si="78"/>
        <v>409.02983220693545</v>
      </c>
      <c r="J167" s="149">
        <f t="shared" si="78"/>
        <v>405.62997909482488</v>
      </c>
      <c r="K167" s="149">
        <f t="shared" si="78"/>
        <v>399.77261038464474</v>
      </c>
      <c r="L167" s="149">
        <f t="shared" si="78"/>
        <v>400.63781438766591</v>
      </c>
      <c r="M167" s="149">
        <f t="shared" si="78"/>
        <v>403.3863668619465</v>
      </c>
      <c r="N167" s="149">
        <f t="shared" si="78"/>
        <v>406.12905438341386</v>
      </c>
      <c r="O167" s="149">
        <f t="shared" si="78"/>
        <v>405.98485148424231</v>
      </c>
      <c r="P167" s="149">
        <f t="shared" si="78"/>
        <v>403.48781359194294</v>
      </c>
      <c r="Q167" s="149">
        <f t="shared" si="78"/>
        <v>403.8727972311184</v>
      </c>
      <c r="R167" s="149">
        <f t="shared" si="78"/>
        <v>407.83802827762446</v>
      </c>
      <c r="S167" s="526">
        <f t="shared" si="35"/>
        <v>407.83802827762446</v>
      </c>
      <c r="T167" s="149">
        <f>R167+T127</f>
        <v>412.99224575842743</v>
      </c>
      <c r="U167" s="149">
        <f t="shared" ref="U167:AE167" si="79">T167+U127</f>
        <v>416.53946686387064</v>
      </c>
      <c r="V167" s="149">
        <f t="shared" si="79"/>
        <v>417.18304747665877</v>
      </c>
      <c r="W167" s="149">
        <f t="shared" si="79"/>
        <v>410.53255891311875</v>
      </c>
      <c r="X167" s="149">
        <f t="shared" si="79"/>
        <v>406.31252474696379</v>
      </c>
      <c r="Y167" s="149">
        <f t="shared" si="79"/>
        <v>408.22132976559544</v>
      </c>
      <c r="Z167" s="149">
        <f t="shared" si="79"/>
        <v>411.94585175301648</v>
      </c>
      <c r="AA167" s="149">
        <f t="shared" si="79"/>
        <v>415.55209852475207</v>
      </c>
      <c r="AB167" s="149">
        <f t="shared" si="79"/>
        <v>416.13721225116853</v>
      </c>
      <c r="AC167" s="149">
        <f t="shared" si="79"/>
        <v>414.35958376017749</v>
      </c>
      <c r="AD167" s="149">
        <f t="shared" si="79"/>
        <v>415.44971214386078</v>
      </c>
      <c r="AE167" s="149">
        <f t="shared" si="79"/>
        <v>419.26260715801646</v>
      </c>
      <c r="AF167" s="526">
        <f t="shared" si="36"/>
        <v>419.26260715801646</v>
      </c>
      <c r="AG167" s="149">
        <f>AE167+AG127</f>
        <v>430.66898120593919</v>
      </c>
      <c r="AH167" s="149">
        <f t="shared" ref="AH167:AP167" si="80">AG167+AH127</f>
        <v>439.16650459198547</v>
      </c>
      <c r="AI167" s="149">
        <f t="shared" si="80"/>
        <v>445.71850777277416</v>
      </c>
      <c r="AJ167" s="149">
        <f t="shared" si="80"/>
        <v>452.88427037881416</v>
      </c>
      <c r="AK167" s="149">
        <f t="shared" si="80"/>
        <v>463.81030879569039</v>
      </c>
      <c r="AL167" s="149">
        <f t="shared" si="80"/>
        <v>474.20216229821455</v>
      </c>
      <c r="AM167" s="149">
        <f t="shared" si="80"/>
        <v>483.95796343544225</v>
      </c>
      <c r="AN167" s="149">
        <f t="shared" si="80"/>
        <v>493.3073588490185</v>
      </c>
      <c r="AO167" s="149">
        <f t="shared" si="80"/>
        <v>502.48398052332936</v>
      </c>
      <c r="AP167" s="149">
        <f t="shared" si="80"/>
        <v>514.41200262600205</v>
      </c>
      <c r="AQ167" s="149">
        <f>AP167+AQ127</f>
        <v>525.93409067112987</v>
      </c>
      <c r="AR167" s="149"/>
      <c r="AS167" s="149"/>
    </row>
    <row r="168" spans="1:45" s="150" customFormat="1" ht="15.75">
      <c r="A168" s="422">
        <f t="shared" si="40"/>
        <v>166</v>
      </c>
      <c r="B168" s="158"/>
      <c r="C168" s="149"/>
      <c r="D168" s="149"/>
      <c r="E168" s="149"/>
      <c r="F168" s="526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526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526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</row>
    <row r="169" spans="1:45" s="150" customFormat="1">
      <c r="A169" s="422">
        <f t="shared" si="40"/>
        <v>167</v>
      </c>
      <c r="B169" s="150" t="s">
        <v>492</v>
      </c>
      <c r="C169" s="149"/>
      <c r="D169" s="149"/>
      <c r="E169" s="149">
        <f>Debt!N29+Debt!N53</f>
        <v>210.35905036999998</v>
      </c>
      <c r="F169" s="526"/>
      <c r="G169" s="149">
        <f>Debt!Q29+Debt!Q53</f>
        <v>210.37008931000022</v>
      </c>
      <c r="H169" s="149">
        <f>Debt!R29+Debt!R53</f>
        <v>210.37008931000022</v>
      </c>
      <c r="I169" s="149">
        <f>Debt!S29+Debt!S53</f>
        <v>212.23369800000023</v>
      </c>
      <c r="J169" s="149">
        <f>Debt!T29+Debt!T53</f>
        <v>212.24444755000025</v>
      </c>
      <c r="K169" s="149">
        <f>Debt!U29+Debt!U53</f>
        <v>212.24444755000025</v>
      </c>
      <c r="L169" s="149">
        <f>Debt!V29+Debt!V53</f>
        <v>214.15570498000022</v>
      </c>
      <c r="M169" s="149">
        <f>Debt!W29+Debt!W53</f>
        <v>214.16685249000022</v>
      </c>
      <c r="N169" s="149">
        <f>Debt!X29+Debt!X53</f>
        <v>214.16685249000022</v>
      </c>
      <c r="O169" s="149">
        <f>Debt!Y29+Debt!Y53</f>
        <v>216.12704720000022</v>
      </c>
      <c r="P169" s="149">
        <f>Debt!Z29+Debt!Z53</f>
        <v>216.13848117000023</v>
      </c>
      <c r="Q169" s="149">
        <f>Debt!AA29+Debt!AA53</f>
        <v>216.13848117000023</v>
      </c>
      <c r="R169" s="149">
        <f>Debt!AC29+Debt!AC53</f>
        <v>218.12732559000023</v>
      </c>
      <c r="S169" s="526">
        <f t="shared" si="35"/>
        <v>218.12732559000023</v>
      </c>
      <c r="T169" s="149">
        <f>Debt!AD29+Debt!AD53</f>
        <v>218.13905386000022</v>
      </c>
      <c r="U169" s="149">
        <f>Debt!AE29+Debt!AE53</f>
        <v>218.13905386000022</v>
      </c>
      <c r="V169" s="149">
        <f>Debt!AF29+Debt!AF53</f>
        <v>220.11309906000025</v>
      </c>
      <c r="W169" s="149">
        <f>Debt!AG29+Debt!AG53</f>
        <v>220.12448978000023</v>
      </c>
      <c r="X169" s="149">
        <f>Debt!AH29+Debt!AH53</f>
        <v>220.12448978000023</v>
      </c>
      <c r="Y169" s="149">
        <f>Debt!AI29+Debt!AI53</f>
        <v>222.14900737000022</v>
      </c>
      <c r="Z169" s="149">
        <f>Debt!AJ29+Debt!AJ53</f>
        <v>222.16081977000022</v>
      </c>
      <c r="AA169" s="149">
        <f>Debt!AK29+Debt!AK53</f>
        <v>222.16081977000022</v>
      </c>
      <c r="AB169" s="149">
        <f>Debt!AL29+Debt!AL53</f>
        <v>224.23717464000021</v>
      </c>
      <c r="AC169" s="149">
        <f>Debt!AM29+Debt!AM53</f>
        <v>224.24929060000022</v>
      </c>
      <c r="AD169" s="149">
        <f>Debt!AN29+Debt!AN53</f>
        <v>224.24929060000022</v>
      </c>
      <c r="AE169" s="149">
        <f>Debt!AP29+Debt!AP53</f>
        <v>226.35599296000021</v>
      </c>
      <c r="AF169" s="526">
        <f t="shared" si="36"/>
        <v>226.35599296000021</v>
      </c>
      <c r="AG169" s="149">
        <f>Debt!AQ29+Debt!AQ53</f>
        <v>235.07230527000019</v>
      </c>
      <c r="AH169" s="149">
        <f>Debt!AR29+Debt!AR53</f>
        <v>244.30549629000018</v>
      </c>
      <c r="AI169" s="149">
        <f>Debt!AS29+Debt!AS53</f>
        <v>254.08533227000021</v>
      </c>
      <c r="AJ169" s="149">
        <f>Debt!AT29+Debt!AT53</f>
        <v>264.44476682000015</v>
      </c>
      <c r="AK169" s="149">
        <f>Debt!AU29+Debt!AU53</f>
        <v>273.01528517000042</v>
      </c>
      <c r="AL169" s="149">
        <f>Debt!AV29+Debt!AV53</f>
        <v>240.97909162000045</v>
      </c>
      <c r="AM169" s="149">
        <f>Debt!AW29+Debt!AW53</f>
        <v>218.82668647000045</v>
      </c>
      <c r="AN169" s="149">
        <f>Debt!AX29+Debt!AX53</f>
        <v>231.79424641000045</v>
      </c>
      <c r="AO169" s="149">
        <f>Debt!AY29+Debt!AY53</f>
        <v>445.53025730000047</v>
      </c>
      <c r="AP169" s="149">
        <f>Debt!AZ29+Debt!AZ53</f>
        <v>445.53025730000047</v>
      </c>
      <c r="AQ169" s="149">
        <f>Debt!BA29+Debt!BA53</f>
        <v>445.53025730000047</v>
      </c>
      <c r="AR169" s="149"/>
      <c r="AS169" s="149"/>
    </row>
    <row r="170" spans="1:45" s="150" customFormat="1">
      <c r="A170" s="422">
        <f t="shared" si="40"/>
        <v>168</v>
      </c>
      <c r="B170" s="150" t="s">
        <v>493</v>
      </c>
      <c r="C170" s="156"/>
      <c r="D170" s="156"/>
      <c r="E170" s="156">
        <f>Debt!N8+Debt!N15+Debt!N22+Debt!N45+Pat.!D21</f>
        <v>714.88488452000013</v>
      </c>
      <c r="F170" s="528"/>
      <c r="G170" s="156">
        <f>+Debt!Q8+Debt!Q15+Debt!Q22+Debt!Q45+Pat.!G21</f>
        <v>714.88488452000013</v>
      </c>
      <c r="H170" s="156">
        <f>+Debt!R8+Debt!R15+Debt!R22+Debt!R45+Pat.!H21</f>
        <v>711.05635527604215</v>
      </c>
      <c r="I170" s="156">
        <f>+Debt!S8+Debt!S15+Debt!S22+Debt!S45+Pat.!I21</f>
        <v>714.24790327604217</v>
      </c>
      <c r="J170" s="156">
        <f>+Debt!T8+Debt!T15+Debt!T22+Debt!T45+Pat.!J21</f>
        <v>714.24790327604217</v>
      </c>
      <c r="K170" s="156">
        <f>+Debt!U8+Debt!U15+Debt!U22+Debt!U45+Pat.!K21</f>
        <v>710.38836990604216</v>
      </c>
      <c r="L170" s="156">
        <f>+Debt!V8+Debt!V15+Debt!V22+Debt!V45+Pat.!L21</f>
        <v>718.0833239060421</v>
      </c>
      <c r="M170" s="156">
        <f>+Debt!W8+Debt!W15+Debt!W22+Debt!W45+Pat.!M21</f>
        <v>718.0833239060421</v>
      </c>
      <c r="N170" s="156">
        <f>+Debt!X8+Debt!X15+Debt!X22+Debt!X45+Pat.!N21</f>
        <v>715.07887592604209</v>
      </c>
      <c r="O170" s="156">
        <f>+Debt!Y8+Debt!Y15+Debt!Y22+Debt!Y45+Pat.!O21</f>
        <v>730.01697992604215</v>
      </c>
      <c r="P170" s="156">
        <f>+Debt!Z8+Debt!Z15+Debt!Z22+Debt!Z45+Pat.!P21</f>
        <v>730.01697992604215</v>
      </c>
      <c r="Q170" s="156">
        <f>+Debt!AA8+Debt!AA15+Debt!AA22+Debt!AA45+Pat.!Q21</f>
        <v>726.9874275160422</v>
      </c>
      <c r="R170" s="156">
        <f>+Debt!AC8+Debt!AC15+Debt!AC22+Debt!AC45+Pat.!S21</f>
        <v>725.1034215160422</v>
      </c>
      <c r="S170" s="528">
        <f t="shared" si="35"/>
        <v>725.1034215160422</v>
      </c>
      <c r="T170" s="156">
        <f>+Debt!AD8+Debt!AD15+Debt!AD22+Debt!AD45+Pat.!T21</f>
        <v>734.1034215160422</v>
      </c>
      <c r="U170" s="156">
        <f>+Debt!AE8+Debt!AE15+Debt!AE22+Debt!AE45+Pat.!U21</f>
        <v>731.04854581604206</v>
      </c>
      <c r="V170" s="156">
        <f>+Debt!AF8+Debt!AF15+Debt!AF22+Debt!AF45+Pat.!V21</f>
        <v>738.14216681604216</v>
      </c>
      <c r="W170" s="156">
        <f>+Debt!AG8+Debt!AG15+Debt!AG22+Debt!AG45+Pat.!W21</f>
        <v>738.14216681604216</v>
      </c>
      <c r="X170" s="156">
        <f>+Debt!AH8+Debt!AH15+Debt!AH22+Debt!AH45+Pat.!X21</f>
        <v>735.0617468660422</v>
      </c>
      <c r="Y170" s="156">
        <f>+Debt!AI8+Debt!AI15+Debt!AI22+Debt!AI45+Pat.!Y21</f>
        <v>737.24772986604205</v>
      </c>
      <c r="Z170" s="156">
        <f>+Debt!AJ8+Debt!AJ15+Debt!AJ22+Debt!AJ45+Pat.!Z21</f>
        <v>737.24772986604205</v>
      </c>
      <c r="AA170" s="156">
        <f>+Debt!AK8+Debt!AK15+Debt!AK22+Debt!AK45+Pat.!AA21</f>
        <v>734.14586513604206</v>
      </c>
      <c r="AB170" s="156">
        <f>+Debt!AL8+Debt!AL15+Debt!AL22+Debt!AL45+Pat.!AB21</f>
        <v>735.8339411360422</v>
      </c>
      <c r="AC170" s="156">
        <f>+Debt!AM8+Debt!AM15+Debt!AM22+Debt!AM45+Pat.!AC21</f>
        <v>735.8339411360422</v>
      </c>
      <c r="AD170" s="156">
        <f>+Debt!AN8+Debt!AN15+Debt!AN22+Debt!AN45+Pat.!AD21</f>
        <v>732.70611769604204</v>
      </c>
      <c r="AE170" s="156">
        <f>+Debt!AP8+Debt!AP15+Debt!AP22+Debt!AP45+Pat.!AF21</f>
        <v>730.73101469604205</v>
      </c>
      <c r="AF170" s="528">
        <f t="shared" si="36"/>
        <v>730.73101469604205</v>
      </c>
      <c r="AG170" s="156">
        <f>+Debt!AQ8+Debt!AQ15+Debt!AQ22+Debt!AQ45+Pat.!AG21</f>
        <v>707.8281686860422</v>
      </c>
      <c r="AH170" s="156">
        <f>+Debt!AR8+Debt!AR15+Debt!AR22+Debt!AR45+Pat.!AH21</f>
        <v>682.60685722825508</v>
      </c>
      <c r="AI170" s="156">
        <f>+Debt!AS8+Debt!AS15+Debt!AS22+Debt!AS45+Pat.!AI21</f>
        <v>656.35429562863419</v>
      </c>
      <c r="AJ170" s="156">
        <f>+Debt!AT8+Debt!AT15+Debt!AT22+Debt!AT45+Pat.!AJ21</f>
        <v>629.01186145272482</v>
      </c>
      <c r="AK170" s="156">
        <f>+Debt!AU8+Debt!AU15+Debt!AU22+Debt!AU45+Pat.!AK21</f>
        <v>600.50988262693818</v>
      </c>
      <c r="AL170" s="156">
        <f>+Debt!AV8+Debt!AV15+Debt!AV22+Debt!AV45+Pat.!AL21</f>
        <v>570.77429463687804</v>
      </c>
      <c r="AM170" s="156">
        <f>+Debt!AW8+Debt!AW15+Debt!AW22+Debt!AW45+Pat.!AM21</f>
        <v>539.71778626201581</v>
      </c>
      <c r="AN170" s="156">
        <f>+Debt!AX8+Debt!AX15+Debt!AX22+Debt!AX45+Pat.!AN21</f>
        <v>507.25798054570799</v>
      </c>
      <c r="AO170" s="156">
        <f>+Debt!AY8+Debt!AY15+Debt!AY22+Debt!AY45+Pat.!AO21</f>
        <v>473.31293548951078</v>
      </c>
      <c r="AP170" s="156">
        <f>+Debt!AZ8+Debt!AZ15+Debt!AZ22+Debt!AZ45+Pat.!AP21</f>
        <v>437.80464975072772</v>
      </c>
      <c r="AQ170" s="156">
        <f>+Debt!BA8+Debt!BA15+Debt!BA22+Debt!BA45+Pat.!AQ21</f>
        <v>400.64219243208117</v>
      </c>
      <c r="AR170" s="149"/>
      <c r="AS170" s="149"/>
    </row>
    <row r="171" spans="1:45" s="150" customFormat="1" ht="15.75">
      <c r="A171" s="422">
        <f t="shared" si="40"/>
        <v>169</v>
      </c>
      <c r="B171" s="158" t="s">
        <v>494</v>
      </c>
      <c r="C171" s="149"/>
      <c r="D171" s="149"/>
      <c r="E171" s="149">
        <f>SUM(E169:E170)</f>
        <v>925.24393489000011</v>
      </c>
      <c r="F171" s="526"/>
      <c r="G171" s="149">
        <f t="shared" ref="G171:Q171" si="81">SUM(G169:G170)</f>
        <v>925.25497383000038</v>
      </c>
      <c r="H171" s="149">
        <f t="shared" si="81"/>
        <v>921.42644458604241</v>
      </c>
      <c r="I171" s="149">
        <f t="shared" si="81"/>
        <v>926.4816012760424</v>
      </c>
      <c r="J171" s="149">
        <f t="shared" si="81"/>
        <v>926.49235082604241</v>
      </c>
      <c r="K171" s="149">
        <f t="shared" si="81"/>
        <v>922.6328174560424</v>
      </c>
      <c r="L171" s="149">
        <f t="shared" si="81"/>
        <v>932.23902888604232</v>
      </c>
      <c r="M171" s="149">
        <f t="shared" si="81"/>
        <v>932.25017639604232</v>
      </c>
      <c r="N171" s="149">
        <f t="shared" si="81"/>
        <v>929.24572841604231</v>
      </c>
      <c r="O171" s="149">
        <f t="shared" si="81"/>
        <v>946.14402712604237</v>
      </c>
      <c r="P171" s="149">
        <f t="shared" si="81"/>
        <v>946.15546109604236</v>
      </c>
      <c r="Q171" s="149">
        <f t="shared" si="81"/>
        <v>943.12590868604241</v>
      </c>
      <c r="R171" s="149">
        <f>SUM(R169:R170)</f>
        <v>943.23074710604237</v>
      </c>
      <c r="S171" s="526">
        <f t="shared" si="35"/>
        <v>943.23074710604237</v>
      </c>
      <c r="T171" s="149">
        <f t="shared" ref="T171:AD171" si="82">SUM(T169:T170)</f>
        <v>952.24247537604242</v>
      </c>
      <c r="U171" s="149">
        <f t="shared" si="82"/>
        <v>949.18759967604228</v>
      </c>
      <c r="V171" s="149">
        <f t="shared" si="82"/>
        <v>958.25526587604236</v>
      </c>
      <c r="W171" s="149">
        <f t="shared" si="82"/>
        <v>958.26665659604237</v>
      </c>
      <c r="X171" s="149">
        <f t="shared" si="82"/>
        <v>955.1862366460424</v>
      </c>
      <c r="Y171" s="149">
        <f t="shared" si="82"/>
        <v>959.39673723604233</v>
      </c>
      <c r="Z171" s="149">
        <f t="shared" si="82"/>
        <v>959.40854963604227</v>
      </c>
      <c r="AA171" s="149">
        <f t="shared" si="82"/>
        <v>956.30668490604228</v>
      </c>
      <c r="AB171" s="149">
        <f t="shared" si="82"/>
        <v>960.07111577604246</v>
      </c>
      <c r="AC171" s="149">
        <f t="shared" si="82"/>
        <v>960.08323173604242</v>
      </c>
      <c r="AD171" s="149">
        <f t="shared" si="82"/>
        <v>956.95540829604226</v>
      </c>
      <c r="AE171" s="149">
        <f t="shared" ref="AE171:AQ171" si="83">SUM(AE169:AE170)</f>
        <v>957.08700765604226</v>
      </c>
      <c r="AF171" s="526">
        <f t="shared" si="36"/>
        <v>957.08700765604226</v>
      </c>
      <c r="AG171" s="149">
        <f t="shared" si="83"/>
        <v>942.90047395604233</v>
      </c>
      <c r="AH171" s="149">
        <f t="shared" si="83"/>
        <v>926.91235351825526</v>
      </c>
      <c r="AI171" s="149">
        <f t="shared" si="83"/>
        <v>910.4396278986344</v>
      </c>
      <c r="AJ171" s="149">
        <f t="shared" si="83"/>
        <v>893.45662827272497</v>
      </c>
      <c r="AK171" s="149">
        <f t="shared" si="83"/>
        <v>873.5251677969386</v>
      </c>
      <c r="AL171" s="149">
        <f t="shared" si="83"/>
        <v>811.75338625687846</v>
      </c>
      <c r="AM171" s="149">
        <f t="shared" si="83"/>
        <v>758.54447273201629</v>
      </c>
      <c r="AN171" s="149">
        <f t="shared" si="83"/>
        <v>739.05222695570842</v>
      </c>
      <c r="AO171" s="149">
        <f t="shared" si="83"/>
        <v>918.84319278951125</v>
      </c>
      <c r="AP171" s="149">
        <f t="shared" si="83"/>
        <v>883.33490705072813</v>
      </c>
      <c r="AQ171" s="149">
        <f t="shared" si="83"/>
        <v>846.17244973208165</v>
      </c>
      <c r="AR171" s="149"/>
      <c r="AS171" s="149"/>
    </row>
    <row r="172" spans="1:45" s="150" customFormat="1" ht="15.75">
      <c r="A172" s="422">
        <f t="shared" si="40"/>
        <v>170</v>
      </c>
      <c r="B172" s="158"/>
      <c r="C172" s="149"/>
      <c r="D172" s="149"/>
      <c r="E172" s="149"/>
      <c r="F172" s="526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526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526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</row>
    <row r="173" spans="1:45" s="150" customFormat="1">
      <c r="A173" s="422">
        <f t="shared" si="40"/>
        <v>171</v>
      </c>
      <c r="B173" s="150" t="s">
        <v>495</v>
      </c>
      <c r="C173" s="149"/>
      <c r="D173" s="149"/>
      <c r="E173" s="149">
        <v>0</v>
      </c>
      <c r="F173" s="526"/>
      <c r="G173" s="149">
        <f>Debt!Q37</f>
        <v>0</v>
      </c>
      <c r="H173" s="149">
        <f>Debt!R37</f>
        <v>0</v>
      </c>
      <c r="I173" s="149">
        <f>Debt!S37</f>
        <v>0</v>
      </c>
      <c r="J173" s="149">
        <f>Debt!T37</f>
        <v>0</v>
      </c>
      <c r="K173" s="149">
        <f>Debt!U37</f>
        <v>0</v>
      </c>
      <c r="L173" s="149">
        <f>Debt!V37</f>
        <v>0</v>
      </c>
      <c r="M173" s="149">
        <f>Debt!W37</f>
        <v>0</v>
      </c>
      <c r="N173" s="149">
        <f>Debt!X37</f>
        <v>0</v>
      </c>
      <c r="O173" s="149">
        <f>Debt!Y37</f>
        <v>0</v>
      </c>
      <c r="P173" s="149">
        <f>Debt!Z37</f>
        <v>0</v>
      </c>
      <c r="Q173" s="149">
        <f>Debt!AA37</f>
        <v>0</v>
      </c>
      <c r="R173" s="149">
        <f>Debt!AC37</f>
        <v>0</v>
      </c>
      <c r="S173" s="526">
        <f t="shared" si="35"/>
        <v>0</v>
      </c>
      <c r="T173" s="149">
        <f>Debt!AD37</f>
        <v>0</v>
      </c>
      <c r="U173" s="149">
        <f>Debt!AE37</f>
        <v>0</v>
      </c>
      <c r="V173" s="149">
        <f>Debt!AF37</f>
        <v>0</v>
      </c>
      <c r="W173" s="149">
        <f>Debt!AG37</f>
        <v>0</v>
      </c>
      <c r="X173" s="149">
        <f>Debt!AH37</f>
        <v>0</v>
      </c>
      <c r="Y173" s="149">
        <f>Debt!AI37</f>
        <v>0</v>
      </c>
      <c r="Z173" s="149">
        <f>Debt!AJ37</f>
        <v>0</v>
      </c>
      <c r="AA173" s="149">
        <f>Debt!AK37</f>
        <v>0</v>
      </c>
      <c r="AB173" s="149">
        <f>Debt!AL37</f>
        <v>0</v>
      </c>
      <c r="AC173" s="149">
        <f>Debt!AM37</f>
        <v>0</v>
      </c>
      <c r="AD173" s="149">
        <f>Debt!AN37</f>
        <v>0</v>
      </c>
      <c r="AE173" s="149">
        <f>Debt!AP37</f>
        <v>0</v>
      </c>
      <c r="AF173" s="526">
        <f t="shared" si="36"/>
        <v>0</v>
      </c>
      <c r="AG173" s="149">
        <f>Debt!AQ37</f>
        <v>0</v>
      </c>
      <c r="AH173" s="149">
        <f>Debt!AR37</f>
        <v>0</v>
      </c>
      <c r="AI173" s="149">
        <f>Debt!AS37</f>
        <v>0</v>
      </c>
      <c r="AJ173" s="149">
        <f>Debt!AT37</f>
        <v>0</v>
      </c>
      <c r="AK173" s="149">
        <f>Debt!AU37</f>
        <v>0</v>
      </c>
      <c r="AL173" s="149">
        <f>Debt!AV37</f>
        <v>0</v>
      </c>
      <c r="AM173" s="149">
        <f>Debt!AW37</f>
        <v>0</v>
      </c>
      <c r="AN173" s="149">
        <f>Debt!AX37</f>
        <v>0</v>
      </c>
      <c r="AO173" s="149">
        <f>Debt!AY37</f>
        <v>0</v>
      </c>
      <c r="AP173" s="149">
        <f>Debt!AZ37</f>
        <v>0</v>
      </c>
      <c r="AQ173" s="149">
        <f>Debt!BA37</f>
        <v>0</v>
      </c>
      <c r="AR173" s="149"/>
      <c r="AS173" s="149"/>
    </row>
    <row r="174" spans="1:45" s="150" customFormat="1">
      <c r="A174" s="422">
        <f t="shared" si="40"/>
        <v>172</v>
      </c>
      <c r="B174" s="150" t="s">
        <v>322</v>
      </c>
      <c r="C174" s="149"/>
      <c r="D174" s="149"/>
      <c r="E174" s="149">
        <v>33.012925090000003</v>
      </c>
      <c r="F174" s="526"/>
      <c r="G174" s="149">
        <f>(G106+G100-Fuel!M50)+(Fuel!M50*15/30)+'O&amp;M'!O176-'O&amp;M'!O177</f>
        <v>28.375744581315661</v>
      </c>
      <c r="H174" s="149">
        <f>(H106+H100-Fuel!N50)+(Fuel!N50*15/30)+'O&amp;M'!P176-'O&amp;M'!P177</f>
        <v>26.951239830184843</v>
      </c>
      <c r="I174" s="149">
        <f>(I106+I100-Fuel!O50)+(Fuel!O50*15/30)+'O&amp;M'!Q176-'O&amp;M'!Q177</f>
        <v>30.61006711616638</v>
      </c>
      <c r="J174" s="149">
        <f>(J106+J100-Fuel!P50)+(Fuel!P50*15/30)+'O&amp;M'!R176-'O&amp;M'!R177</f>
        <v>29.952041650198517</v>
      </c>
      <c r="K174" s="149">
        <f>(K106+K100-Fuel!Q50)+(Fuel!Q50*15/30)+'O&amp;M'!S176-'O&amp;M'!S177</f>
        <v>33.795091268634586</v>
      </c>
      <c r="L174" s="149">
        <f>(L106+L100-Fuel!R50)+(Fuel!R50*15/30)+'O&amp;M'!T176-'O&amp;M'!T177</f>
        <v>28.313756427198324</v>
      </c>
      <c r="M174" s="149">
        <f>(M106+M100-Fuel!S50)+(Fuel!S50*15/30)+'O&amp;M'!U176-'O&amp;M'!U177</f>
        <v>29.067118925659734</v>
      </c>
      <c r="N174" s="149">
        <f>(N106+N100-Fuel!T50)+(Fuel!T50*15/30)+'O&amp;M'!V176-'O&amp;M'!V177</f>
        <v>28.407169250075125</v>
      </c>
      <c r="O174" s="149">
        <f>(O106+O100-Fuel!U50)+(Fuel!U50*15/30)+'O&amp;M'!W176-'O&amp;M'!W177</f>
        <v>22.947212421473285</v>
      </c>
      <c r="P174" s="149">
        <f>(P106+P100-Fuel!V50)+(Fuel!V50*15/30)+'O&amp;M'!X176-'O&amp;M'!X177</f>
        <v>24.966871393680282</v>
      </c>
      <c r="Q174" s="149">
        <f>(Q106+Q100-Fuel!W50)+(Fuel!W50*15/30)+'O&amp;M'!Y176-'O&amp;M'!Y177</f>
        <v>22.389630754703184</v>
      </c>
      <c r="R174" s="149">
        <f>(R106+R100-Fuel!X50)+(Fuel!X50*15/30)+'O&amp;M'!Z176-'O&amp;M'!Z177</f>
        <v>20.211545878158063</v>
      </c>
      <c r="S174" s="526">
        <f t="shared" si="35"/>
        <v>20.211545878158063</v>
      </c>
      <c r="T174" s="149">
        <f>(T106+T100-Fuel!Z50)+(Fuel!Z50*15/30)+'O&amp;M'!AB176-'O&amp;M'!AB177</f>
        <v>23.393723293485579</v>
      </c>
      <c r="U174" s="149">
        <f>(U106+U100-Fuel!AA50)+(Fuel!AA50*15/30)+'O&amp;M'!AC176-'O&amp;M'!AC177</f>
        <v>21.581164994035781</v>
      </c>
      <c r="V174" s="149">
        <f>(V106+V100-Fuel!AB50)+(Fuel!AB50*15/30)+'O&amp;M'!AD176-'O&amp;M'!AD177</f>
        <v>25.700385793941354</v>
      </c>
      <c r="W174" s="149">
        <f>(W106+W100-Fuel!AC50)+(Fuel!AC50*15/30)+'O&amp;M'!AE176-'O&amp;M'!AE177</f>
        <v>27.380576961973464</v>
      </c>
      <c r="X174" s="149">
        <f>(X106+X100-Fuel!AD50)+(Fuel!AD50*15/30)+'O&amp;M'!AF176-'O&amp;M'!AF177</f>
        <v>26.315001823952475</v>
      </c>
      <c r="Y174" s="149">
        <f>(Y106+Y100-Fuel!AE50)+(Fuel!AE50*15/30)+'O&amp;M'!AG176-'O&amp;M'!AG177</f>
        <v>23.245113808084778</v>
      </c>
      <c r="Z174" s="149">
        <f>(Z106+Z100-Fuel!AF50)+(Fuel!AF50*15/30)+'O&amp;M'!AH176-'O&amp;M'!AH177</f>
        <v>23.040329052616958</v>
      </c>
      <c r="AA174" s="149">
        <f>(AA106+AA100-Fuel!AG50)+(Fuel!AG50*15/30)+'O&amp;M'!AI176-'O&amp;M'!AI177</f>
        <v>23.553873835662518</v>
      </c>
      <c r="AB174" s="149">
        <f>(AB106+AB100-Fuel!AH50)+(Fuel!AH50*15/30)+'O&amp;M'!AJ176-'O&amp;M'!AJ177</f>
        <v>22.828594686437178</v>
      </c>
      <c r="AC174" s="149">
        <f>(AC106+AC100-Fuel!AI50)+(Fuel!AI50*15/30)+'O&amp;M'!AK176-'O&amp;M'!AK177</f>
        <v>24.80116912144419</v>
      </c>
      <c r="AD174" s="149">
        <f>(AD106+AD100-Fuel!AJ50)+(Fuel!AJ50*15/30)+'O&amp;M'!AL176-'O&amp;M'!AL177</f>
        <v>22.233727172855183</v>
      </c>
      <c r="AE174" s="149">
        <f>(AE106+AE100-Fuel!AK50)+(Fuel!AK50*15/30)+'O&amp;M'!AM176-'O&amp;M'!AM177</f>
        <v>20.936431985784317</v>
      </c>
      <c r="AF174" s="526">
        <f t="shared" si="36"/>
        <v>20.936431985784317</v>
      </c>
      <c r="AG174" s="149">
        <f>(AG100+AG106-PCM!AN71-Fuel!AM50)*30/365+(Fuel!AM50*15/365)+'O&amp;M'!AO176-'O&amp;M'!AO177</f>
        <v>24.349090257171326</v>
      </c>
      <c r="AH174" s="149">
        <f>(AH100+AH106-PCM!AO71-Fuel!AN50)*30/365+(Fuel!AN50*15/365)+'O&amp;M'!AP176-'O&amp;M'!AP177</f>
        <v>25.70847314576028</v>
      </c>
      <c r="AI174" s="149">
        <f>(AI100+AI106-PCM!AP71-Fuel!AO50)*30/365+(Fuel!AO50*15/365)+'O&amp;M'!AQ176-'O&amp;M'!AQ177</f>
        <v>26.50667410946722</v>
      </c>
      <c r="AJ174" s="149">
        <f>(AJ100+AJ106-PCM!AQ71-Fuel!AP50)*30/365+(Fuel!AP50*15/365)+'O&amp;M'!AR176-'O&amp;M'!AR177</f>
        <v>27.35602050920652</v>
      </c>
      <c r="AK174" s="149">
        <f>(AK100+AK106-PCM!AR71-Fuel!AQ50)*30/365+(Fuel!AQ50*15/365)+'O&amp;M'!AS176-'O&amp;M'!AS177</f>
        <v>35.429014180447808</v>
      </c>
      <c r="AL174" s="149">
        <f>(AL100+AL106-PCM!AS71-Fuel!AR50)*30/365+(Fuel!AR50*15/365)+'O&amp;M'!AT176-'O&amp;M'!AT177</f>
        <v>37.931539494239757</v>
      </c>
      <c r="AM174" s="149">
        <f>(AM100+AM106-PCM!AT71-Fuel!AS50)*30/365+(Fuel!AS50*15/365)+'O&amp;M'!AU176-'O&amp;M'!AU177</f>
        <v>38.624186885166878</v>
      </c>
      <c r="AN174" s="149">
        <f>(AN100+AN106-PCM!AU71-Fuel!AT50)*30/365+(Fuel!AT50*15/365)+'O&amp;M'!AV176-'O&amp;M'!AV177</f>
        <v>40.473188418200721</v>
      </c>
      <c r="AO174" s="149">
        <f>(AO100+AO106-PCM!AV71-Fuel!AU50)*30/365+(Fuel!AU50*15/365)+'O&amp;M'!AW176-'O&amp;M'!AW177</f>
        <v>41.187310767566835</v>
      </c>
      <c r="AP174" s="149">
        <f>(AP100+AP106-PCM!AW71-Fuel!AV50)*30/365+(Fuel!AV50*15/365)+'O&amp;M'!AX176-'O&amp;M'!AX177</f>
        <v>42.496944578406982</v>
      </c>
      <c r="AQ174" s="149">
        <f>(AQ100+AQ106-PCM!AX71-Fuel!AW50)*30/365+(Fuel!AW50*15/365)+'O&amp;M'!AY176-'O&amp;M'!AY177</f>
        <v>44.028741856712628</v>
      </c>
      <c r="AR174" s="149"/>
      <c r="AS174" s="149"/>
    </row>
    <row r="175" spans="1:45" s="150" customFormat="1">
      <c r="A175" s="422">
        <f t="shared" si="40"/>
        <v>173</v>
      </c>
      <c r="B175" s="150" t="s">
        <v>505</v>
      </c>
      <c r="C175" s="141"/>
      <c r="D175" s="141"/>
      <c r="E175" s="141">
        <v>0</v>
      </c>
      <c r="F175" s="524"/>
      <c r="G175" s="124">
        <f>E175+'Rates - Cash'!N60</f>
        <v>0</v>
      </c>
      <c r="H175" s="141">
        <f>G175+'Rates - Cash'!O60</f>
        <v>0</v>
      </c>
      <c r="I175" s="141">
        <f>H175+'Rates - Cash'!P60</f>
        <v>0</v>
      </c>
      <c r="J175" s="141">
        <f>I175+'Rates - Cash'!Q60</f>
        <v>0</v>
      </c>
      <c r="K175" s="141">
        <f>J175+'Rates - Cash'!R60</f>
        <v>0</v>
      </c>
      <c r="L175" s="141">
        <f>K175+'Rates - Cash'!S60</f>
        <v>0</v>
      </c>
      <c r="M175" s="141">
        <f>L175+'Rates - Cash'!T60</f>
        <v>0</v>
      </c>
      <c r="N175" s="141">
        <f>M175+'Rates - Cash'!U60</f>
        <v>0</v>
      </c>
      <c r="O175" s="141">
        <f>N175+'Rates - Cash'!V60</f>
        <v>0</v>
      </c>
      <c r="P175" s="141">
        <f>O175+'Rates - Cash'!W60</f>
        <v>0</v>
      </c>
      <c r="Q175" s="141">
        <f>P175+'Rates - Cash'!X60</f>
        <v>0</v>
      </c>
      <c r="R175" s="141">
        <f>Q175+'Rates - Cash'!Y60</f>
        <v>0</v>
      </c>
      <c r="S175" s="526">
        <f t="shared" si="35"/>
        <v>0</v>
      </c>
      <c r="T175" s="141">
        <f>R175+'Rates - Cash'!AA60</f>
        <v>0</v>
      </c>
      <c r="U175" s="141">
        <f>T175+'Rates - Cash'!AB60</f>
        <v>0</v>
      </c>
      <c r="V175" s="141">
        <f>U175+'Rates - Cash'!AC60</f>
        <v>0</v>
      </c>
      <c r="W175" s="141">
        <f>V175+'Rates - Cash'!AD60</f>
        <v>0</v>
      </c>
      <c r="X175" s="141">
        <f>W175+'Rates - Cash'!AE60</f>
        <v>0</v>
      </c>
      <c r="Y175" s="141">
        <f>X175+'Rates - Cash'!AF60</f>
        <v>0</v>
      </c>
      <c r="Z175" s="141">
        <f>Y175+'Rates - Cash'!AG60</f>
        <v>0</v>
      </c>
      <c r="AA175" s="141">
        <f>Z175+'Rates - Cash'!AH60</f>
        <v>0</v>
      </c>
      <c r="AB175" s="141">
        <f>AA175+'Rates - Cash'!AI60</f>
        <v>0</v>
      </c>
      <c r="AC175" s="141">
        <f>AB175+'Rates - Cash'!AJ60</f>
        <v>0</v>
      </c>
      <c r="AD175" s="141">
        <f>AC175+'Rates - Cash'!AK60</f>
        <v>0</v>
      </c>
      <c r="AE175" s="141">
        <f>AD175+'Rates - Cash'!AL60</f>
        <v>0</v>
      </c>
      <c r="AF175" s="526">
        <f t="shared" si="36"/>
        <v>0</v>
      </c>
      <c r="AG175" s="124">
        <f>AE175+'Rates - Cash'!AN60</f>
        <v>0</v>
      </c>
      <c r="AH175" s="124">
        <f>AG175+'Rates - Cash'!AO60</f>
        <v>0</v>
      </c>
      <c r="AI175" s="124">
        <f>AH175+'Rates - Cash'!AP60</f>
        <v>0</v>
      </c>
      <c r="AJ175" s="124">
        <f>AI175+'Rates - Cash'!AQ60</f>
        <v>0</v>
      </c>
      <c r="AK175" s="124">
        <f>AJ175+'Rates - Cash'!AR60</f>
        <v>1.1132567460530183</v>
      </c>
      <c r="AL175" s="124">
        <f>AK175+'Rates - Cash'!AS60</f>
        <v>30.630950982257211</v>
      </c>
      <c r="AM175" s="124">
        <f>AL175+'Rates - Cash'!AT60</f>
        <v>44.59914273607972</v>
      </c>
      <c r="AN175" s="124">
        <f>AM175+'Rates - Cash'!AU60</f>
        <v>46.837293868510891</v>
      </c>
      <c r="AO175" s="124">
        <f>AN175+'Rates - Cash'!AV60</f>
        <v>36.168767269760842</v>
      </c>
      <c r="AP175" s="124">
        <f>AO175+'Rates - Cash'!AW60</f>
        <v>26.65428916701191</v>
      </c>
      <c r="AQ175" s="124">
        <f>AP175+'Rates - Cash'!AX60</f>
        <v>19.638526197478896</v>
      </c>
      <c r="AR175" s="130"/>
      <c r="AS175" s="130"/>
    </row>
    <row r="176" spans="1:45" s="150" customFormat="1">
      <c r="A176" s="422">
        <f t="shared" si="40"/>
        <v>174</v>
      </c>
      <c r="B176" s="150" t="s">
        <v>323</v>
      </c>
      <c r="C176" s="149"/>
      <c r="D176" s="149"/>
      <c r="E176" s="149">
        <v>0.96720567999999996</v>
      </c>
      <c r="F176" s="526"/>
      <c r="G176" s="149">
        <f>E176+'O&amp;M'!O84-'O&amp;M'!O85+'O&amp;M'!O87-'O&amp;M'!O88</f>
        <v>1.2915146799999999</v>
      </c>
      <c r="H176" s="149">
        <f>G176+'O&amp;M'!P84-'O&amp;M'!P85+'O&amp;M'!P87-'O&amp;M'!P88</f>
        <v>1.6158236799999999</v>
      </c>
      <c r="I176" s="149">
        <f>H176+'O&amp;M'!Q84-'O&amp;M'!Q85+'O&amp;M'!Q87-'O&amp;M'!Q88</f>
        <v>1.9401326799999998</v>
      </c>
      <c r="J176" s="149">
        <f>I176+'O&amp;M'!R84-'O&amp;M'!R85+'O&amp;M'!R87-'O&amp;M'!R88</f>
        <v>2.26444168</v>
      </c>
      <c r="K176" s="149">
        <f>J176+'O&amp;M'!S84-'O&amp;M'!S85+'O&amp;M'!S87-'O&amp;M'!S88</f>
        <v>2.58875068</v>
      </c>
      <c r="L176" s="149">
        <f>K176+'O&amp;M'!T84-'O&amp;M'!T85+'O&amp;M'!T87-'O&amp;M'!T88</f>
        <v>2.9130596799999999</v>
      </c>
      <c r="M176" s="149">
        <f>L176+'O&amp;M'!U84-'O&amp;M'!U85+'O&amp;M'!U87-'O&amp;M'!U88</f>
        <v>3.2373686799999999</v>
      </c>
      <c r="N176" s="149">
        <f>M176+'O&amp;M'!V84-'O&amp;M'!V85+'O&amp;M'!V87-'O&amp;M'!V88</f>
        <v>1.4265016799999999</v>
      </c>
      <c r="O176" s="149">
        <f>N176+'O&amp;M'!W84-'O&amp;M'!W85+'O&amp;M'!W87-'O&amp;M'!W88</f>
        <v>1.7508106799999998</v>
      </c>
      <c r="P176" s="149">
        <f>O176+'O&amp;M'!X84-'O&amp;M'!X85+'O&amp;M'!X87-'O&amp;M'!X88</f>
        <v>2.0751196799999998</v>
      </c>
      <c r="Q176" s="149">
        <f>P176+'O&amp;M'!Y84-'O&amp;M'!Y85+'O&amp;M'!Y87-'O&amp;M'!Y88</f>
        <v>1.8331906799999997</v>
      </c>
      <c r="R176" s="149">
        <f>Q176+'O&amp;M'!Z84-'O&amp;M'!Z85+'O&amp;M'!Z87-'O&amp;M'!Z88</f>
        <v>1.5472876799999999</v>
      </c>
      <c r="S176" s="526">
        <f t="shared" si="35"/>
        <v>1.5472876799999999</v>
      </c>
      <c r="T176" s="149">
        <f>R176+'O&amp;M'!AB84-'O&amp;M'!AB85+'O&amp;M'!AB87-'O&amp;M'!AB88</f>
        <v>1.3178286799999999</v>
      </c>
      <c r="U176" s="149">
        <f>T176+'O&amp;M'!AC84-'O&amp;M'!AC85+'O&amp;M'!AC87-'O&amp;M'!AC88</f>
        <v>1.6684586799999999</v>
      </c>
      <c r="V176" s="149">
        <f>U176+'O&amp;M'!AD84-'O&amp;M'!AD85+'O&amp;M'!AD87-'O&amp;M'!AD88</f>
        <v>2.0190886799999999</v>
      </c>
      <c r="W176" s="149">
        <f>V176+'O&amp;M'!AE84-'O&amp;M'!AE85+'O&amp;M'!AE87-'O&amp;M'!AE88</f>
        <v>2.3697186800000001</v>
      </c>
      <c r="X176" s="149">
        <f>W176+'O&amp;M'!AF84-'O&amp;M'!AF85+'O&amp;M'!AF87-'O&amp;M'!AF88</f>
        <v>2.7203486799999999</v>
      </c>
      <c r="Y176" s="149">
        <f>X176+'O&amp;M'!AG84-'O&amp;M'!AG85+'O&amp;M'!AG87-'O&amp;M'!AG88</f>
        <v>3.0709786799999996</v>
      </c>
      <c r="Z176" s="149">
        <f>Y176+'O&amp;M'!AH84-'O&amp;M'!AH85+'O&amp;M'!AH87-'O&amp;M'!AH88</f>
        <v>3.4216086799999994</v>
      </c>
      <c r="AA176" s="149">
        <f>Z176+'O&amp;M'!AI84-'O&amp;M'!AI85+'O&amp;M'!AI87-'O&amp;M'!AI88</f>
        <v>1.491222679999999</v>
      </c>
      <c r="AB176" s="149">
        <f>AA176+'O&amp;M'!AJ84-'O&amp;M'!AJ85+'O&amp;M'!AJ87-'O&amp;M'!AJ88</f>
        <v>1.841852679999999</v>
      </c>
      <c r="AC176" s="149">
        <f>AB176+'O&amp;M'!AK84-'O&amp;M'!AK85+'O&amp;M'!AK87-'O&amp;M'!AK88</f>
        <v>2.192482679999999</v>
      </c>
      <c r="AD176" s="149">
        <f>AC176+'O&amp;M'!AL84-'O&amp;M'!AL85+'O&amp;M'!AL87-'O&amp;M'!AL88</f>
        <v>1.9061786799999991</v>
      </c>
      <c r="AE176" s="149">
        <f>AD176+'O&amp;M'!AM84-'O&amp;M'!AM85+'O&amp;M'!AM87-'O&amp;M'!AM88</f>
        <v>1.7000966799999988</v>
      </c>
      <c r="AF176" s="526">
        <f t="shared" si="36"/>
        <v>1.7000966799999988</v>
      </c>
      <c r="AG176" s="149">
        <f>AE176+'O&amp;M'!AO84-'O&amp;M'!AO85+'O&amp;M'!AO87-'O&amp;M'!AO88</f>
        <v>1.6587906800000001</v>
      </c>
      <c r="AH176" s="149">
        <f>AG176+'O&amp;M'!AP84-'O&amp;M'!AP85+'O&amp;M'!AP87-'O&amp;M'!AP88</f>
        <v>1.7007396799999999</v>
      </c>
      <c r="AI176" s="149">
        <f>AH176+'O&amp;M'!AQ84-'O&amp;M'!AQ85+'O&amp;M'!AQ87-'O&amp;M'!AQ88</f>
        <v>1.7007396799999999</v>
      </c>
      <c r="AJ176" s="149">
        <f>AI176+'O&amp;M'!AR84-'O&amp;M'!AR85+'O&amp;M'!AR87-'O&amp;M'!AR88</f>
        <v>1.7007396799999999</v>
      </c>
      <c r="AK176" s="149">
        <f>AJ176+'O&amp;M'!AS84-'O&amp;M'!AS85+'O&amp;M'!AS87-'O&amp;M'!AS88</f>
        <v>1.7007396799999999</v>
      </c>
      <c r="AL176" s="149">
        <f>AK176+'O&amp;M'!AT84-'O&amp;M'!AT85+'O&amp;M'!AT87-'O&amp;M'!AT88</f>
        <v>1.7007396799999999</v>
      </c>
      <c r="AM176" s="149">
        <f>AL176+'O&amp;M'!AU84-'O&amp;M'!AU85+'O&amp;M'!AU87-'O&amp;M'!AU88</f>
        <v>1.7007396799999999</v>
      </c>
      <c r="AN176" s="149">
        <f>AM176+'O&amp;M'!AV84-'O&amp;M'!AV85+'O&amp;M'!AV87-'O&amp;M'!AV88</f>
        <v>1.7007396799999999</v>
      </c>
      <c r="AO176" s="149">
        <f>AN176+'O&amp;M'!AW84-'O&amp;M'!AW85+'O&amp;M'!AW87-'O&amp;M'!AW88</f>
        <v>1.7007396799999999</v>
      </c>
      <c r="AP176" s="149">
        <f>AO176+'O&amp;M'!AX84-'O&amp;M'!AX85+'O&amp;M'!AX87-'O&amp;M'!AX88</f>
        <v>1.7007396799999999</v>
      </c>
      <c r="AQ176" s="149">
        <f>AP176+'O&amp;M'!AY84-'O&amp;M'!AY85+'O&amp;M'!AY87-'O&amp;M'!AY88</f>
        <v>1.7007396799999999</v>
      </c>
      <c r="AR176" s="149"/>
      <c r="AS176" s="149"/>
    </row>
    <row r="177" spans="1:45" s="150" customFormat="1">
      <c r="A177" s="422">
        <f t="shared" si="40"/>
        <v>175</v>
      </c>
      <c r="B177" s="150" t="s">
        <v>324</v>
      </c>
      <c r="C177" s="149"/>
      <c r="D177" s="149"/>
      <c r="E177" s="149">
        <f>Debt!N156</f>
        <v>4.9250384399999998</v>
      </c>
      <c r="F177" s="526"/>
      <c r="G177" s="149">
        <f>+Debt!P156+Pat.!F27</f>
        <v>5.0225460916030711</v>
      </c>
      <c r="H177" s="149">
        <f>+Debt!Q156+Pat.!G27</f>
        <v>4.6925112078489892</v>
      </c>
      <c r="I177" s="149">
        <f>+Debt!R156+Pat.!H27</f>
        <v>4.2521975472993381</v>
      </c>
      <c r="J177" s="149">
        <f>+Debt!S156+Pat.!I27</f>
        <v>6.9329904379825633</v>
      </c>
      <c r="K177" s="149">
        <f>+Debt!T156+Pat.!J27</f>
        <v>7.0111985829123649</v>
      </c>
      <c r="L177" s="149">
        <f>+Debt!U156+Pat.!K27</f>
        <v>4.8746708523457229</v>
      </c>
      <c r="M177" s="149">
        <f>+Debt!V156+Pat.!L27</f>
        <v>5.1463437345188048</v>
      </c>
      <c r="N177" s="149">
        <f>+Debt!W156+Pat.!M27</f>
        <v>5.2663191566918881</v>
      </c>
      <c r="O177" s="149">
        <f>+Debt!X156+Pat.!N27</f>
        <v>4.5109789570916536</v>
      </c>
      <c r="P177" s="149">
        <f>+Debt!Y156+Pat.!O27</f>
        <v>7.3069442746147084</v>
      </c>
      <c r="Q177" s="149">
        <f>+Debt!Z156+Pat.!P27</f>
        <v>7.4156719865213248</v>
      </c>
      <c r="R177" s="149">
        <f>+Debt!AA156+Pat.!Q27</f>
        <v>4.9048514965842545</v>
      </c>
      <c r="S177" s="526">
        <f t="shared" si="35"/>
        <v>4.9048514965842545</v>
      </c>
      <c r="T177" s="149">
        <f>+Debt!AC156+Pat.!S27</f>
        <v>5.1241631769211562</v>
      </c>
      <c r="U177" s="149">
        <f>+Debt!AD156+Pat.!T27</f>
        <v>5.091442259312851</v>
      </c>
      <c r="V177" s="149">
        <f>+Debt!AE156+Pat.!U27</f>
        <v>4.4706380637969492</v>
      </c>
      <c r="W177" s="149">
        <f>+Debt!AF156+Pat.!V27</f>
        <v>7.2294779622536502</v>
      </c>
      <c r="X177" s="149">
        <f>+Debt!AG156+Pat.!W27</f>
        <v>7.497182408381585</v>
      </c>
      <c r="Y177" s="149">
        <f>+Debt!AH156+Pat.!X27</f>
        <v>4.802614859012178</v>
      </c>
      <c r="Z177" s="149">
        <f>+Debt!AI156+Pat.!Y27</f>
        <v>5.1448054823824974</v>
      </c>
      <c r="AA177" s="149">
        <f>+Debt!AJ156+Pat.!Z27</f>
        <v>5.4384144157528187</v>
      </c>
      <c r="AB177" s="149">
        <f>+Debt!AK156+Pat.!AA27</f>
        <v>4.4101477932690853</v>
      </c>
      <c r="AC177" s="149">
        <f>+Debt!AL156+Pat.!AB27</f>
        <v>7.2430401491415175</v>
      </c>
      <c r="AD177" s="149">
        <f>+Debt!AM156+Pat.!AC27</f>
        <v>7.4903478215892916</v>
      </c>
      <c r="AE177" s="149">
        <f>+Debt!AN156+Pat.!AD27</f>
        <v>4.7742865973830781</v>
      </c>
      <c r="AF177" s="526">
        <f t="shared" si="36"/>
        <v>4.7742865973830781</v>
      </c>
      <c r="AG177" s="149">
        <f>+Debt!AP156+Pat.!AF27</f>
        <v>4.7382904963054999</v>
      </c>
      <c r="AH177" s="149">
        <f>+Debt!AQ156+Pat.!AG27</f>
        <v>4.671063610130842</v>
      </c>
      <c r="AI177" s="149">
        <f>+Debt!AR156+Pat.!AH27</f>
        <v>4.6456596981936773</v>
      </c>
      <c r="AJ177" s="149">
        <f>+Debt!AS156+Pat.!AI27</f>
        <v>4.6135450886369318</v>
      </c>
      <c r="AK177" s="149">
        <f>+Debt!AT156+Pat.!AJ27</f>
        <v>4.5297810386485082</v>
      </c>
      <c r="AL177" s="149">
        <f>+Debt!AU156+Pat.!AK27</f>
        <v>3.8407956804017558</v>
      </c>
      <c r="AM177" s="149">
        <f>+Debt!AV156+Pat.!AL27</f>
        <v>3.7831903022179239</v>
      </c>
      <c r="AN177" s="149">
        <f>+Debt!AW156+Pat.!AM27</f>
        <v>3.7213281056282645</v>
      </c>
      <c r="AO177" s="149">
        <f>+Debt!AX156+Pat.!AN27</f>
        <v>3.6558405366502735</v>
      </c>
      <c r="AP177" s="149">
        <f>+Debt!AY156+Pat.!AO27</f>
        <v>3.5864782256247709</v>
      </c>
      <c r="AQ177" s="149">
        <f>+Debt!AZ156+Pat.!AP27</f>
        <v>3.5129964616101064</v>
      </c>
      <c r="AR177" s="149"/>
      <c r="AS177" s="149"/>
    </row>
    <row r="178" spans="1:45" s="150" customFormat="1">
      <c r="A178" s="422">
        <f t="shared" si="40"/>
        <v>176</v>
      </c>
      <c r="B178" s="150" t="s">
        <v>496</v>
      </c>
      <c r="C178" s="149"/>
      <c r="D178" s="149"/>
      <c r="E178" s="149">
        <v>9.9876290900000004</v>
      </c>
      <c r="F178" s="526"/>
      <c r="G178" s="149">
        <f>E178</f>
        <v>9.9876290900000004</v>
      </c>
      <c r="H178" s="149">
        <f>G178</f>
        <v>9.9876290900000004</v>
      </c>
      <c r="I178" s="149">
        <f t="shared" ref="I178:R178" si="84">H178</f>
        <v>9.9876290900000004</v>
      </c>
      <c r="J178" s="149">
        <f t="shared" si="84"/>
        <v>9.9876290900000004</v>
      </c>
      <c r="K178" s="149">
        <f t="shared" si="84"/>
        <v>9.9876290900000004</v>
      </c>
      <c r="L178" s="149">
        <f t="shared" si="84"/>
        <v>9.9876290900000004</v>
      </c>
      <c r="M178" s="149">
        <f t="shared" si="84"/>
        <v>9.9876290900000004</v>
      </c>
      <c r="N178" s="149">
        <f t="shared" si="84"/>
        <v>9.9876290900000004</v>
      </c>
      <c r="O178" s="149">
        <f t="shared" si="84"/>
        <v>9.9876290900000004</v>
      </c>
      <c r="P178" s="149">
        <f t="shared" si="84"/>
        <v>9.9876290900000004</v>
      </c>
      <c r="Q178" s="149">
        <f t="shared" si="84"/>
        <v>9.9876290900000004</v>
      </c>
      <c r="R178" s="149">
        <f t="shared" si="84"/>
        <v>9.9876290900000004</v>
      </c>
      <c r="S178" s="526">
        <f t="shared" si="35"/>
        <v>9.9876290900000004</v>
      </c>
      <c r="T178" s="149">
        <f>R178</f>
        <v>9.9876290900000004</v>
      </c>
      <c r="U178" s="149">
        <f>T178</f>
        <v>9.9876290900000004</v>
      </c>
      <c r="V178" s="149">
        <f t="shared" ref="V178:AE178" si="85">U178</f>
        <v>9.9876290900000004</v>
      </c>
      <c r="W178" s="149">
        <f t="shared" si="85"/>
        <v>9.9876290900000004</v>
      </c>
      <c r="X178" s="149">
        <f t="shared" si="85"/>
        <v>9.9876290900000004</v>
      </c>
      <c r="Y178" s="149">
        <f t="shared" si="85"/>
        <v>9.9876290900000004</v>
      </c>
      <c r="Z178" s="149">
        <f t="shared" si="85"/>
        <v>9.9876290900000004</v>
      </c>
      <c r="AA178" s="149">
        <f t="shared" si="85"/>
        <v>9.9876290900000004</v>
      </c>
      <c r="AB178" s="149">
        <f t="shared" si="85"/>
        <v>9.9876290900000004</v>
      </c>
      <c r="AC178" s="149">
        <f t="shared" si="85"/>
        <v>9.9876290900000004</v>
      </c>
      <c r="AD178" s="149">
        <f t="shared" si="85"/>
        <v>9.9876290900000004</v>
      </c>
      <c r="AE178" s="149">
        <f t="shared" si="85"/>
        <v>9.9876290900000004</v>
      </c>
      <c r="AF178" s="526">
        <f t="shared" si="36"/>
        <v>9.9876290900000004</v>
      </c>
      <c r="AG178" s="149">
        <f>AE178</f>
        <v>9.9876290900000004</v>
      </c>
      <c r="AH178" s="149">
        <f>AG178</f>
        <v>9.9876290900000004</v>
      </c>
      <c r="AI178" s="149">
        <f t="shared" ref="AI178:AP178" si="86">AH178</f>
        <v>9.9876290900000004</v>
      </c>
      <c r="AJ178" s="149">
        <f t="shared" si="86"/>
        <v>9.9876290900000004</v>
      </c>
      <c r="AK178" s="149">
        <f t="shared" si="86"/>
        <v>9.9876290900000004</v>
      </c>
      <c r="AL178" s="149">
        <f t="shared" si="86"/>
        <v>9.9876290900000004</v>
      </c>
      <c r="AM178" s="149">
        <f t="shared" si="86"/>
        <v>9.9876290900000004</v>
      </c>
      <c r="AN178" s="149">
        <f t="shared" si="86"/>
        <v>9.9876290900000004</v>
      </c>
      <c r="AO178" s="149">
        <f t="shared" si="86"/>
        <v>9.9876290900000004</v>
      </c>
      <c r="AP178" s="149">
        <f t="shared" si="86"/>
        <v>9.9876290900000004</v>
      </c>
      <c r="AQ178" s="149">
        <f>AP178</f>
        <v>9.9876290900000004</v>
      </c>
      <c r="AR178" s="149"/>
      <c r="AS178" s="149"/>
    </row>
    <row r="179" spans="1:45" s="150" customFormat="1">
      <c r="A179" s="422">
        <f t="shared" si="40"/>
        <v>177</v>
      </c>
      <c r="B179" s="150" t="s">
        <v>504</v>
      </c>
      <c r="C179" s="149"/>
      <c r="D179" s="149"/>
      <c r="E179" s="149"/>
      <c r="F179" s="526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526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526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</row>
    <row r="180" spans="1:45" s="150" customFormat="1" ht="15.75">
      <c r="A180" s="422">
        <f t="shared" si="40"/>
        <v>178</v>
      </c>
      <c r="B180" s="158" t="s">
        <v>497</v>
      </c>
      <c r="C180" s="149"/>
      <c r="D180" s="149"/>
      <c r="E180" s="149">
        <f>SUM(E173:E179)</f>
        <v>48.892798300000003</v>
      </c>
      <c r="F180" s="526"/>
      <c r="G180" s="149">
        <f t="shared" ref="G180:R180" si="87">SUM(G173:G179)</f>
        <v>44.677434442918731</v>
      </c>
      <c r="H180" s="149">
        <f t="shared" si="87"/>
        <v>43.247203808033831</v>
      </c>
      <c r="I180" s="149">
        <f t="shared" si="87"/>
        <v>46.790026433465719</v>
      </c>
      <c r="J180" s="149">
        <f t="shared" si="87"/>
        <v>49.137102858181073</v>
      </c>
      <c r="K180" s="149">
        <f t="shared" si="87"/>
        <v>53.382669621546945</v>
      </c>
      <c r="L180" s="149">
        <f t="shared" si="87"/>
        <v>46.089116049544046</v>
      </c>
      <c r="M180" s="149">
        <f t="shared" si="87"/>
        <v>47.438460430178537</v>
      </c>
      <c r="N180" s="149">
        <f t="shared" si="87"/>
        <v>45.087619176767014</v>
      </c>
      <c r="O180" s="149">
        <f t="shared" si="87"/>
        <v>39.19663114856494</v>
      </c>
      <c r="P180" s="149">
        <f t="shared" si="87"/>
        <v>44.336564438294992</v>
      </c>
      <c r="Q180" s="149">
        <f t="shared" si="87"/>
        <v>41.626122511224509</v>
      </c>
      <c r="R180" s="149">
        <f t="shared" si="87"/>
        <v>36.651314144742315</v>
      </c>
      <c r="S180" s="526">
        <f t="shared" si="35"/>
        <v>36.651314144742315</v>
      </c>
      <c r="T180" s="149">
        <f t="shared" ref="T180:AE180" si="88">SUM(T173:T179)</f>
        <v>39.823344240406733</v>
      </c>
      <c r="U180" s="149">
        <f t="shared" si="88"/>
        <v>38.328695023348629</v>
      </c>
      <c r="V180" s="149">
        <f t="shared" si="88"/>
        <v>42.1777416277383</v>
      </c>
      <c r="W180" s="149">
        <f t="shared" si="88"/>
        <v>46.967402694227118</v>
      </c>
      <c r="X180" s="149">
        <f t="shared" si="88"/>
        <v>46.520162002334061</v>
      </c>
      <c r="Y180" s="149">
        <f t="shared" si="88"/>
        <v>41.106336437096957</v>
      </c>
      <c r="Z180" s="149">
        <f t="shared" si="88"/>
        <v>41.594372304999453</v>
      </c>
      <c r="AA180" s="149">
        <f t="shared" si="88"/>
        <v>40.471140021415337</v>
      </c>
      <c r="AB180" s="149">
        <f t="shared" si="88"/>
        <v>39.068224249706262</v>
      </c>
      <c r="AC180" s="149">
        <f t="shared" si="88"/>
        <v>44.224321040585707</v>
      </c>
      <c r="AD180" s="149">
        <f t="shared" si="88"/>
        <v>41.617882764444474</v>
      </c>
      <c r="AE180" s="149">
        <f t="shared" si="88"/>
        <v>37.398444353167392</v>
      </c>
      <c r="AF180" s="526">
        <f t="shared" si="36"/>
        <v>37.398444353167392</v>
      </c>
      <c r="AG180" s="149">
        <f t="shared" ref="AG180:AQ180" si="89">SUM(AG173:AG179)</f>
        <v>40.733800523476823</v>
      </c>
      <c r="AH180" s="149">
        <f t="shared" si="89"/>
        <v>42.067905525891121</v>
      </c>
      <c r="AI180" s="149">
        <f t="shared" si="89"/>
        <v>42.840702577660892</v>
      </c>
      <c r="AJ180" s="149">
        <f t="shared" si="89"/>
        <v>43.657934367843453</v>
      </c>
      <c r="AK180" s="149">
        <f t="shared" si="89"/>
        <v>52.760420735149332</v>
      </c>
      <c r="AL180" s="149">
        <f t="shared" si="89"/>
        <v>84.091654926898727</v>
      </c>
      <c r="AM180" s="149">
        <f t="shared" si="89"/>
        <v>98.694888693464506</v>
      </c>
      <c r="AN180" s="149">
        <f t="shared" si="89"/>
        <v>102.72017916233987</v>
      </c>
      <c r="AO180" s="149">
        <f t="shared" si="89"/>
        <v>92.700287343977948</v>
      </c>
      <c r="AP180" s="149">
        <f t="shared" si="89"/>
        <v>84.426080741043663</v>
      </c>
      <c r="AQ180" s="149">
        <f t="shared" si="89"/>
        <v>78.868633285801621</v>
      </c>
      <c r="AR180" s="149"/>
      <c r="AS180" s="149"/>
    </row>
    <row r="181" spans="1:45" s="150" customFormat="1" ht="15.75">
      <c r="A181" s="422">
        <f t="shared" si="40"/>
        <v>179</v>
      </c>
      <c r="B181" s="158"/>
      <c r="C181" s="149"/>
      <c r="D181" s="149"/>
      <c r="E181" s="149"/>
      <c r="F181" s="526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526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526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</row>
    <row r="182" spans="1:45" s="150" customFormat="1">
      <c r="A182" s="422">
        <f t="shared" si="40"/>
        <v>180</v>
      </c>
      <c r="B182" s="150" t="s">
        <v>498</v>
      </c>
      <c r="C182" s="149"/>
      <c r="D182" s="149"/>
      <c r="E182" s="149">
        <f>'Regulatory Charge'!K32+0.35650682</f>
        <v>4.1942011299999997</v>
      </c>
      <c r="F182" s="526"/>
      <c r="G182" s="149">
        <f>'Regulatory Charge'!M32</f>
        <v>3.5871524693265888</v>
      </c>
      <c r="H182" s="149">
        <f>'Regulatory Charge'!N32</f>
        <v>3.3613767669354035</v>
      </c>
      <c r="I182" s="149">
        <f>'Regulatory Charge'!O32</f>
        <v>3.1514191057140013</v>
      </c>
      <c r="J182" s="149">
        <f>'Regulatory Charge'!P32</f>
        <v>2.9699736710828164</v>
      </c>
      <c r="K182" s="149">
        <f>'Regulatory Charge'!Q32</f>
        <v>2.7766893306948019</v>
      </c>
      <c r="L182" s="149">
        <f>'Regulatory Charge'!R32</f>
        <v>2.5472274099522942</v>
      </c>
      <c r="M182" s="149">
        <f>'Regulatory Charge'!S32</f>
        <v>2.2969860813525322</v>
      </c>
      <c r="N182" s="149">
        <f>'Regulatory Charge'!T32</f>
        <v>2.0379260419881104</v>
      </c>
      <c r="O182" s="149">
        <f>'Regulatory Charge'!U32</f>
        <v>1.9528822258893612</v>
      </c>
      <c r="P182" s="149">
        <f>'Regulatory Charge'!V32</f>
        <v>1.8719995899135498</v>
      </c>
      <c r="Q182" s="149">
        <f>'Regulatory Charge'!W32</f>
        <v>1.7869199497993007</v>
      </c>
      <c r="R182" s="149">
        <f>'Regulatory Charge'!X32</f>
        <v>1.7011042988784613</v>
      </c>
      <c r="S182" s="526">
        <f t="shared" si="35"/>
        <v>1.7011042988784613</v>
      </c>
      <c r="T182" s="149">
        <f>'Regulatory Charge'!Z32</f>
        <v>1.6107203463016737</v>
      </c>
      <c r="U182" s="149">
        <f>'Regulatory Charge'!AA32</f>
        <v>1.5149179597629687</v>
      </c>
      <c r="V182" s="149">
        <f>'Regulatory Charge'!AB32</f>
        <v>1.4270059798271433</v>
      </c>
      <c r="W182" s="149">
        <f>'Regulatory Charge'!AC32</f>
        <v>1.340709071077439</v>
      </c>
      <c r="X182" s="149">
        <f>'Regulatory Charge'!AD32</f>
        <v>1.2546935609020884</v>
      </c>
      <c r="Y182" s="149">
        <f>'Regulatory Charge'!AE32</f>
        <v>1.1630973045280224</v>
      </c>
      <c r="Z182" s="149">
        <f>'Regulatory Charge'!AF32</f>
        <v>1.0727530977562718</v>
      </c>
      <c r="AA182" s="149">
        <f>'Regulatory Charge'!AG32</f>
        <v>0.9826291835990324</v>
      </c>
      <c r="AB182" s="149">
        <f>'Regulatory Charge'!AH32</f>
        <v>0.9877765064713907</v>
      </c>
      <c r="AC182" s="149">
        <f>'Regulatory Charge'!AI32</f>
        <v>0.98881333313800557</v>
      </c>
      <c r="AD182" s="149">
        <f>'Regulatory Charge'!AJ32</f>
        <v>0.99409820381197667</v>
      </c>
      <c r="AE182" s="149">
        <f>'Regulatory Charge'!AK32</f>
        <v>1.0237268263842214</v>
      </c>
      <c r="AF182" s="526">
        <f t="shared" si="36"/>
        <v>1.0237268263842214</v>
      </c>
      <c r="AG182" s="149">
        <f>'Regulatory Charge'!AM32</f>
        <v>0</v>
      </c>
      <c r="AH182" s="149">
        <f>'Regulatory Charge'!AN32</f>
        <v>0</v>
      </c>
      <c r="AI182" s="149">
        <f>'Regulatory Charge'!AO32</f>
        <v>0</v>
      </c>
      <c r="AJ182" s="149">
        <f>'Regulatory Charge'!AP32</f>
        <v>0</v>
      </c>
      <c r="AK182" s="149">
        <f>'Regulatory Charge'!AQ32</f>
        <v>0</v>
      </c>
      <c r="AL182" s="149">
        <f>'Regulatory Charge'!AR32</f>
        <v>0</v>
      </c>
      <c r="AM182" s="149">
        <f>'Regulatory Charge'!AS32</f>
        <v>0</v>
      </c>
      <c r="AN182" s="149">
        <f>'Regulatory Charge'!AT32</f>
        <v>0</v>
      </c>
      <c r="AO182" s="149">
        <f>'Regulatory Charge'!AU32</f>
        <v>0</v>
      </c>
      <c r="AP182" s="149">
        <f>'Regulatory Charge'!AV32</f>
        <v>0</v>
      </c>
      <c r="AQ182" s="149">
        <f>'Regulatory Charge'!AW32</f>
        <v>0</v>
      </c>
      <c r="AR182" s="149"/>
      <c r="AS182" s="149"/>
    </row>
    <row r="183" spans="1:45" s="150" customFormat="1">
      <c r="A183" s="422">
        <f t="shared" si="40"/>
        <v>181</v>
      </c>
      <c r="B183" s="150" t="s">
        <v>674</v>
      </c>
      <c r="C183" s="149"/>
      <c r="D183" s="342"/>
      <c r="E183" s="149">
        <v>79.231078289999999</v>
      </c>
      <c r="F183" s="526"/>
      <c r="G183" s="149">
        <f>G143</f>
        <v>78.090167091310121</v>
      </c>
      <c r="H183" s="149">
        <f t="shared" ref="H183:R183" si="90">H143</f>
        <v>76.038305328715069</v>
      </c>
      <c r="I183" s="149">
        <f t="shared" si="90"/>
        <v>74.225137557300442</v>
      </c>
      <c r="J183" s="149">
        <f t="shared" si="90"/>
        <v>72.90798061882623</v>
      </c>
      <c r="K183" s="149">
        <f t="shared" si="90"/>
        <v>71.370701820614428</v>
      </c>
      <c r="L183" s="149">
        <f t="shared" si="90"/>
        <v>69.20187561119279</v>
      </c>
      <c r="M183" s="149">
        <f t="shared" si="90"/>
        <v>66.879438458100651</v>
      </c>
      <c r="N183" s="149">
        <f t="shared" si="90"/>
        <v>64.373776497163007</v>
      </c>
      <c r="O183" s="149">
        <f t="shared" si="90"/>
        <v>61.846068495837763</v>
      </c>
      <c r="P183" s="149">
        <f t="shared" si="90"/>
        <v>59.701931749953538</v>
      </c>
      <c r="Q183" s="149">
        <f t="shared" si="90"/>
        <v>57.328068336608247</v>
      </c>
      <c r="R183" s="149">
        <f t="shared" si="90"/>
        <v>54.246955986803989</v>
      </c>
      <c r="S183" s="526">
        <f t="shared" si="35"/>
        <v>54.246955986803989</v>
      </c>
      <c r="T183" s="149">
        <f t="shared" ref="T183:AE183" si="91">T143</f>
        <v>50.908687579378068</v>
      </c>
      <c r="U183" s="149">
        <f t="shared" si="91"/>
        <v>47.996227094064579</v>
      </c>
      <c r="V183" s="149">
        <f t="shared" si="91"/>
        <v>45.314509916722507</v>
      </c>
      <c r="W183" s="149">
        <f t="shared" si="91"/>
        <v>43.045165452343106</v>
      </c>
      <c r="X183" s="149">
        <f t="shared" si="91"/>
        <v>40.532780812020313</v>
      </c>
      <c r="Y183" s="149">
        <f t="shared" si="91"/>
        <v>37.326351602623895</v>
      </c>
      <c r="Z183" s="149">
        <f t="shared" si="91"/>
        <v>34.416740239485989</v>
      </c>
      <c r="AA183" s="149">
        <f t="shared" si="91"/>
        <v>31.354108761940946</v>
      </c>
      <c r="AB183" s="149">
        <f t="shared" si="91"/>
        <v>28.768234545919078</v>
      </c>
      <c r="AC183" s="149">
        <f t="shared" si="91"/>
        <v>26.617480913344984</v>
      </c>
      <c r="AD183" s="149">
        <f t="shared" si="91"/>
        <v>24.265213809080784</v>
      </c>
      <c r="AE183" s="149">
        <f t="shared" si="91"/>
        <v>21.267143334747672</v>
      </c>
      <c r="AF183" s="526">
        <f t="shared" si="36"/>
        <v>21.267143334747672</v>
      </c>
      <c r="AG183" s="149">
        <f t="shared" ref="AG183:AP183" si="92">AG143</f>
        <v>0</v>
      </c>
      <c r="AH183" s="149">
        <f t="shared" si="92"/>
        <v>0</v>
      </c>
      <c r="AI183" s="149">
        <f t="shared" si="92"/>
        <v>0</v>
      </c>
      <c r="AJ183" s="149">
        <f t="shared" si="92"/>
        <v>0</v>
      </c>
      <c r="AK183" s="149">
        <f t="shared" si="92"/>
        <v>0</v>
      </c>
      <c r="AL183" s="149">
        <f t="shared" si="92"/>
        <v>0</v>
      </c>
      <c r="AM183" s="149">
        <f t="shared" si="92"/>
        <v>0</v>
      </c>
      <c r="AN183" s="149">
        <f t="shared" si="92"/>
        <v>0</v>
      </c>
      <c r="AO183" s="149">
        <f t="shared" si="92"/>
        <v>0</v>
      </c>
      <c r="AP183" s="149">
        <f t="shared" si="92"/>
        <v>0</v>
      </c>
      <c r="AQ183" s="149">
        <f t="shared" ref="AQ183:AQ184" si="93">AQ143</f>
        <v>0</v>
      </c>
      <c r="AR183" s="149"/>
      <c r="AS183" s="149"/>
    </row>
    <row r="184" spans="1:45" s="150" customFormat="1">
      <c r="A184" s="422">
        <f t="shared" si="40"/>
        <v>182</v>
      </c>
      <c r="B184" s="150" t="s">
        <v>675</v>
      </c>
      <c r="C184" s="149"/>
      <c r="D184" s="342"/>
      <c r="E184" s="149">
        <v>64.663034469999999</v>
      </c>
      <c r="F184" s="526"/>
      <c r="G184" s="149">
        <f t="shared" ref="G184:R184" si="94">G144</f>
        <v>64.10302320563882</v>
      </c>
      <c r="H184" s="149">
        <f t="shared" si="94"/>
        <v>64.193505061955378</v>
      </c>
      <c r="I184" s="149">
        <f t="shared" si="94"/>
        <v>64.29382280246864</v>
      </c>
      <c r="J184" s="149">
        <f t="shared" si="94"/>
        <v>64.391056200241138</v>
      </c>
      <c r="K184" s="149">
        <f t="shared" si="94"/>
        <v>64.49168266176612</v>
      </c>
      <c r="L184" s="149">
        <f t="shared" si="94"/>
        <v>64.589215288695698</v>
      </c>
      <c r="M184" s="149">
        <f t="shared" si="94"/>
        <v>64.690151421300286</v>
      </c>
      <c r="N184" s="149">
        <f t="shared" si="94"/>
        <v>64.791245290809073</v>
      </c>
      <c r="O184" s="149">
        <f t="shared" si="94"/>
        <v>64.889230954920109</v>
      </c>
      <c r="P184" s="149">
        <f t="shared" si="94"/>
        <v>64.990635933924736</v>
      </c>
      <c r="Q184" s="149">
        <f t="shared" si="94"/>
        <v>65.088923142241242</v>
      </c>
      <c r="R184" s="149">
        <f t="shared" si="94"/>
        <v>65.190640188159961</v>
      </c>
      <c r="S184" s="526">
        <f t="shared" si="35"/>
        <v>65.190640188159961</v>
      </c>
      <c r="T184" s="149">
        <f t="shared" ref="T184:AE184" si="95">T144</f>
        <v>65.292516191347161</v>
      </c>
      <c r="U184" s="149">
        <f t="shared" si="95"/>
        <v>65.384677025160258</v>
      </c>
      <c r="V184" s="149">
        <f t="shared" si="95"/>
        <v>65.486856257420953</v>
      </c>
      <c r="W184" s="149">
        <f t="shared" si="95"/>
        <v>65.585893914007514</v>
      </c>
      <c r="X184" s="149">
        <f t="shared" si="95"/>
        <v>65.688387595893957</v>
      </c>
      <c r="Y184" s="149">
        <f t="shared" si="95"/>
        <v>65.787730034121168</v>
      </c>
      <c r="Z184" s="149">
        <f t="shared" si="95"/>
        <v>65.890539133330648</v>
      </c>
      <c r="AA184" s="149">
        <f t="shared" si="95"/>
        <v>65.993508896403668</v>
      </c>
      <c r="AB184" s="149">
        <f t="shared" si="95"/>
        <v>66.093312778351105</v>
      </c>
      <c r="AC184" s="149">
        <f t="shared" si="95"/>
        <v>66.196599423854593</v>
      </c>
      <c r="AD184" s="149">
        <f t="shared" si="95"/>
        <v>66.296710445449023</v>
      </c>
      <c r="AE184" s="149">
        <f t="shared" si="95"/>
        <v>66.400314948567058</v>
      </c>
      <c r="AF184" s="526">
        <f t="shared" si="36"/>
        <v>66.400314948567058</v>
      </c>
      <c r="AG184" s="149">
        <f t="shared" ref="AG184:AP184" si="96">AG144</f>
        <v>55.541797744363286</v>
      </c>
      <c r="AH184" s="149">
        <f t="shared" si="96"/>
        <v>26.517347636553719</v>
      </c>
      <c r="AI184" s="149">
        <f t="shared" si="96"/>
        <v>0</v>
      </c>
      <c r="AJ184" s="149">
        <f t="shared" si="96"/>
        <v>0</v>
      </c>
      <c r="AK184" s="149">
        <f t="shared" si="96"/>
        <v>0</v>
      </c>
      <c r="AL184" s="149">
        <f t="shared" si="96"/>
        <v>0</v>
      </c>
      <c r="AM184" s="149">
        <f t="shared" si="96"/>
        <v>0</v>
      </c>
      <c r="AN184" s="149">
        <f t="shared" si="96"/>
        <v>0</v>
      </c>
      <c r="AO184" s="149">
        <f t="shared" si="96"/>
        <v>0</v>
      </c>
      <c r="AP184" s="149">
        <f t="shared" si="96"/>
        <v>0</v>
      </c>
      <c r="AQ184" s="149">
        <f t="shared" si="93"/>
        <v>0</v>
      </c>
      <c r="AR184" s="149"/>
      <c r="AS184" s="149"/>
    </row>
    <row r="185" spans="1:45" s="150" customFormat="1">
      <c r="A185" s="422">
        <f t="shared" si="40"/>
        <v>183</v>
      </c>
      <c r="B185" s="150" t="s">
        <v>503</v>
      </c>
      <c r="C185" s="149"/>
      <c r="D185" s="342"/>
      <c r="E185" s="149">
        <v>21.571186780000001</v>
      </c>
      <c r="F185" s="526"/>
      <c r="G185" s="149">
        <f>E185*(1+'O&amp;M'!$D3/12)</f>
        <v>21.62511474695</v>
      </c>
      <c r="H185" s="149">
        <f>G185*(1+'O&amp;M'!$D3/12)</f>
        <v>21.679177533817374</v>
      </c>
      <c r="I185" s="149">
        <f>H185*(1+'O&amp;M'!$D3/12)</f>
        <v>21.733375477651915</v>
      </c>
      <c r="J185" s="149">
        <f>I185*(1+'O&amp;M'!$D3/12)</f>
        <v>21.787708916346045</v>
      </c>
      <c r="K185" s="149">
        <f>J185*(1+'O&amp;M'!$D3/12)</f>
        <v>21.842178188636908</v>
      </c>
      <c r="L185" s="149">
        <f>K185*(1+'O&amp;M'!$D3/12)</f>
        <v>21.896783634108498</v>
      </c>
      <c r="M185" s="149">
        <f>L185*(1+'O&amp;M'!$D3/12)</f>
        <v>21.951525593193768</v>
      </c>
      <c r="N185" s="149">
        <f>M185*(1+'O&amp;M'!$D3/12)</f>
        <v>22.006404407176753</v>
      </c>
      <c r="O185" s="149">
        <f>N185*(1+'O&amp;M'!$D3/12)</f>
        <v>22.061420418194693</v>
      </c>
      <c r="P185" s="149">
        <f>O185*(1+'O&amp;M'!$D3/12)</f>
        <v>22.116573969240179</v>
      </c>
      <c r="Q185" s="149">
        <f>P185*(1+'O&amp;M'!$D3/12)</f>
        <v>22.171865404163277</v>
      </c>
      <c r="R185" s="149">
        <f>Q185*(1+'O&amp;M'!$D3/12)</f>
        <v>22.227295067673683</v>
      </c>
      <c r="S185" s="526">
        <f t="shared" si="35"/>
        <v>22.227295067673683</v>
      </c>
      <c r="T185" s="149">
        <f>R185*(1+'O&amp;M'!$D3/12)</f>
        <v>22.282863305342865</v>
      </c>
      <c r="U185" s="149">
        <f>T185*(1+'O&amp;M'!$D3/12)</f>
        <v>22.338570463606221</v>
      </c>
      <c r="V185" s="149">
        <f>U185*(1+'O&amp;M'!$D3/12)</f>
        <v>22.394416889765235</v>
      </c>
      <c r="W185" s="149">
        <f>V185*(1+'O&amp;M'!$D3/12)</f>
        <v>22.450402931989647</v>
      </c>
      <c r="X185" s="149">
        <f>W185*(1+'O&amp;M'!$D3/12)</f>
        <v>22.506528939319619</v>
      </c>
      <c r="Y185" s="149">
        <f>X185*(1+'O&amp;M'!$D3/12)</f>
        <v>22.562795261667915</v>
      </c>
      <c r="Z185" s="149">
        <f>Y185*(1+'O&amp;M'!$D3/12)</f>
        <v>22.619202249822084</v>
      </c>
      <c r="AA185" s="149">
        <f>Z185*(1+'O&amp;M'!$D3/12)</f>
        <v>22.675750255446637</v>
      </c>
      <c r="AB185" s="149">
        <f>AA185*(1+'O&amp;M'!$D3/12)</f>
        <v>22.732439631085253</v>
      </c>
      <c r="AC185" s="149">
        <f>AB185*(1+'O&amp;M'!$D3/12)</f>
        <v>22.789270730162965</v>
      </c>
      <c r="AD185" s="149">
        <f>AC185*(1+'O&amp;M'!$D3/12)</f>
        <v>22.84624390698837</v>
      </c>
      <c r="AE185" s="149">
        <f>AD185*(1+'O&amp;M'!$D3/12)</f>
        <v>22.903359516755838</v>
      </c>
      <c r="AF185" s="526">
        <f t="shared" si="36"/>
        <v>22.903359516755838</v>
      </c>
      <c r="AG185" s="149">
        <f>AE185*(1+'O&amp;M'!$D$3)</f>
        <v>23.590460302258514</v>
      </c>
      <c r="AH185" s="149">
        <f>AG185*(1+'O&amp;M'!$D$3)</f>
        <v>24.298174111326269</v>
      </c>
      <c r="AI185" s="149">
        <f>AH185*(1+'O&amp;M'!$D$3)</f>
        <v>25.027119334666057</v>
      </c>
      <c r="AJ185" s="149">
        <f>AI185*(1+'O&amp;M'!$D$3)</f>
        <v>25.777932914706039</v>
      </c>
      <c r="AK185" s="149">
        <f>AJ185*(1+'O&amp;M'!$D$3)</f>
        <v>26.55127090214722</v>
      </c>
      <c r="AL185" s="149">
        <f>AK185*(1+'O&amp;M'!$D$3)</f>
        <v>27.347809029211636</v>
      </c>
      <c r="AM185" s="149">
        <f>AL185*(1+'O&amp;M'!$D$3)</f>
        <v>28.168243300087987</v>
      </c>
      <c r="AN185" s="149">
        <f>AM185*(1+'O&amp;M'!$D$3)</f>
        <v>29.013290599090627</v>
      </c>
      <c r="AO185" s="149">
        <f>AN185*(1+'O&amp;M'!$D$3)</f>
        <v>29.883689317063347</v>
      </c>
      <c r="AP185" s="149">
        <f>AO185*(1+'O&amp;M'!$D$3)</f>
        <v>30.780199996575249</v>
      </c>
      <c r="AQ185" s="149">
        <f>AP185*(1+'O&amp;M'!$D$3)</f>
        <v>31.703605996472508</v>
      </c>
      <c r="AR185" s="149"/>
      <c r="AS185" s="149"/>
    </row>
    <row r="186" spans="1:45" s="150" customFormat="1">
      <c r="A186" s="422">
        <f t="shared" si="40"/>
        <v>184</v>
      </c>
      <c r="B186" s="150" t="s">
        <v>499</v>
      </c>
      <c r="C186" s="149"/>
      <c r="D186" s="149"/>
      <c r="E186" s="149"/>
      <c r="F186" s="526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526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526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</row>
    <row r="187" spans="1:45" s="150" customFormat="1">
      <c r="A187" s="422">
        <f t="shared" si="40"/>
        <v>185</v>
      </c>
      <c r="C187" s="149"/>
      <c r="D187" s="149"/>
      <c r="E187" s="149"/>
      <c r="F187" s="526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526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526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</row>
    <row r="188" spans="1:45" s="150" customFormat="1" ht="16.5" thickBot="1">
      <c r="A188" s="422">
        <f t="shared" si="40"/>
        <v>186</v>
      </c>
      <c r="B188" s="158" t="s">
        <v>500</v>
      </c>
      <c r="C188" s="152"/>
      <c r="D188" s="152"/>
      <c r="E188" s="152">
        <f>SUM(E182:E186)+E180+E171+E167</f>
        <v>1546.6779210499999</v>
      </c>
      <c r="F188" s="525"/>
      <c r="G188" s="152">
        <f t="shared" ref="G188:R188" si="97">+G167+G171+G180+SUM(G182:G186)</f>
        <v>1544.1258945455561</v>
      </c>
      <c r="H188" s="152">
        <f t="shared" si="97"/>
        <v>1538.5183142952692</v>
      </c>
      <c r="I188" s="152">
        <f t="shared" si="97"/>
        <v>1545.7052148595785</v>
      </c>
      <c r="J188" s="152">
        <f t="shared" si="97"/>
        <v>1543.3161521855448</v>
      </c>
      <c r="K188" s="152">
        <f t="shared" si="97"/>
        <v>1536.2693494639461</v>
      </c>
      <c r="L188" s="152">
        <f t="shared" si="97"/>
        <v>1537.2010612672018</v>
      </c>
      <c r="M188" s="152">
        <f t="shared" si="97"/>
        <v>1538.8931052421144</v>
      </c>
      <c r="N188" s="152">
        <f t="shared" si="97"/>
        <v>1533.6717542133601</v>
      </c>
      <c r="O188" s="152">
        <f t="shared" si="97"/>
        <v>1542.0751118536914</v>
      </c>
      <c r="P188" s="152">
        <f t="shared" si="97"/>
        <v>1542.6609803693123</v>
      </c>
      <c r="Q188" s="152">
        <f t="shared" si="97"/>
        <v>1535.0006052611975</v>
      </c>
      <c r="R188" s="152">
        <f t="shared" si="97"/>
        <v>1531.0860850699255</v>
      </c>
      <c r="S188" s="525">
        <f t="shared" si="35"/>
        <v>1531.0860850699255</v>
      </c>
      <c r="T188" s="152">
        <f t="shared" ref="T188:AE188" si="98">+T167+T171+T180+SUM(T182:T186)</f>
        <v>1545.1528527972464</v>
      </c>
      <c r="U188" s="152">
        <f t="shared" si="98"/>
        <v>1541.2901541058554</v>
      </c>
      <c r="V188" s="152">
        <f t="shared" si="98"/>
        <v>1552.2388440241753</v>
      </c>
      <c r="W188" s="152">
        <f t="shared" si="98"/>
        <v>1548.1887895728059</v>
      </c>
      <c r="X188" s="152">
        <f t="shared" si="98"/>
        <v>1538.0013143034762</v>
      </c>
      <c r="Y188" s="152">
        <f t="shared" si="98"/>
        <v>1535.5643776416759</v>
      </c>
      <c r="Z188" s="152">
        <f t="shared" si="98"/>
        <v>1536.9480084144532</v>
      </c>
      <c r="AA188" s="152">
        <f t="shared" si="98"/>
        <v>1533.3359205495999</v>
      </c>
      <c r="AB188" s="152">
        <f t="shared" si="98"/>
        <v>1533.8583157387438</v>
      </c>
      <c r="AC188" s="152">
        <f t="shared" si="98"/>
        <v>1535.2593009373061</v>
      </c>
      <c r="AD188" s="152">
        <f t="shared" si="98"/>
        <v>1528.4252695696775</v>
      </c>
      <c r="AE188" s="152">
        <f t="shared" si="98"/>
        <v>1525.3426037936808</v>
      </c>
      <c r="AF188" s="525">
        <f t="shared" si="36"/>
        <v>1525.3426037936808</v>
      </c>
      <c r="AG188" s="152">
        <f t="shared" ref="AG188:AP188" si="99">+AG167+AG171+AG180+SUM(AG182:AG186)</f>
        <v>1493.4355137320802</v>
      </c>
      <c r="AH188" s="152">
        <f t="shared" si="99"/>
        <v>1458.9622853840117</v>
      </c>
      <c r="AI188" s="152">
        <f t="shared" si="99"/>
        <v>1424.0259575837358</v>
      </c>
      <c r="AJ188" s="152">
        <f t="shared" si="99"/>
        <v>1415.7767659340886</v>
      </c>
      <c r="AK188" s="152">
        <f t="shared" si="99"/>
        <v>1416.6471682299257</v>
      </c>
      <c r="AL188" s="152">
        <f t="shared" si="99"/>
        <v>1397.3950125112033</v>
      </c>
      <c r="AM188" s="152">
        <f t="shared" si="99"/>
        <v>1369.3655681610112</v>
      </c>
      <c r="AN188" s="152">
        <f t="shared" si="99"/>
        <v>1364.0930555661575</v>
      </c>
      <c r="AO188" s="152">
        <f t="shared" si="99"/>
        <v>1543.9111499738819</v>
      </c>
      <c r="AP188" s="152">
        <f t="shared" si="99"/>
        <v>1512.9531904143491</v>
      </c>
      <c r="AQ188" s="152">
        <f>+AQ167+AQ171+AQ180+SUM(AQ182:AQ186)</f>
        <v>1482.6787796854858</v>
      </c>
      <c r="AR188" s="149"/>
      <c r="AS188" s="149"/>
    </row>
    <row r="189" spans="1:45" s="150" customFormat="1" ht="16.5" thickTop="1">
      <c r="A189" s="422">
        <f t="shared" si="40"/>
        <v>187</v>
      </c>
      <c r="B189" s="158"/>
      <c r="C189" s="149"/>
      <c r="D189" s="149"/>
      <c r="E189" s="149"/>
      <c r="F189" s="526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526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526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</row>
    <row r="190" spans="1:45" s="150" customFormat="1" ht="15.75">
      <c r="A190" s="422">
        <f t="shared" si="40"/>
        <v>188</v>
      </c>
      <c r="B190" s="313" t="s">
        <v>584</v>
      </c>
      <c r="C190" s="149"/>
      <c r="D190" s="149"/>
      <c r="E190" s="396">
        <f>E188-E164</f>
        <v>0</v>
      </c>
      <c r="F190" s="534"/>
      <c r="G190" s="342">
        <f t="shared" ref="G190:S190" si="100">G188-G164</f>
        <v>0</v>
      </c>
      <c r="H190" s="342">
        <f t="shared" si="100"/>
        <v>0</v>
      </c>
      <c r="I190" s="342">
        <f t="shared" si="100"/>
        <v>0</v>
      </c>
      <c r="J190" s="342">
        <f t="shared" si="100"/>
        <v>0</v>
      </c>
      <c r="K190" s="342">
        <f t="shared" si="100"/>
        <v>0</v>
      </c>
      <c r="L190" s="342">
        <f t="shared" si="100"/>
        <v>0</v>
      </c>
      <c r="M190" s="342">
        <f t="shared" si="100"/>
        <v>0</v>
      </c>
      <c r="N190" s="342">
        <f t="shared" si="100"/>
        <v>0</v>
      </c>
      <c r="O190" s="342">
        <f t="shared" si="100"/>
        <v>0</v>
      </c>
      <c r="P190" s="342">
        <f t="shared" si="100"/>
        <v>0</v>
      </c>
      <c r="Q190" s="342">
        <f t="shared" si="100"/>
        <v>0</v>
      </c>
      <c r="R190" s="342">
        <f t="shared" si="100"/>
        <v>0</v>
      </c>
      <c r="S190" s="534">
        <f t="shared" si="100"/>
        <v>0</v>
      </c>
      <c r="T190" s="342">
        <f t="shared" ref="T190:AF190" si="101">T188-T164</f>
        <v>0</v>
      </c>
      <c r="U190" s="342">
        <f t="shared" si="101"/>
        <v>0</v>
      </c>
      <c r="V190" s="342">
        <f t="shared" si="101"/>
        <v>0</v>
      </c>
      <c r="W190" s="342">
        <f t="shared" si="101"/>
        <v>0</v>
      </c>
      <c r="X190" s="342">
        <f t="shared" si="101"/>
        <v>0</v>
      </c>
      <c r="Y190" s="342">
        <f t="shared" si="101"/>
        <v>0</v>
      </c>
      <c r="Z190" s="342">
        <f t="shared" si="101"/>
        <v>0</v>
      </c>
      <c r="AA190" s="342">
        <f t="shared" si="101"/>
        <v>0</v>
      </c>
      <c r="AB190" s="342">
        <f t="shared" si="101"/>
        <v>0</v>
      </c>
      <c r="AC190" s="342">
        <f t="shared" si="101"/>
        <v>0</v>
      </c>
      <c r="AD190" s="342">
        <f t="shared" si="101"/>
        <v>0</v>
      </c>
      <c r="AE190" s="342">
        <f t="shared" si="101"/>
        <v>0</v>
      </c>
      <c r="AF190" s="534">
        <f t="shared" si="101"/>
        <v>0</v>
      </c>
      <c r="AG190" s="342">
        <f t="shared" ref="AG190:AP190" si="102">AG188-AG164</f>
        <v>0</v>
      </c>
      <c r="AH190" s="342">
        <f t="shared" si="102"/>
        <v>0</v>
      </c>
      <c r="AI190" s="342">
        <f t="shared" si="102"/>
        <v>0</v>
      </c>
      <c r="AJ190" s="342">
        <f t="shared" si="102"/>
        <v>0</v>
      </c>
      <c r="AK190" s="342">
        <f t="shared" si="102"/>
        <v>0</v>
      </c>
      <c r="AL190" s="342">
        <f t="shared" si="102"/>
        <v>0</v>
      </c>
      <c r="AM190" s="342">
        <f t="shared" si="102"/>
        <v>0</v>
      </c>
      <c r="AN190" s="342">
        <f t="shared" si="102"/>
        <v>0</v>
      </c>
      <c r="AO190" s="342">
        <f t="shared" si="102"/>
        <v>0</v>
      </c>
      <c r="AP190" s="342">
        <f t="shared" si="102"/>
        <v>0</v>
      </c>
      <c r="AQ190" s="342">
        <f>AQ188-AQ164</f>
        <v>0</v>
      </c>
      <c r="AR190" s="342"/>
      <c r="AS190" s="342"/>
    </row>
    <row r="191" spans="1:45" s="150" customFormat="1" ht="15.75">
      <c r="A191" s="422">
        <f t="shared" si="40"/>
        <v>189</v>
      </c>
      <c r="B191" s="159" t="s">
        <v>506</v>
      </c>
      <c r="C191" s="149"/>
      <c r="D191" s="149"/>
      <c r="E191" s="437"/>
      <c r="F191" s="526"/>
      <c r="G191" s="395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526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526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</row>
    <row r="192" spans="1:45" s="150" customFormat="1">
      <c r="A192" s="422">
        <f t="shared" si="40"/>
        <v>190</v>
      </c>
      <c r="B192" s="135" t="s">
        <v>284</v>
      </c>
      <c r="C192" s="149"/>
      <c r="D192" s="149"/>
      <c r="E192" s="149"/>
      <c r="F192" s="526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526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526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</row>
    <row r="193" spans="1:45" s="150" customFormat="1">
      <c r="A193" s="422">
        <f t="shared" si="40"/>
        <v>191</v>
      </c>
      <c r="B193" s="136" t="s">
        <v>133</v>
      </c>
      <c r="C193" s="149"/>
      <c r="D193" s="149"/>
      <c r="E193" s="149"/>
      <c r="F193" s="526"/>
      <c r="G193" s="149">
        <f>G7*'Rates - Cash'!N26</f>
        <v>11.154331646047394</v>
      </c>
      <c r="H193" s="149">
        <f>H7*'Rates - Cash'!O26</f>
        <v>9.6074923230680298</v>
      </c>
      <c r="I193" s="149">
        <f>I7*'Rates - Cash'!P26</f>
        <v>8.513842373089247</v>
      </c>
      <c r="J193" s="149">
        <f>J7*'Rates - Cash'!Q26</f>
        <v>6.6911955197159818</v>
      </c>
      <c r="K193" s="149">
        <f>K7*'Rates - Cash'!R26</f>
        <v>7.5503180291506</v>
      </c>
      <c r="L193" s="149">
        <f>L7*'Rates - Cash'!S26</f>
        <v>9.7240907795253904</v>
      </c>
      <c r="M193" s="149">
        <f>M7*'Rates - Cash'!T26</f>
        <v>10.810145433034663</v>
      </c>
      <c r="N193" s="149">
        <f>N7*'Rates - Cash'!U26</f>
        <v>12.393679774499713</v>
      </c>
      <c r="O193" s="149">
        <f>O7*'Rates - Cash'!V26</f>
        <v>11.725251541346465</v>
      </c>
      <c r="P193" s="149">
        <f>P7*'Rates - Cash'!W26</f>
        <v>9.7213039769479792</v>
      </c>
      <c r="Q193" s="149">
        <f>Q7*'Rates - Cash'!X26</f>
        <v>11.072289147254622</v>
      </c>
      <c r="R193" s="149">
        <f>R7*'Rates - Cash'!Y26</f>
        <v>14.789621367855784</v>
      </c>
      <c r="S193" s="526">
        <f t="shared" ref="S193:S201" si="103">SUM(G193:R193)</f>
        <v>123.75356191153588</v>
      </c>
      <c r="T193" s="149">
        <f>T7*'Rates - Cash'!AA26</f>
        <v>15.907861303527651</v>
      </c>
      <c r="U193" s="149">
        <f>U7*'Rates - Cash'!AB26</f>
        <v>13.816199531639036</v>
      </c>
      <c r="V193" s="149">
        <f>V7*'Rates - Cash'!AC26</f>
        <v>12.186779597158731</v>
      </c>
      <c r="W193" s="149">
        <f>W7*'Rates - Cash'!AD26</f>
        <v>9.5713583418597654</v>
      </c>
      <c r="X193" s="149">
        <f>X7*'Rates - Cash'!AE26</f>
        <v>10.824042314521986</v>
      </c>
      <c r="Y193" s="149">
        <f>Y7*'Rates - Cash'!AF26</f>
        <v>13.871237658312321</v>
      </c>
      <c r="Z193" s="149">
        <f>Z7*'Rates - Cash'!AG26</f>
        <v>15.435154250406118</v>
      </c>
      <c r="AA193" s="149">
        <f>AA7*'Rates - Cash'!AH26</f>
        <v>15.863411402775041</v>
      </c>
      <c r="AB193" s="149">
        <f>AB7*'Rates - Cash'!AI26</f>
        <v>12.335247210587054</v>
      </c>
      <c r="AC193" s="149">
        <f>AC7*'Rates - Cash'!AJ26</f>
        <v>10.240042170062853</v>
      </c>
      <c r="AD193" s="149">
        <f>AD7*'Rates - Cash'!AK26</f>
        <v>11.678539281851593</v>
      </c>
      <c r="AE193" s="149">
        <f>AE7*'Rates - Cash'!AL26</f>
        <v>15.612893633044695</v>
      </c>
      <c r="AF193" s="526">
        <f t="shared" ref="AF193:AF201" si="104">SUM(T193:AE193)</f>
        <v>157.34276669574686</v>
      </c>
      <c r="AG193" s="149">
        <f>AG7*'Rates - Cash'!AN26</f>
        <v>162.29773730038406</v>
      </c>
      <c r="AH193" s="149">
        <f>AH7*'Rates - Cash'!AO26</f>
        <v>168.22179473192952</v>
      </c>
      <c r="AI193" s="149">
        <f>AI7*'Rates - Cash'!AP26</f>
        <v>176.10600330583659</v>
      </c>
      <c r="AJ193" s="149">
        <f>AJ7*'Rates - Cash'!AQ26</f>
        <v>207.43817543667325</v>
      </c>
      <c r="AK193" s="149">
        <f>AK7*'Rates - Cash'!AR26</f>
        <v>211.52106054395969</v>
      </c>
      <c r="AL193" s="149">
        <f>AL7*'Rates - Cash'!AS26</f>
        <v>216.9014561560063</v>
      </c>
      <c r="AM193" s="149">
        <f>AM7*'Rates - Cash'!AT26</f>
        <v>199.97379403275377</v>
      </c>
      <c r="AN193" s="149">
        <f>AN7*'Rates - Cash'!AU26</f>
        <v>195.96808191582045</v>
      </c>
      <c r="AO193" s="149">
        <f>AO7*'Rates - Cash'!AV26</f>
        <v>202.13319106348436</v>
      </c>
      <c r="AP193" s="149">
        <f>AP7*'Rates - Cash'!AW26</f>
        <v>215.9029268746996</v>
      </c>
      <c r="AQ193" s="149">
        <f>AQ7*'Rates - Cash'!AX26</f>
        <v>235.91197794055637</v>
      </c>
      <c r="AR193" s="149"/>
      <c r="AS193" s="149"/>
    </row>
    <row r="194" spans="1:45" s="150" customFormat="1">
      <c r="A194" s="422">
        <f t="shared" si="40"/>
        <v>192</v>
      </c>
      <c r="B194" s="136" t="s">
        <v>134</v>
      </c>
      <c r="C194" s="149"/>
      <c r="D194" s="149"/>
      <c r="E194" s="149"/>
      <c r="F194" s="526"/>
      <c r="G194" s="149">
        <f>G8*'Rates - Cash'!N42</f>
        <v>2.9491045344624003</v>
      </c>
      <c r="H194" s="149">
        <f>H8*'Rates - Cash'!O42</f>
        <v>2.8759258948416</v>
      </c>
      <c r="I194" s="149">
        <f>I8*'Rates - Cash'!P42</f>
        <v>2.9830562693472009</v>
      </c>
      <c r="J194" s="149">
        <f>J8*'Rates - Cash'!Q42</f>
        <v>2.9259959114880001</v>
      </c>
      <c r="K194" s="149">
        <f>K8*'Rates - Cash'!R42</f>
        <v>2.9497996529472004</v>
      </c>
      <c r="L194" s="149">
        <f>L8*'Rates - Cash'!S42</f>
        <v>2.9100537792959997</v>
      </c>
      <c r="M194" s="149">
        <f>M8*'Rates - Cash'!T42</f>
        <v>3.1574355959552003</v>
      </c>
      <c r="N194" s="149">
        <f>N8*'Rates - Cash'!U42</f>
        <v>3.4027283016417806</v>
      </c>
      <c r="O194" s="149">
        <f>O8*'Rates - Cash'!V42</f>
        <v>3.6979258747890373</v>
      </c>
      <c r="P194" s="149">
        <f>P8*'Rates - Cash'!W42</f>
        <v>3.7771480057433231</v>
      </c>
      <c r="Q194" s="149">
        <f>Q8*'Rates - Cash'!X42</f>
        <v>3.7259187171703401</v>
      </c>
      <c r="R194" s="149">
        <f>R8*'Rates - Cash'!Y42</f>
        <v>3.7815343496240095</v>
      </c>
      <c r="S194" s="526">
        <f t="shared" si="103"/>
        <v>39.136626887306093</v>
      </c>
      <c r="T194" s="149">
        <f>T8*'Rates - Cash'!AA42</f>
        <v>3.8114702879256681</v>
      </c>
      <c r="U194" s="149">
        <f>U8*'Rates - Cash'!AB42</f>
        <v>3.6756547790123872</v>
      </c>
      <c r="V194" s="149">
        <f>V8*'Rates - Cash'!AC42</f>
        <v>3.8249522483995104</v>
      </c>
      <c r="W194" s="149">
        <f>W8*'Rates - Cash'!AD42</f>
        <v>3.745699116577232</v>
      </c>
      <c r="X194" s="149">
        <f>X8*'Rates - Cash'!AE42</f>
        <v>3.7805142520609638</v>
      </c>
      <c r="Y194" s="149">
        <f>Y8*'Rates - Cash'!AF42</f>
        <v>3.7255230420538084</v>
      </c>
      <c r="Z194" s="149">
        <f>Z8*'Rates - Cash'!AG42</f>
        <v>4.1084811995910959</v>
      </c>
      <c r="AA194" s="149">
        <f>AA8*'Rates - Cash'!AH42</f>
        <v>4.0904342051894558</v>
      </c>
      <c r="AB194" s="149">
        <f>AB8*'Rates - Cash'!AI42</f>
        <v>3.8795894504281572</v>
      </c>
      <c r="AC194" s="149">
        <f>AC8*'Rates - Cash'!AJ42</f>
        <v>3.9636834991335657</v>
      </c>
      <c r="AD194" s="149">
        <f>AD8*'Rates - Cash'!AK42</f>
        <v>3.9078585330424871</v>
      </c>
      <c r="AE194" s="149">
        <f>AE8*'Rates - Cash'!AL42</f>
        <v>3.9683289738879148</v>
      </c>
      <c r="AF194" s="526">
        <f t="shared" si="104"/>
        <v>46.482189587302244</v>
      </c>
      <c r="AG194" s="149">
        <f>AG8*'Rates - Cash'!AN42</f>
        <v>51.239923764958526</v>
      </c>
      <c r="AH194" s="149">
        <f>AH8*'Rates - Cash'!AO42</f>
        <v>59.162952822158921</v>
      </c>
      <c r="AI194" s="149">
        <f>AI8*'Rates - Cash'!AP42</f>
        <v>59.890869717075248</v>
      </c>
      <c r="AJ194" s="149">
        <f>AJ8*'Rates - Cash'!AQ42</f>
        <v>60.69398597714008</v>
      </c>
      <c r="AK194" s="149">
        <f>AK8*'Rates - Cash'!AR42</f>
        <v>61.391632002862252</v>
      </c>
      <c r="AL194" s="149">
        <f>AL8*'Rates - Cash'!AS42</f>
        <v>62.501646163569092</v>
      </c>
      <c r="AM194" s="149">
        <f>AM8*'Rates - Cash'!AT42</f>
        <v>57.309523027222127</v>
      </c>
      <c r="AN194" s="149">
        <f>AN8*'Rates - Cash'!AU42</f>
        <v>55.779296932924197</v>
      </c>
      <c r="AO194" s="149">
        <f>AO8*'Rates - Cash'!AV42</f>
        <v>57.087786927366807</v>
      </c>
      <c r="AP194" s="149">
        <f>AP8*'Rates - Cash'!AW42</f>
        <v>60.209108346322736</v>
      </c>
      <c r="AQ194" s="149">
        <f>AQ8*'Rates - Cash'!AX42</f>
        <v>65.373715043336162</v>
      </c>
      <c r="AR194" s="149"/>
      <c r="AS194" s="149"/>
    </row>
    <row r="195" spans="1:45" s="150" customFormat="1">
      <c r="A195" s="422">
        <f t="shared" si="40"/>
        <v>193</v>
      </c>
      <c r="B195" s="136" t="s">
        <v>164</v>
      </c>
      <c r="C195" s="149"/>
      <c r="D195" s="149"/>
      <c r="E195" s="149"/>
      <c r="F195" s="526"/>
      <c r="G195" s="149">
        <f t="shared" ref="G195:R195" si="105">(G9+G10)*G79</f>
        <v>31.302548635353432</v>
      </c>
      <c r="H195" s="149">
        <f t="shared" si="105"/>
        <v>28.406341977898503</v>
      </c>
      <c r="I195" s="149">
        <f t="shared" si="105"/>
        <v>31.430770641146662</v>
      </c>
      <c r="J195" s="149">
        <f t="shared" si="105"/>
        <v>30.369137372917596</v>
      </c>
      <c r="K195" s="149">
        <f t="shared" si="105"/>
        <v>31.420061519813377</v>
      </c>
      <c r="L195" s="149">
        <f t="shared" si="105"/>
        <v>30.513083821220032</v>
      </c>
      <c r="M195" s="149">
        <f t="shared" si="105"/>
        <v>31.435465171242569</v>
      </c>
      <c r="N195" s="149">
        <f t="shared" si="105"/>
        <v>25.124410387725945</v>
      </c>
      <c r="O195" s="149">
        <f t="shared" si="105"/>
        <v>15.526997651414833</v>
      </c>
      <c r="P195" s="149">
        <f t="shared" si="105"/>
        <v>15.967745180173109</v>
      </c>
      <c r="Q195" s="149">
        <f t="shared" si="105"/>
        <v>15.423111034530711</v>
      </c>
      <c r="R195" s="149">
        <f t="shared" si="105"/>
        <v>15.886075512189516</v>
      </c>
      <c r="S195" s="526">
        <f t="shared" si="103"/>
        <v>302.80574890562627</v>
      </c>
      <c r="T195" s="149">
        <f t="shared" ref="T195:AE195" si="106">(T9+T10)*T79</f>
        <v>15.981769773553385</v>
      </c>
      <c r="U195" s="149">
        <f t="shared" si="106"/>
        <v>14.513285808720671</v>
      </c>
      <c r="V195" s="149">
        <f t="shared" si="106"/>
        <v>16.060667574088264</v>
      </c>
      <c r="W195" s="149">
        <f t="shared" si="106"/>
        <v>15.656326123772493</v>
      </c>
      <c r="X195" s="149">
        <f t="shared" si="106"/>
        <v>16.176813809708246</v>
      </c>
      <c r="Y195" s="149">
        <f t="shared" si="106"/>
        <v>15.703873973846431</v>
      </c>
      <c r="Z195" s="149">
        <f t="shared" si="106"/>
        <v>16.209942823029593</v>
      </c>
      <c r="AA195" s="149">
        <f t="shared" si="106"/>
        <v>16.342498657794454</v>
      </c>
      <c r="AB195" s="149">
        <f t="shared" si="106"/>
        <v>15.998424364761151</v>
      </c>
      <c r="AC195" s="149">
        <f t="shared" si="106"/>
        <v>16.41011894732101</v>
      </c>
      <c r="AD195" s="149">
        <f t="shared" si="106"/>
        <v>15.824692622606834</v>
      </c>
      <c r="AE195" s="149">
        <f t="shared" si="106"/>
        <v>16.263953126367372</v>
      </c>
      <c r="AF195" s="526">
        <f t="shared" si="104"/>
        <v>191.14236760556992</v>
      </c>
      <c r="AG195" s="149">
        <f t="shared" ref="AG195:AQ195" si="107">(AG9+AG10)*AG79</f>
        <v>199.62313740427879</v>
      </c>
      <c r="AH195" s="149">
        <f t="shared" si="107"/>
        <v>205.7529572786253</v>
      </c>
      <c r="AI195" s="149">
        <f t="shared" si="107"/>
        <v>211.2775575918331</v>
      </c>
      <c r="AJ195" s="149">
        <f t="shared" si="107"/>
        <v>217.10206713828808</v>
      </c>
      <c r="AK195" s="149">
        <f t="shared" si="107"/>
        <v>204.9523694967809</v>
      </c>
      <c r="AL195" s="149">
        <f t="shared" si="107"/>
        <v>183.78709913824244</v>
      </c>
      <c r="AM195" s="149">
        <f t="shared" si="107"/>
        <v>176.00991538217545</v>
      </c>
      <c r="AN195" s="149">
        <f t="shared" si="107"/>
        <v>178.75890446641077</v>
      </c>
      <c r="AO195" s="149">
        <f t="shared" si="107"/>
        <v>193.84874472931259</v>
      </c>
      <c r="AP195" s="149">
        <f t="shared" si="107"/>
        <v>205.37146364900789</v>
      </c>
      <c r="AQ195" s="149">
        <f t="shared" si="107"/>
        <v>221.14433922399863</v>
      </c>
      <c r="AR195" s="149"/>
      <c r="AS195" s="149"/>
    </row>
    <row r="196" spans="1:45" s="150" customFormat="1">
      <c r="A196" s="422">
        <f t="shared" si="40"/>
        <v>194</v>
      </c>
      <c r="B196" s="136" t="s">
        <v>285</v>
      </c>
      <c r="C196" s="149"/>
      <c r="D196" s="149"/>
      <c r="E196" s="149"/>
      <c r="F196" s="526"/>
      <c r="G196" s="149">
        <f t="shared" ref="G196:R196" si="108">G11*G81</f>
        <v>3.5832022533844055</v>
      </c>
      <c r="H196" s="149">
        <f t="shared" si="108"/>
        <v>3.3714956045813005</v>
      </c>
      <c r="I196" s="149">
        <f t="shared" si="108"/>
        <v>3.9447198841739168</v>
      </c>
      <c r="J196" s="149">
        <f t="shared" si="108"/>
        <v>2.4615969789114112</v>
      </c>
      <c r="K196" s="149">
        <f t="shared" si="108"/>
        <v>1.9742129510805424</v>
      </c>
      <c r="L196" s="149">
        <f t="shared" si="108"/>
        <v>1.9839802552353518</v>
      </c>
      <c r="M196" s="149">
        <f t="shared" si="108"/>
        <v>3.4172134995957673</v>
      </c>
      <c r="N196" s="149">
        <f t="shared" si="108"/>
        <v>6.5409816462873076</v>
      </c>
      <c r="O196" s="149">
        <f t="shared" si="108"/>
        <v>4.6731979653710018</v>
      </c>
      <c r="P196" s="149">
        <f t="shared" si="108"/>
        <v>6.8936346099604453</v>
      </c>
      <c r="Q196" s="149">
        <f t="shared" si="108"/>
        <v>5.7948949477747211</v>
      </c>
      <c r="R196" s="149">
        <f t="shared" si="108"/>
        <v>4.7089354599070559</v>
      </c>
      <c r="S196" s="526">
        <f t="shared" si="103"/>
        <v>49.348066056263221</v>
      </c>
      <c r="T196" s="149">
        <f t="shared" ref="T196:AE196" si="109">T11*T81</f>
        <v>5.7566989981360068</v>
      </c>
      <c r="U196" s="149">
        <f t="shared" si="109"/>
        <v>5.2967042770114903</v>
      </c>
      <c r="V196" s="149">
        <f t="shared" si="109"/>
        <v>3.8270949399697463</v>
      </c>
      <c r="W196" s="149">
        <f t="shared" si="109"/>
        <v>3.5831114882960575</v>
      </c>
      <c r="X196" s="149">
        <f t="shared" si="109"/>
        <v>3.3177176280984106</v>
      </c>
      <c r="Y196" s="149">
        <f t="shared" si="109"/>
        <v>4.1394084150745902</v>
      </c>
      <c r="Z196" s="149">
        <f t="shared" si="109"/>
        <v>4.1009745028856948</v>
      </c>
      <c r="AA196" s="149">
        <f t="shared" si="109"/>
        <v>4.1266500839949272</v>
      </c>
      <c r="AB196" s="149">
        <f t="shared" si="109"/>
        <v>4.625795757196026</v>
      </c>
      <c r="AC196" s="149">
        <f t="shared" si="109"/>
        <v>6.9088881393163701</v>
      </c>
      <c r="AD196" s="149">
        <f t="shared" si="109"/>
        <v>5.7656739052663459</v>
      </c>
      <c r="AE196" s="149">
        <f t="shared" si="109"/>
        <v>4.5455792902488623</v>
      </c>
      <c r="AF196" s="526">
        <f t="shared" si="104"/>
        <v>55.994297425494523</v>
      </c>
      <c r="AG196" s="149">
        <f t="shared" ref="AG196:AQ196" si="110">AG11*AG81</f>
        <v>58.736209835812559</v>
      </c>
      <c r="AH196" s="149">
        <f t="shared" si="110"/>
        <v>57.872900048375776</v>
      </c>
      <c r="AI196" s="149">
        <f t="shared" si="110"/>
        <v>59.135910536332723</v>
      </c>
      <c r="AJ196" s="149">
        <f t="shared" si="110"/>
        <v>64.595536280598083</v>
      </c>
      <c r="AK196" s="149">
        <f t="shared" si="110"/>
        <v>231.54893638856259</v>
      </c>
      <c r="AL196" s="149">
        <f t="shared" si="110"/>
        <v>324.33297923495741</v>
      </c>
      <c r="AM196" s="149">
        <f t="shared" si="110"/>
        <v>348.02709461864919</v>
      </c>
      <c r="AN196" s="149">
        <f t="shared" si="110"/>
        <v>373.92693574530119</v>
      </c>
      <c r="AO196" s="149">
        <f t="shared" si="110"/>
        <v>349.96812270278002</v>
      </c>
      <c r="AP196" s="149">
        <f t="shared" si="110"/>
        <v>361.8305305149529</v>
      </c>
      <c r="AQ196" s="149">
        <f t="shared" si="110"/>
        <v>352.51002671368315</v>
      </c>
      <c r="AR196" s="149"/>
      <c r="AS196" s="149"/>
    </row>
    <row r="197" spans="1:45" s="150" customFormat="1">
      <c r="A197" s="422">
        <f t="shared" si="40"/>
        <v>195</v>
      </c>
      <c r="B197" s="136" t="s">
        <v>906</v>
      </c>
      <c r="C197" s="149"/>
      <c r="D197" s="149"/>
      <c r="E197" s="149"/>
      <c r="F197" s="526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526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526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</row>
    <row r="198" spans="1:45" s="150" customFormat="1">
      <c r="A198" s="422">
        <f t="shared" si="40"/>
        <v>196</v>
      </c>
      <c r="B198" s="136" t="s">
        <v>907</v>
      </c>
      <c r="C198" s="149"/>
      <c r="D198" s="149"/>
      <c r="E198" s="149"/>
      <c r="F198" s="526"/>
      <c r="G198" s="149">
        <f t="shared" ref="G198:R198" si="111">G87</f>
        <v>0.31216700000000003</v>
      </c>
      <c r="H198" s="149">
        <f t="shared" si="111"/>
        <v>0.30766700000000002</v>
      </c>
      <c r="I198" s="149">
        <f t="shared" si="111"/>
        <v>0.30766700000000002</v>
      </c>
      <c r="J198" s="149">
        <f t="shared" si="111"/>
        <v>0.30766700000000002</v>
      </c>
      <c r="K198" s="149">
        <f t="shared" si="111"/>
        <v>0.30766700000000002</v>
      </c>
      <c r="L198" s="149">
        <f t="shared" si="111"/>
        <v>0.30766700000000002</v>
      </c>
      <c r="M198" s="149">
        <f t="shared" si="111"/>
        <v>0.30766700000000002</v>
      </c>
      <c r="N198" s="149">
        <f t="shared" si="111"/>
        <v>0.30766700000000002</v>
      </c>
      <c r="O198" s="149">
        <f t="shared" si="111"/>
        <v>0.30766700000000002</v>
      </c>
      <c r="P198" s="149">
        <f t="shared" si="111"/>
        <v>0.30766700000000002</v>
      </c>
      <c r="Q198" s="149">
        <f t="shared" si="111"/>
        <v>0.30766700000000002</v>
      </c>
      <c r="R198" s="149">
        <f t="shared" si="111"/>
        <v>0.30766300000000002</v>
      </c>
      <c r="S198" s="526">
        <f t="shared" si="103"/>
        <v>3.6964999999999995</v>
      </c>
      <c r="T198" s="149">
        <f t="shared" ref="T198:AE198" si="112">T87</f>
        <v>0.31216700000000003</v>
      </c>
      <c r="U198" s="149">
        <f t="shared" si="112"/>
        <v>0.30766700000000002</v>
      </c>
      <c r="V198" s="149">
        <f t="shared" si="112"/>
        <v>0.30766700000000002</v>
      </c>
      <c r="W198" s="149">
        <f t="shared" si="112"/>
        <v>0.30766700000000002</v>
      </c>
      <c r="X198" s="149">
        <f t="shared" si="112"/>
        <v>0.30766700000000002</v>
      </c>
      <c r="Y198" s="149">
        <f t="shared" si="112"/>
        <v>0.30766700000000002</v>
      </c>
      <c r="Z198" s="149">
        <f t="shared" si="112"/>
        <v>0.30766700000000002</v>
      </c>
      <c r="AA198" s="149">
        <f t="shared" si="112"/>
        <v>0.30766700000000002</v>
      </c>
      <c r="AB198" s="149">
        <f t="shared" si="112"/>
        <v>0.30766700000000002</v>
      </c>
      <c r="AC198" s="149">
        <f t="shared" si="112"/>
        <v>0.30766700000000002</v>
      </c>
      <c r="AD198" s="149">
        <f t="shared" si="112"/>
        <v>0.30766700000000002</v>
      </c>
      <c r="AE198" s="149">
        <f t="shared" si="112"/>
        <v>0.30766300000000002</v>
      </c>
      <c r="AF198" s="526">
        <f t="shared" si="104"/>
        <v>3.6964999999999995</v>
      </c>
      <c r="AG198" s="149">
        <f t="shared" ref="AG198:AQ198" si="113">AG87</f>
        <v>3.6964999999999999</v>
      </c>
      <c r="AH198" s="149">
        <f t="shared" si="113"/>
        <v>3.6964999999999999</v>
      </c>
      <c r="AI198" s="149">
        <f t="shared" si="113"/>
        <v>3.6971750000000001</v>
      </c>
      <c r="AJ198" s="149">
        <f t="shared" si="113"/>
        <v>3.6978702499999998</v>
      </c>
      <c r="AK198" s="149">
        <f t="shared" si="113"/>
        <v>3.6985863575</v>
      </c>
      <c r="AL198" s="149">
        <f t="shared" si="113"/>
        <v>3.699323948225</v>
      </c>
      <c r="AM198" s="149">
        <f t="shared" si="113"/>
        <v>3.70008366667175</v>
      </c>
      <c r="AN198" s="149">
        <f t="shared" si="113"/>
        <v>3.7008661766719024</v>
      </c>
      <c r="AO198" s="149">
        <f t="shared" si="113"/>
        <v>3.7016721619720596</v>
      </c>
      <c r="AP198" s="149">
        <f t="shared" si="113"/>
        <v>3.7025023268312212</v>
      </c>
      <c r="AQ198" s="149">
        <f t="shared" si="113"/>
        <v>3.7033573966361577</v>
      </c>
      <c r="AR198" s="149"/>
      <c r="AS198" s="149"/>
    </row>
    <row r="199" spans="1:45" s="150" customFormat="1">
      <c r="A199" s="422">
        <f t="shared" ref="A199:A262" si="114">A198+1</f>
        <v>197</v>
      </c>
      <c r="B199" s="136" t="s">
        <v>287</v>
      </c>
      <c r="C199" s="149"/>
      <c r="D199" s="149"/>
      <c r="E199" s="149"/>
      <c r="F199" s="526"/>
      <c r="G199" s="149">
        <f>-PCM!N72</f>
        <v>0</v>
      </c>
      <c r="H199" s="149">
        <f>-PCM!O72</f>
        <v>0</v>
      </c>
      <c r="I199" s="149">
        <f>-PCM!P72</f>
        <v>0</v>
      </c>
      <c r="J199" s="149">
        <f>-PCM!Q72</f>
        <v>0</v>
      </c>
      <c r="K199" s="149">
        <f>-PCM!R72</f>
        <v>0</v>
      </c>
      <c r="L199" s="149">
        <f>-PCM!S72</f>
        <v>0</v>
      </c>
      <c r="M199" s="149">
        <f>-PCM!T72</f>
        <v>0</v>
      </c>
      <c r="N199" s="149">
        <f>-PCM!U72</f>
        <v>0</v>
      </c>
      <c r="O199" s="149">
        <f>-PCM!V72</f>
        <v>0</v>
      </c>
      <c r="P199" s="149">
        <f>-PCM!W72</f>
        <v>0</v>
      </c>
      <c r="Q199" s="149">
        <f>-PCM!X72</f>
        <v>0</v>
      </c>
      <c r="R199" s="149">
        <f>-PCM!Y72</f>
        <v>0</v>
      </c>
      <c r="S199" s="526">
        <f t="shared" si="103"/>
        <v>0</v>
      </c>
      <c r="T199" s="149">
        <f>-PCM!AA72</f>
        <v>0</v>
      </c>
      <c r="U199" s="149">
        <f>-PCM!AB72</f>
        <v>0</v>
      </c>
      <c r="V199" s="149">
        <f>-PCM!AC72</f>
        <v>0</v>
      </c>
      <c r="W199" s="149">
        <f>-PCM!AD72</f>
        <v>0</v>
      </c>
      <c r="X199" s="149">
        <f>-PCM!AE72</f>
        <v>0</v>
      </c>
      <c r="Y199" s="149">
        <f>-PCM!AF72</f>
        <v>0</v>
      </c>
      <c r="Z199" s="149">
        <f>-PCM!AG72</f>
        <v>0</v>
      </c>
      <c r="AA199" s="149">
        <f>-PCM!AH72</f>
        <v>0</v>
      </c>
      <c r="AB199" s="149">
        <f>-PCM!AI72</f>
        <v>0</v>
      </c>
      <c r="AC199" s="149">
        <f>-PCM!AJ72</f>
        <v>0</v>
      </c>
      <c r="AD199" s="149">
        <f>-PCM!AK72</f>
        <v>0</v>
      </c>
      <c r="AE199" s="149">
        <f>-PCM!AL72</f>
        <v>0</v>
      </c>
      <c r="AF199" s="526">
        <f t="shared" si="104"/>
        <v>0</v>
      </c>
      <c r="AG199" s="149">
        <f>-PCM!AN72</f>
        <v>0</v>
      </c>
      <c r="AH199" s="149">
        <f>-PCM!AO72</f>
        <v>0</v>
      </c>
      <c r="AI199" s="149">
        <f>-PCM!AP72</f>
        <v>0</v>
      </c>
      <c r="AJ199" s="149">
        <f>-PCM!AQ72</f>
        <v>0</v>
      </c>
      <c r="AK199" s="149">
        <f>-PCM!AR72</f>
        <v>0</v>
      </c>
      <c r="AL199" s="149">
        <f>-PCM!AS72</f>
        <v>0</v>
      </c>
      <c r="AM199" s="149">
        <f>-PCM!AT72</f>
        <v>0</v>
      </c>
      <c r="AN199" s="149">
        <f>-PCM!AU72</f>
        <v>0</v>
      </c>
      <c r="AO199" s="149">
        <f>-PCM!AV72</f>
        <v>0</v>
      </c>
      <c r="AP199" s="149">
        <f>-PCM!AW72</f>
        <v>0</v>
      </c>
      <c r="AQ199" s="149">
        <f>-PCM!AX72</f>
        <v>0</v>
      </c>
      <c r="AR199" s="149"/>
      <c r="AS199" s="149"/>
    </row>
    <row r="200" spans="1:45" s="150" customFormat="1">
      <c r="A200" s="422">
        <f t="shared" si="114"/>
        <v>198</v>
      </c>
      <c r="B200" s="136" t="s">
        <v>296</v>
      </c>
      <c r="C200" s="149"/>
      <c r="D200" s="149"/>
      <c r="E200" s="149"/>
      <c r="F200" s="526"/>
      <c r="G200" s="149">
        <f>+Pat.!F15</f>
        <v>0</v>
      </c>
      <c r="H200" s="149">
        <f>+Pat.!G15</f>
        <v>0</v>
      </c>
      <c r="I200" s="149">
        <f>+Pat.!H15</f>
        <v>1.23832464783125</v>
      </c>
      <c r="J200" s="149">
        <f>+Pat.!I15</f>
        <v>2.5000000000000001E-2</v>
      </c>
      <c r="K200" s="149">
        <f>+Pat.!J15</f>
        <v>0</v>
      </c>
      <c r="L200" s="149">
        <f>+Pat.!K15</f>
        <v>0</v>
      </c>
      <c r="M200" s="149">
        <f>+Pat.!L15</f>
        <v>0</v>
      </c>
      <c r="N200" s="149">
        <f>+Pat.!M15</f>
        <v>8.0000000000000002E-3</v>
      </c>
      <c r="O200" s="149">
        <f>+Pat.!N15</f>
        <v>0</v>
      </c>
      <c r="P200" s="149">
        <f>+Pat.!O15</f>
        <v>0</v>
      </c>
      <c r="Q200" s="149">
        <f>+Pat.!P15</f>
        <v>0</v>
      </c>
      <c r="R200" s="149">
        <f>+Pat.!Q15</f>
        <v>0</v>
      </c>
      <c r="S200" s="526">
        <f t="shared" si="103"/>
        <v>1.2713246478312499</v>
      </c>
      <c r="T200" s="149">
        <f>+Pat.!S15</f>
        <v>0</v>
      </c>
      <c r="U200" s="149">
        <f>+Pat.!T15</f>
        <v>0</v>
      </c>
      <c r="V200" s="149">
        <f>+Pat.!U15</f>
        <v>2.7064475505600001</v>
      </c>
      <c r="W200" s="149">
        <f>+Pat.!V15</f>
        <v>0</v>
      </c>
      <c r="X200" s="149">
        <f>+Pat.!W15</f>
        <v>0</v>
      </c>
      <c r="Y200" s="149">
        <f>+Pat.!X15</f>
        <v>0</v>
      </c>
      <c r="Z200" s="149">
        <f>+Pat.!Y15</f>
        <v>0</v>
      </c>
      <c r="AA200" s="149">
        <f>+Pat.!Z15</f>
        <v>0</v>
      </c>
      <c r="AB200" s="149">
        <f>+Pat.!AA15</f>
        <v>0</v>
      </c>
      <c r="AC200" s="149">
        <f>+Pat.!AB15</f>
        <v>0</v>
      </c>
      <c r="AD200" s="149">
        <f>+Pat.!AC15</f>
        <v>0</v>
      </c>
      <c r="AE200" s="149">
        <f>+Pat.!AD15</f>
        <v>0</v>
      </c>
      <c r="AF200" s="526">
        <f t="shared" si="104"/>
        <v>2.7064475505600001</v>
      </c>
      <c r="AG200" s="149">
        <f>+Pat.!AF15</f>
        <v>2.6243469322674997</v>
      </c>
      <c r="AH200" s="149">
        <f>+Pat.!AG15</f>
        <v>2.538535059075</v>
      </c>
      <c r="AI200" s="149">
        <f>+Pat.!AH15</f>
        <v>2.4486009990137503</v>
      </c>
      <c r="AJ200" s="149">
        <f>+Pat.!AI15</f>
        <v>2.3536433920412501</v>
      </c>
      <c r="AK200" s="149">
        <f>+Pat.!AJ15</f>
        <v>2.2531521443862501</v>
      </c>
      <c r="AL200" s="149">
        <f>+Pat.!AK15</f>
        <v>2.1462980837550001</v>
      </c>
      <c r="AM200" s="149">
        <f>+Pat.!AL15</f>
        <v>2.0327081350387504</v>
      </c>
      <c r="AN200" s="149">
        <f>+Pat.!AM15</f>
        <v>1.9124854773837496</v>
      </c>
      <c r="AO200" s="149">
        <f>+Pat.!AN15</f>
        <v>1.7849191323025004</v>
      </c>
      <c r="AP200" s="149">
        <f>+Pat.!AO15</f>
        <v>1.6498390890600008</v>
      </c>
      <c r="AQ200" s="149">
        <f>+Pat.!AP15</f>
        <v>1.5076748853300002</v>
      </c>
      <c r="AR200" s="149"/>
      <c r="AS200" s="149"/>
    </row>
    <row r="201" spans="1:45" s="150" customFormat="1">
      <c r="A201" s="422">
        <f t="shared" si="114"/>
        <v>199</v>
      </c>
      <c r="B201" s="136" t="s">
        <v>288</v>
      </c>
      <c r="C201" s="149"/>
      <c r="D201" s="149"/>
      <c r="E201" s="149"/>
      <c r="F201" s="526"/>
      <c r="G201" s="149">
        <f>G120</f>
        <v>0.17073353166899355</v>
      </c>
      <c r="H201" s="149">
        <f t="shared" ref="H201:R201" si="115">H120</f>
        <v>0.17009169511140093</v>
      </c>
      <c r="I201" s="149">
        <f t="shared" si="115"/>
        <v>0.16977814021572091</v>
      </c>
      <c r="J201" s="149">
        <f t="shared" si="115"/>
        <v>0.16947336528656909</v>
      </c>
      <c r="K201" s="149">
        <f t="shared" si="115"/>
        <v>0.16879698315529648</v>
      </c>
      <c r="L201" s="149">
        <f t="shared" si="115"/>
        <v>0.16792666529029654</v>
      </c>
      <c r="M201" s="149">
        <f t="shared" si="115"/>
        <v>0.16806924121043876</v>
      </c>
      <c r="N201" s="149">
        <f t="shared" si="115"/>
        <v>0.16779094943149278</v>
      </c>
      <c r="O201" s="149">
        <f t="shared" si="115"/>
        <v>0.16794803245991258</v>
      </c>
      <c r="P201" s="149">
        <f t="shared" si="115"/>
        <v>0.16753659061636295</v>
      </c>
      <c r="Q201" s="149">
        <f t="shared" si="115"/>
        <v>0.16636562886447287</v>
      </c>
      <c r="R201" s="149">
        <f t="shared" si="115"/>
        <v>0.16445705037247971</v>
      </c>
      <c r="S201" s="526">
        <f t="shared" si="103"/>
        <v>2.0189678736834371</v>
      </c>
      <c r="T201" s="149">
        <f>T120</f>
        <v>0.16584148914560665</v>
      </c>
      <c r="U201" s="149">
        <f t="shared" ref="U201:AE201" si="116">U120</f>
        <v>0.16511526944357627</v>
      </c>
      <c r="V201" s="149">
        <f t="shared" si="116"/>
        <v>0.16595804788047308</v>
      </c>
      <c r="W201" s="149">
        <f t="shared" si="116"/>
        <v>0.16448790320242462</v>
      </c>
      <c r="X201" s="149">
        <f t="shared" si="116"/>
        <v>0.16310366962968792</v>
      </c>
      <c r="Y201" s="149">
        <f t="shared" si="116"/>
        <v>0.16092508332300048</v>
      </c>
      <c r="Z201" s="149">
        <f t="shared" si="116"/>
        <v>0.16155922303300657</v>
      </c>
      <c r="AA201" s="149">
        <f t="shared" si="116"/>
        <v>0.16152578419709135</v>
      </c>
      <c r="AB201" s="149">
        <f t="shared" si="116"/>
        <v>0.1603252534848548</v>
      </c>
      <c r="AC201" s="149">
        <f t="shared" si="116"/>
        <v>0.16089467170513985</v>
      </c>
      <c r="AD201" s="149">
        <f t="shared" si="116"/>
        <v>0.1606482265119179</v>
      </c>
      <c r="AE201" s="149">
        <f t="shared" si="116"/>
        <v>0.15938429104598745</v>
      </c>
      <c r="AF201" s="526">
        <f t="shared" si="104"/>
        <v>1.9497689126027669</v>
      </c>
      <c r="AG201" s="149">
        <f>AG120</f>
        <v>1.8777426026243624</v>
      </c>
      <c r="AH201" s="149">
        <f t="shared" ref="AH201:AP201" si="117">AH120</f>
        <v>1.8170941780643934</v>
      </c>
      <c r="AI201" s="149">
        <f t="shared" si="117"/>
        <v>1.7597520542275795</v>
      </c>
      <c r="AJ201" s="149">
        <f t="shared" si="117"/>
        <v>1.6931378141532183</v>
      </c>
      <c r="AK201" s="149">
        <f t="shared" si="117"/>
        <v>1.6224381246517554</v>
      </c>
      <c r="AL201" s="149">
        <f t="shared" si="117"/>
        <v>1.5332517745948551</v>
      </c>
      <c r="AM201" s="149">
        <f t="shared" si="117"/>
        <v>1.4275314885653088</v>
      </c>
      <c r="AN201" s="149">
        <f t="shared" si="117"/>
        <v>1.3116743086316032</v>
      </c>
      <c r="AO201" s="149">
        <f t="shared" si="117"/>
        <v>1.2108962867926953</v>
      </c>
      <c r="AP201" s="149">
        <f t="shared" si="117"/>
        <v>1.2855074427264881</v>
      </c>
      <c r="AQ201" s="149">
        <f>AQ120</f>
        <v>1.1480391437867417</v>
      </c>
      <c r="AR201" s="149"/>
      <c r="AS201" s="149"/>
    </row>
    <row r="202" spans="1:45" s="150" customFormat="1">
      <c r="A202" s="422">
        <f t="shared" si="114"/>
        <v>200</v>
      </c>
      <c r="B202" s="137" t="s">
        <v>289</v>
      </c>
      <c r="C202" s="149"/>
      <c r="D202" s="149"/>
      <c r="E202" s="149"/>
      <c r="F202" s="526"/>
      <c r="G202" s="149">
        <f>SUM(G193:G201)</f>
        <v>49.47208760091663</v>
      </c>
      <c r="H202" s="149">
        <f t="shared" ref="H202:S202" si="118">SUM(H193:H201)</f>
        <v>44.73901449550084</v>
      </c>
      <c r="I202" s="149">
        <f t="shared" si="118"/>
        <v>48.588158955803998</v>
      </c>
      <c r="J202" s="149">
        <f t="shared" si="118"/>
        <v>42.950066148319557</v>
      </c>
      <c r="K202" s="149">
        <f t="shared" si="118"/>
        <v>44.370856136147019</v>
      </c>
      <c r="L202" s="149">
        <f t="shared" si="118"/>
        <v>45.606802300567075</v>
      </c>
      <c r="M202" s="149">
        <f t="shared" si="118"/>
        <v>49.29599594103864</v>
      </c>
      <c r="N202" s="149">
        <f t="shared" si="118"/>
        <v>47.945258059586237</v>
      </c>
      <c r="O202" s="149">
        <f t="shared" si="118"/>
        <v>36.098988065381249</v>
      </c>
      <c r="P202" s="149">
        <f t="shared" si="118"/>
        <v>36.835035363441222</v>
      </c>
      <c r="Q202" s="149">
        <f t="shared" si="118"/>
        <v>36.490246475594873</v>
      </c>
      <c r="R202" s="149">
        <f t="shared" si="118"/>
        <v>39.638286739948839</v>
      </c>
      <c r="S202" s="526">
        <f t="shared" si="118"/>
        <v>522.03079628224611</v>
      </c>
      <c r="T202" s="149">
        <f t="shared" ref="T202:AQ202" si="119">SUM(T193:T201)</f>
        <v>41.935808852288325</v>
      </c>
      <c r="U202" s="149">
        <f t="shared" si="119"/>
        <v>37.774626665827164</v>
      </c>
      <c r="V202" s="149">
        <f t="shared" si="119"/>
        <v>39.079566958056724</v>
      </c>
      <c r="W202" s="149">
        <f t="shared" si="119"/>
        <v>33.028649973707978</v>
      </c>
      <c r="X202" s="149">
        <f t="shared" si="119"/>
        <v>34.569858674019294</v>
      </c>
      <c r="Y202" s="149">
        <f t="shared" si="119"/>
        <v>37.908635172610154</v>
      </c>
      <c r="Z202" s="149">
        <f t="shared" si="119"/>
        <v>40.323778998945507</v>
      </c>
      <c r="AA202" s="149">
        <f t="shared" si="119"/>
        <v>40.892187133950962</v>
      </c>
      <c r="AB202" s="149">
        <f t="shared" si="119"/>
        <v>37.307049036457244</v>
      </c>
      <c r="AC202" s="149">
        <f t="shared" si="119"/>
        <v>37.991294427538939</v>
      </c>
      <c r="AD202" s="149">
        <f t="shared" si="119"/>
        <v>37.645079569279183</v>
      </c>
      <c r="AE202" s="149">
        <f t="shared" si="119"/>
        <v>40.857802314594828</v>
      </c>
      <c r="AF202" s="526">
        <f t="shared" si="119"/>
        <v>459.31433777727642</v>
      </c>
      <c r="AG202" s="149">
        <f t="shared" si="119"/>
        <v>480.09559784032581</v>
      </c>
      <c r="AH202" s="149">
        <f t="shared" si="119"/>
        <v>499.06273411822895</v>
      </c>
      <c r="AI202" s="149">
        <f t="shared" si="119"/>
        <v>514.31586920431891</v>
      </c>
      <c r="AJ202" s="149">
        <f t="shared" si="119"/>
        <v>557.5744162888941</v>
      </c>
      <c r="AK202" s="149">
        <f t="shared" si="119"/>
        <v>716.98817505870352</v>
      </c>
      <c r="AL202" s="149">
        <f t="shared" si="119"/>
        <v>794.90205449935013</v>
      </c>
      <c r="AM202" s="149">
        <f t="shared" si="119"/>
        <v>788.48065035107641</v>
      </c>
      <c r="AN202" s="149">
        <f t="shared" si="119"/>
        <v>811.35824502314381</v>
      </c>
      <c r="AO202" s="149">
        <f t="shared" si="119"/>
        <v>809.73533300401107</v>
      </c>
      <c r="AP202" s="149">
        <f t="shared" si="119"/>
        <v>849.95187824360085</v>
      </c>
      <c r="AQ202" s="149">
        <f t="shared" si="119"/>
        <v>881.29913034732715</v>
      </c>
      <c r="AR202" s="149"/>
      <c r="AS202" s="149"/>
    </row>
    <row r="203" spans="1:45" s="150" customFormat="1">
      <c r="A203" s="422">
        <f t="shared" si="114"/>
        <v>201</v>
      </c>
      <c r="B203" s="114"/>
      <c r="C203" s="149"/>
      <c r="D203" s="149"/>
      <c r="E203" s="149"/>
      <c r="F203" s="526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526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526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</row>
    <row r="204" spans="1:45" s="150" customFormat="1">
      <c r="A204" s="422">
        <f t="shared" si="114"/>
        <v>202</v>
      </c>
      <c r="B204" s="135" t="s">
        <v>291</v>
      </c>
      <c r="C204" s="149"/>
      <c r="D204" s="149"/>
      <c r="E204" s="149"/>
      <c r="F204" s="526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526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526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</row>
    <row r="205" spans="1:45" s="150" customFormat="1">
      <c r="A205" s="422">
        <f t="shared" si="114"/>
        <v>203</v>
      </c>
      <c r="B205" s="136" t="s">
        <v>235</v>
      </c>
      <c r="C205" s="149"/>
      <c r="D205" s="149"/>
      <c r="E205" s="149"/>
      <c r="F205" s="526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526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526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</row>
    <row r="206" spans="1:45" s="150" customFormat="1">
      <c r="A206" s="422">
        <f t="shared" si="114"/>
        <v>204</v>
      </c>
      <c r="B206" s="136" t="s">
        <v>292</v>
      </c>
      <c r="C206" s="149"/>
      <c r="D206" s="149"/>
      <c r="E206" s="149"/>
      <c r="F206" s="526"/>
      <c r="G206" s="149">
        <f>PCM!N33+PCM!N59</f>
        <v>25.287836516107141</v>
      </c>
      <c r="H206" s="149">
        <f>PCM!O33+PCM!O59</f>
        <v>22.692523758910177</v>
      </c>
      <c r="I206" s="149">
        <f>PCM!P33+PCM!P59</f>
        <v>24.435636890156211</v>
      </c>
      <c r="J206" s="149">
        <f>PCM!Q33+PCM!Q59</f>
        <v>21.116165248292361</v>
      </c>
      <c r="K206" s="149">
        <f>PCM!R33+PCM!R59</f>
        <v>21.472698098941137</v>
      </c>
      <c r="L206" s="149">
        <f>PCM!S33+PCM!S59</f>
        <v>23.227025538414246</v>
      </c>
      <c r="M206" s="149">
        <f>PCM!T33+PCM!T59</f>
        <v>25.348244524078709</v>
      </c>
      <c r="N206" s="149">
        <f>PCM!U33+PCM!U59</f>
        <v>24.238642251490528</v>
      </c>
      <c r="O206" s="149">
        <f>PCM!V33+PCM!V59</f>
        <v>17.447724528589315</v>
      </c>
      <c r="P206" s="149">
        <f>PCM!W33+PCM!W59</f>
        <v>18.50584067848559</v>
      </c>
      <c r="Q206" s="149">
        <f>PCM!X33+PCM!X59</f>
        <v>17.926705235040746</v>
      </c>
      <c r="R206" s="149">
        <f>PCM!Y33+PCM!Y59</f>
        <v>18.371403699146715</v>
      </c>
      <c r="S206" s="526">
        <f t="shared" ref="S206:S215" si="120">SUM(G206:R206)</f>
        <v>260.07044696765286</v>
      </c>
      <c r="T206" s="149">
        <f>PCM!AA33+PCM!AA59</f>
        <v>19.314064247338113</v>
      </c>
      <c r="U206" s="149">
        <f>PCM!AB33+PCM!AB59</f>
        <v>17.363261865906207</v>
      </c>
      <c r="V206" s="149">
        <f>PCM!AC33+PCM!AC59</f>
        <v>16.591595027679727</v>
      </c>
      <c r="W206" s="149">
        <f>PCM!AD33+PCM!AD59</f>
        <v>14.906613373761822</v>
      </c>
      <c r="X206" s="149">
        <f>PCM!AE33+PCM!AE59</f>
        <v>15.505391489215</v>
      </c>
      <c r="Y206" s="149">
        <f>PCM!AF33+PCM!AF59</f>
        <v>17.905898569991226</v>
      </c>
      <c r="Z206" s="149">
        <f>PCM!AG33+PCM!AG59</f>
        <v>18.614951888982702</v>
      </c>
      <c r="AA206" s="149">
        <f>PCM!AH33+PCM!AH59</f>
        <v>18.549386516337712</v>
      </c>
      <c r="AB206" s="149">
        <f>PCM!AI33+PCM!AI59</f>
        <v>17.837634864630889</v>
      </c>
      <c r="AC206" s="149">
        <f>PCM!AJ33+PCM!AJ59</f>
        <v>18.883811696055833</v>
      </c>
      <c r="AD206" s="149">
        <f>PCM!AK33+PCM!AK59</f>
        <v>18.222670689066781</v>
      </c>
      <c r="AE206" s="149">
        <f>PCM!AL33+PCM!AL59</f>
        <v>18.590091059773933</v>
      </c>
      <c r="AF206" s="526">
        <f>SUM(T206:AE206)</f>
        <v>212.28537128873992</v>
      </c>
      <c r="AG206" s="149">
        <f>PCM!AN33+PCM!AN59</f>
        <v>225.8508880644271</v>
      </c>
      <c r="AH206" s="149">
        <f>PCM!AO33+PCM!AO59</f>
        <v>227.04771586436038</v>
      </c>
      <c r="AI206" s="149">
        <f>PCM!AP33+PCM!AP59</f>
        <v>236.36653473234432</v>
      </c>
      <c r="AJ206" s="149">
        <f>PCM!AQ33+PCM!AQ59</f>
        <v>245.76918607468784</v>
      </c>
      <c r="AK206" s="149">
        <f>PCM!AR33+PCM!AR59</f>
        <v>358.03628357033841</v>
      </c>
      <c r="AL206" s="149">
        <f>PCM!AS33+PCM!AS59</f>
        <v>400.67501777565866</v>
      </c>
      <c r="AM206" s="149">
        <f>PCM!AT33+PCM!AT59</f>
        <v>406.14906114207042</v>
      </c>
      <c r="AN206" s="149">
        <f>PCM!AU33+PCM!AU59</f>
        <v>433.13837845894466</v>
      </c>
      <c r="AO206" s="149">
        <f>PCM!AV33+PCM!AV59</f>
        <v>438.71864752101322</v>
      </c>
      <c r="AP206" s="149">
        <f>PCM!AW33+PCM!AW59</f>
        <v>452.75371166109431</v>
      </c>
      <c r="AQ206" s="149">
        <f>PCM!AX33+PCM!AX59</f>
        <v>478.48321481599112</v>
      </c>
      <c r="AR206" s="149"/>
      <c r="AS206" s="149"/>
    </row>
    <row r="207" spans="1:45" s="150" customFormat="1">
      <c r="A207" s="422">
        <f t="shared" si="114"/>
        <v>205</v>
      </c>
      <c r="B207" s="136" t="s">
        <v>631</v>
      </c>
      <c r="C207" s="149"/>
      <c r="D207" s="149"/>
      <c r="E207" s="149"/>
      <c r="F207" s="526"/>
      <c r="G207" s="149">
        <f>+'Trial Bal'!S478+'Trial Bal'!S475+'Trial Bal'!S480+'Trial Bal'!S483</f>
        <v>0.84135569475742955</v>
      </c>
      <c r="H207" s="149">
        <f>+'Trial Bal'!T478+'Trial Bal'!T475+'Trial Bal'!T480+'Trial Bal'!T483</f>
        <v>0.81787286134423498</v>
      </c>
      <c r="I207" s="149">
        <f>+'Trial Bal'!U478+'Trial Bal'!U475+'Trial Bal'!U480+'Trial Bal'!U483</f>
        <v>0.87587345061689392</v>
      </c>
      <c r="J207" s="149">
        <f>+'Trial Bal'!V478+'Trial Bal'!V475+'Trial Bal'!V480+'Trial Bal'!V483</f>
        <v>0.8536159073601215</v>
      </c>
      <c r="K207" s="149">
        <f>+'Trial Bal'!W478+'Trial Bal'!W475+'Trial Bal'!W480+'Trial Bal'!W483</f>
        <v>0.90435730104710421</v>
      </c>
      <c r="L207" s="149">
        <f>+'Trial Bal'!X478+'Trial Bal'!X475+'Trial Bal'!X480+'Trial Bal'!X483</f>
        <v>0.79100463289362277</v>
      </c>
      <c r="M207" s="149">
        <f>+'Trial Bal'!Y478+'Trial Bal'!Y475+'Trial Bal'!Y480+'Trial Bal'!Y483</f>
        <v>0.88040476744252105</v>
      </c>
      <c r="N207" s="149">
        <f>+'Trial Bal'!Z478+'Trial Bal'!Z475+'Trial Bal'!Z480+'Trial Bal'!Z483</f>
        <v>1.0373160772955994</v>
      </c>
      <c r="O207" s="149">
        <f>+'Trial Bal'!AA478+'Trial Bal'!AA475+'Trial Bal'!AA480+'Trial Bal'!AA483</f>
        <v>0.8598435997184718</v>
      </c>
      <c r="P207" s="149">
        <f>+'Trial Bal'!AB478+'Trial Bal'!AB475+'Trial Bal'!AB480+'Trial Bal'!AB483</f>
        <v>0.85668202479613198</v>
      </c>
      <c r="Q207" s="149">
        <f>+'Trial Bal'!AC478+'Trial Bal'!AC475+'Trial Bal'!AC480+'Trial Bal'!AC483</f>
        <v>0.65571032340820623</v>
      </c>
      <c r="R207" s="149">
        <f>+'Trial Bal'!AD478+'Trial Bal'!AD475+'Trial Bal'!AD480+'Trial Bal'!AD483</f>
        <v>0.53239853867816789</v>
      </c>
      <c r="S207" s="526">
        <f t="shared" si="120"/>
        <v>9.906435179358505</v>
      </c>
      <c r="T207" s="149">
        <f>+'Trial Bal'!AF478+'Trial Bal'!AF475+'Trial Bal'!AF480+'Trial Bal'!AF483</f>
        <v>0.58015551232458329</v>
      </c>
      <c r="U207" s="149">
        <f>+'Trial Bal'!AG478+'Trial Bal'!AG475+'Trial Bal'!AG480+'Trial Bal'!AG483</f>
        <v>0.51703943681203479</v>
      </c>
      <c r="V207" s="149">
        <f>+'Trial Bal'!AH478+'Trial Bal'!AH475+'Trial Bal'!AH480+'Trial Bal'!AH483</f>
        <v>0.58702224068651776</v>
      </c>
      <c r="W207" s="149">
        <f>+'Trial Bal'!AI478+'Trial Bal'!AI475+'Trial Bal'!AI480+'Trial Bal'!AI483</f>
        <v>0.57777100367081369</v>
      </c>
      <c r="X207" s="149">
        <f>+'Trial Bal'!AJ478+'Trial Bal'!AJ475+'Trial Bal'!AJ480+'Trial Bal'!AJ483</f>
        <v>0.61496081648678824</v>
      </c>
      <c r="Y207" s="149">
        <f>+'Trial Bal'!AK478+'Trial Bal'!AK475+'Trial Bal'!AK480+'Trial Bal'!AK483</f>
        <v>0.54677640568075403</v>
      </c>
      <c r="Z207" s="149">
        <f>+'Trial Bal'!AL478+'Trial Bal'!AL475+'Trial Bal'!AL480+'Trial Bal'!AL483</f>
        <v>0.59792618308109813</v>
      </c>
      <c r="AA207" s="149">
        <f>+'Trial Bal'!AM478+'Trial Bal'!AM475+'Trial Bal'!AM480+'Trial Bal'!AM483</f>
        <v>0.73484399612992246</v>
      </c>
      <c r="AB207" s="149">
        <f>+'Trial Bal'!AN478+'Trial Bal'!AN475+'Trial Bal'!AN480+'Trial Bal'!AN483</f>
        <v>0.75265927820136247</v>
      </c>
      <c r="AC207" s="149">
        <f>+'Trial Bal'!AO478+'Trial Bal'!AO475+'Trial Bal'!AO480+'Trial Bal'!AO483</f>
        <v>0.73818752324030956</v>
      </c>
      <c r="AD207" s="149">
        <f>+'Trial Bal'!AP478+'Trial Bal'!AP475+'Trial Bal'!AP480+'Trial Bal'!AP483</f>
        <v>0.55869224529408323</v>
      </c>
      <c r="AE207" s="149">
        <f>+'Trial Bal'!AQ478+'Trial Bal'!AQ475+'Trial Bal'!AQ480+'Trial Bal'!AQ483</f>
        <v>0.53436793171574537</v>
      </c>
      <c r="AF207" s="526">
        <f>SUM(T207:AE207)</f>
        <v>7.3404025733240132</v>
      </c>
      <c r="AG207" s="149">
        <f>+'Trial Bal'!AS478+'Trial Bal'!AS475+'Trial Bal'!AS480+'Trial Bal'!AS483</f>
        <v>7.6440217850724395</v>
      </c>
      <c r="AH207" s="149">
        <f>+'Trial Bal'!AT478+'Trial Bal'!AT475+'Trial Bal'!AT480+'Trial Bal'!AT483</f>
        <v>7.7451162191621652</v>
      </c>
      <c r="AI207" s="149">
        <f>+'Trial Bal'!AU478+'Trial Bal'!AU475+'Trial Bal'!AU480+'Trial Bal'!AU483</f>
        <v>4.4659544405571783</v>
      </c>
      <c r="AJ207" s="149">
        <f>+'Trial Bal'!AV478+'Trial Bal'!AV475+'Trial Bal'!AV480+'Trial Bal'!AV483</f>
        <v>4.5999330737738937</v>
      </c>
      <c r="AK207" s="149">
        <f>+'Trial Bal'!AW478+'Trial Bal'!AW475+'Trial Bal'!AW480+'Trial Bal'!AW483</f>
        <v>4.7379310659871106</v>
      </c>
      <c r="AL207" s="149">
        <f>+'Trial Bal'!AX478+'Trial Bal'!AX475+'Trial Bal'!AX480+'Trial Bal'!AX483</f>
        <v>4.880068997966724</v>
      </c>
      <c r="AM207" s="149">
        <f>+'Trial Bal'!AY478+'Trial Bal'!AY475+'Trial Bal'!AY480+'Trial Bal'!AY483</f>
        <v>5.0264710679057263</v>
      </c>
      <c r="AN207" s="149">
        <f>+'Trial Bal'!AZ478+'Trial Bal'!AZ475+'Trial Bal'!AZ480+'Trial Bal'!AZ483</f>
        <v>5.177265199942898</v>
      </c>
      <c r="AO207" s="149">
        <f>+'Trial Bal'!BA478+'Trial Bal'!BA475+'Trial Bal'!BA480+'Trial Bal'!BA483</f>
        <v>5.3325831559411849</v>
      </c>
      <c r="AP207" s="149">
        <f>+'Trial Bal'!BB478+'Trial Bal'!BB475+'Trial Bal'!BB480+'Trial Bal'!BB483</f>
        <v>5.4925606506194207</v>
      </c>
      <c r="AQ207" s="149">
        <f>+'Trial Bal'!BC478+'Trial Bal'!BC475+'Trial Bal'!BC480+'Trial Bal'!BC483</f>
        <v>5.6573374701380033</v>
      </c>
      <c r="AR207" s="149"/>
      <c r="AS207" s="149"/>
    </row>
    <row r="208" spans="1:45" s="150" customFormat="1">
      <c r="A208" s="422">
        <f t="shared" si="114"/>
        <v>206</v>
      </c>
      <c r="B208" s="136" t="s">
        <v>632</v>
      </c>
      <c r="C208" s="149"/>
      <c r="D208" s="149"/>
      <c r="E208" s="149"/>
      <c r="F208" s="526"/>
      <c r="G208" s="149">
        <f>+'Trial Bal'!S467</f>
        <v>0</v>
      </c>
      <c r="H208" s="149">
        <f>+'Trial Bal'!T467</f>
        <v>0</v>
      </c>
      <c r="I208" s="149">
        <f>+'Trial Bal'!U467</f>
        <v>0</v>
      </c>
      <c r="J208" s="149">
        <f>+'Trial Bal'!V467</f>
        <v>0</v>
      </c>
      <c r="K208" s="149">
        <f>+'Trial Bal'!W467</f>
        <v>0</v>
      </c>
      <c r="L208" s="149">
        <f>+'Trial Bal'!X467</f>
        <v>0</v>
      </c>
      <c r="M208" s="149">
        <f>+'Trial Bal'!Y467</f>
        <v>0</v>
      </c>
      <c r="N208" s="149">
        <f>+'Trial Bal'!Z467</f>
        <v>0</v>
      </c>
      <c r="O208" s="149">
        <f>+'Trial Bal'!AA467</f>
        <v>0</v>
      </c>
      <c r="P208" s="149">
        <f>+'Trial Bal'!AB467</f>
        <v>0</v>
      </c>
      <c r="Q208" s="149">
        <f>+'Trial Bal'!AC467</f>
        <v>0</v>
      </c>
      <c r="R208" s="149">
        <f>+'Trial Bal'!AD467</f>
        <v>0</v>
      </c>
      <c r="S208" s="526">
        <f t="shared" si="120"/>
        <v>0</v>
      </c>
      <c r="T208" s="149">
        <f>+'Trial Bal'!AF467</f>
        <v>0</v>
      </c>
      <c r="U208" s="149">
        <f>+'Trial Bal'!AG467</f>
        <v>0</v>
      </c>
      <c r="V208" s="149">
        <f>+'Trial Bal'!AH467</f>
        <v>0</v>
      </c>
      <c r="W208" s="149">
        <f>+'Trial Bal'!AI467</f>
        <v>0</v>
      </c>
      <c r="X208" s="149">
        <f>+'Trial Bal'!AJ467</f>
        <v>0</v>
      </c>
      <c r="Y208" s="149">
        <f>+'Trial Bal'!AK467</f>
        <v>0</v>
      </c>
      <c r="Z208" s="149">
        <f>+'Trial Bal'!AL467</f>
        <v>0</v>
      </c>
      <c r="AA208" s="149">
        <f>+'Trial Bal'!AM467</f>
        <v>0</v>
      </c>
      <c r="AB208" s="149">
        <f>+'Trial Bal'!AN467</f>
        <v>0</v>
      </c>
      <c r="AC208" s="149">
        <f>+'Trial Bal'!AO467</f>
        <v>0</v>
      </c>
      <c r="AD208" s="149">
        <f>+'Trial Bal'!AP467</f>
        <v>0</v>
      </c>
      <c r="AE208" s="149">
        <f>+'Trial Bal'!AQ467</f>
        <v>0</v>
      </c>
      <c r="AF208" s="526">
        <f>SUM(T208:AE208)</f>
        <v>0</v>
      </c>
      <c r="AG208" s="149">
        <f>+'Trial Bal'!AS467</f>
        <v>0</v>
      </c>
      <c r="AH208" s="149">
        <f>+'Trial Bal'!AT467</f>
        <v>0</v>
      </c>
      <c r="AI208" s="149">
        <f>+'Trial Bal'!AU467</f>
        <v>0</v>
      </c>
      <c r="AJ208" s="149">
        <f>+'Trial Bal'!AV467</f>
        <v>0</v>
      </c>
      <c r="AK208" s="149">
        <f>+'Trial Bal'!AW467</f>
        <v>0</v>
      </c>
      <c r="AL208" s="149">
        <f>+'Trial Bal'!AX467</f>
        <v>0</v>
      </c>
      <c r="AM208" s="149">
        <f>+'Trial Bal'!AY467</f>
        <v>0</v>
      </c>
      <c r="AN208" s="149">
        <f>+'Trial Bal'!AZ467</f>
        <v>0</v>
      </c>
      <c r="AO208" s="149">
        <f>+'Trial Bal'!BA467</f>
        <v>0</v>
      </c>
      <c r="AP208" s="149">
        <f>+'Trial Bal'!BB467</f>
        <v>0</v>
      </c>
      <c r="AQ208" s="149">
        <f>+'Trial Bal'!BC467</f>
        <v>0</v>
      </c>
      <c r="AR208" s="149"/>
      <c r="AS208" s="149"/>
    </row>
    <row r="209" spans="1:45" s="150" customFormat="1">
      <c r="A209" s="422">
        <f t="shared" si="114"/>
        <v>207</v>
      </c>
      <c r="B209" s="136" t="s">
        <v>507</v>
      </c>
      <c r="C209" s="149"/>
      <c r="D209" s="149"/>
      <c r="E209" s="149"/>
      <c r="F209" s="526"/>
      <c r="G209" s="149">
        <f>G92-'Regulatory Charge'!M16-'Regulatory Charge'!M20-Fuel!M48-Fuel!M49-'Capex &amp; Depr'!O50-'Capex &amp; Depr'!O51</f>
        <v>3.7366280545555082</v>
      </c>
      <c r="H209" s="149">
        <f>H92-'Regulatory Charge'!N16-'Regulatory Charge'!N20-Fuel!N48-Fuel!N49-'Capex &amp; Depr'!P50-'Capex &amp; Depr'!P51</f>
        <v>3.584598018528844</v>
      </c>
      <c r="I209" s="149">
        <f>I92-'Regulatory Charge'!O16-'Regulatory Charge'!O20-Fuel!O48-Fuel!O49-'Capex &amp; Depr'!Q50-'Capex &amp; Depr'!Q51</f>
        <v>4.5084531261954304</v>
      </c>
      <c r="J209" s="149">
        <f>J92-'Regulatory Charge'!P16-'Regulatory Charge'!P20-Fuel!P48-Fuel!P49-'Capex &amp; Depr'!R50-'Capex &amp; Depr'!R51</f>
        <v>6.161518535320905</v>
      </c>
      <c r="K209" s="149">
        <f>K92-'Regulatory Charge'!Q16-'Regulatory Charge'!Q20-Fuel!Q48-Fuel!Q49-'Capex &amp; Depr'!S50-'Capex &amp; Depr'!S51</f>
        <v>5.3384098771593038</v>
      </c>
      <c r="L209" s="149">
        <f>L92-'Regulatory Charge'!R16-'Regulatory Charge'!R20-Fuel!R48-Fuel!R49-'Capex &amp; Depr'!T50-'Capex &amp; Depr'!T51</f>
        <v>3.505030233978931</v>
      </c>
      <c r="M209" s="149">
        <f>M92-'Regulatory Charge'!S16-'Regulatory Charge'!S20-Fuel!S48-Fuel!S49-'Capex &amp; Depr'!U50-'Capex &amp; Depr'!U51</f>
        <v>3.6163650075125497</v>
      </c>
      <c r="N209" s="149">
        <f>N92-'Regulatory Charge'!T16-'Regulatory Charge'!T20-Fuel!T48-Fuel!T49-'Capex &amp; Depr'!V50-'Capex &amp; Depr'!V51</f>
        <v>3.3747103337157323</v>
      </c>
      <c r="O209" s="149">
        <f>O92-'Regulatory Charge'!U16-'Regulatory Charge'!U20-Fuel!U48-Fuel!U49-'Capex &amp; Depr'!W50-'Capex &amp; Depr'!W51</f>
        <v>2.7622084733626808</v>
      </c>
      <c r="P209" s="149">
        <f>P92-'Regulatory Charge'!V16-'Regulatory Charge'!V20-Fuel!V48-Fuel!V49-'Capex &amp; Depr'!X50-'Capex &amp; Depr'!X51</f>
        <v>3.2832119630594883</v>
      </c>
      <c r="Q209" s="149">
        <f>Q92-'Regulatory Charge'!W16-'Regulatory Charge'!W20-Fuel!W48-Fuel!W49-'Capex &amp; Depr'!Y50-'Capex &amp; Depr'!Y51</f>
        <v>3.100073398920157</v>
      </c>
      <c r="R209" s="149">
        <f>R92-'Regulatory Charge'!X16-'Regulatory Charge'!X20-Fuel!X48-Fuel!X49-'Capex &amp; Depr'!Z50-'Capex &amp; Depr'!Z51</f>
        <v>3.183164407291506</v>
      </c>
      <c r="S209" s="526">
        <f t="shared" si="120"/>
        <v>46.154371429601042</v>
      </c>
      <c r="T209" s="149">
        <f>T92-'Regulatory Charge'!Z16-'Regulatory Charge'!Z20-Fuel!Z48-Fuel!Z49-'Capex &amp; Depr'!AB50-'Capex &amp; Depr'!AB51</f>
        <v>3.3968141207149536</v>
      </c>
      <c r="U209" s="149">
        <f>U92-'Regulatory Charge'!AA16-'Regulatory Charge'!AA20-Fuel!AA48-Fuel!AA49-'Capex &amp; Depr'!AC50-'Capex &amp; Depr'!AC51</f>
        <v>3.1197384695815993</v>
      </c>
      <c r="V209" s="149">
        <f>V92-'Regulatory Charge'!AB16-'Regulatory Charge'!AB20-Fuel!AB48-Fuel!AB49-'Capex &amp; Depr'!AD50-'Capex &amp; Depr'!AD51</f>
        <v>3.6123974659896327</v>
      </c>
      <c r="W209" s="149">
        <f>W92-'Regulatory Charge'!AC16-'Regulatory Charge'!AC20-Fuel!AC48-Fuel!AC49-'Capex &amp; Depr'!AE50-'Capex &amp; Depr'!AE51</f>
        <v>4.0306443542762764</v>
      </c>
      <c r="X209" s="149">
        <f>X92-'Regulatory Charge'!AD16-'Regulatory Charge'!AD20-Fuel!AD48-Fuel!AD49-'Capex &amp; Depr'!AF50-'Capex &amp; Depr'!AF51</f>
        <v>4.7026858758166048</v>
      </c>
      <c r="Y209" s="149">
        <f>Y92-'Regulatory Charge'!AE16-'Regulatory Charge'!AE20-Fuel!AE48-Fuel!AE49-'Capex &amp; Depr'!AG50-'Capex &amp; Depr'!AG51</f>
        <v>2.931515067010416</v>
      </c>
      <c r="Z209" s="149">
        <f>Z92-'Regulatory Charge'!AF16-'Regulatory Charge'!AF20-Fuel!AF48-Fuel!AF49-'Capex &amp; Depr'!AH50-'Capex &amp; Depr'!AH51</f>
        <v>2.9594120937900628</v>
      </c>
      <c r="AA209" s="149">
        <f>AA92-'Regulatory Charge'!AG16-'Regulatory Charge'!AG20-Fuel!AG48-Fuel!AG49-'Capex &amp; Depr'!AI50-'Capex &amp; Depr'!AI51</f>
        <v>3.0362114185924844</v>
      </c>
      <c r="AB209" s="149">
        <f>AB92-'Regulatory Charge'!AH16-'Regulatory Charge'!AH20-Fuel!AH48-Fuel!AH49-'Capex &amp; Depr'!AJ50-'Capex &amp; Depr'!AJ51</f>
        <v>2.8107035070849298</v>
      </c>
      <c r="AC209" s="149">
        <f>AC92-'Regulatory Charge'!AI16-'Regulatory Charge'!AI20-Fuel!AI48-Fuel!AI49-'Capex &amp; Depr'!AK50-'Capex &amp; Depr'!AK51</f>
        <v>3.3073914978125059</v>
      </c>
      <c r="AD209" s="149">
        <f>AD92-'Regulatory Charge'!AJ16-'Regulatory Charge'!AJ20-Fuel!AJ48-Fuel!AJ49-'Capex &amp; Depr'!AL50-'Capex &amp; Depr'!AL51</f>
        <v>3.1525626301526191</v>
      </c>
      <c r="AE209" s="149">
        <f>AE92-'Regulatory Charge'!AK16-'Regulatory Charge'!AK20-Fuel!AK48-Fuel!AK49-'Capex &amp; Depr'!AM50-'Capex &amp; Depr'!AM51</f>
        <v>3.3185957344026713</v>
      </c>
      <c r="AF209" s="526">
        <f>SUM(T209:AE209)</f>
        <v>40.378672235224755</v>
      </c>
      <c r="AG209" s="149">
        <f>AG92-'Regulatory Charge'!AM16-'Regulatory Charge'!AM20-Fuel!AM48-Fuel!AM49-'Capex &amp; Depr'!AO50-'Capex &amp; Depr'!AO51</f>
        <v>45.684325610257019</v>
      </c>
      <c r="AH209" s="149">
        <f>AH92-'Regulatory Charge'!AN16-'Regulatory Charge'!AN20-Fuel!AN48-Fuel!AN49-'Capex &amp; Depr'!AP50-'Capex &amp; Depr'!AP51</f>
        <v>47.46331721552869</v>
      </c>
      <c r="AI209" s="149">
        <f>AI92-'Regulatory Charge'!AO16-'Regulatory Charge'!AO20-Fuel!AO48-Fuel!AO49-'Capex &amp; Depr'!AQ50-'Capex &amp; Depr'!AQ51</f>
        <v>48.952952721944264</v>
      </c>
      <c r="AJ209" s="149">
        <f>AJ92-'Regulatory Charge'!AP16-'Regulatory Charge'!AP20-Fuel!AP48-Fuel!AP49-'Capex &amp; Depr'!AR50-'Capex &amp; Depr'!AR51</f>
        <v>49.89253014030897</v>
      </c>
      <c r="AK209" s="149">
        <f>AK92-'Regulatory Charge'!AQ16-'Regulatory Charge'!AQ20-Fuel!AQ48-Fuel!AQ49-'Capex &amp; Depr'!AS50-'Capex &amp; Depr'!AS51</f>
        <v>47.974913403367232</v>
      </c>
      <c r="AL209" s="149">
        <f>AL92-'Regulatory Charge'!AR16-'Regulatory Charge'!AR20-Fuel!AR48-Fuel!AR49-'Capex &amp; Depr'!AT50-'Capex &amp; Depr'!AT51</f>
        <v>49.068414191921711</v>
      </c>
      <c r="AM209" s="149">
        <f>AM92-'Regulatory Charge'!AS16-'Regulatory Charge'!AS20-Fuel!AS48-Fuel!AS49-'Capex &amp; Depr'!AU50-'Capex &amp; Depr'!AU51</f>
        <v>49.50990089795517</v>
      </c>
      <c r="AN209" s="149">
        <f>AN92-'Regulatory Charge'!AT16-'Regulatory Charge'!AT20-Fuel!AT48-Fuel!AT49-'Capex &amp; Depr'!AV50-'Capex &amp; Depr'!AV51</f>
        <v>51.406953490360017</v>
      </c>
      <c r="AO209" s="149">
        <f>AO92-'Regulatory Charge'!AU16-'Regulatory Charge'!AU20-Fuel!AU48-Fuel!AU49-'Capex &amp; Depr'!AW50-'Capex &amp; Depr'!AW51</f>
        <v>52.312915430745029</v>
      </c>
      <c r="AP209" s="149">
        <f>AP92-'Regulatory Charge'!AV16-'Regulatory Charge'!AV20-Fuel!AV48-Fuel!AV49-'Capex &amp; Depr'!AX50-'Capex &amp; Depr'!AX51</f>
        <v>54.042682055553584</v>
      </c>
      <c r="AQ209" s="149">
        <f>AQ92-'Regulatory Charge'!AW16-'Regulatory Charge'!AW20-Fuel!AW48-Fuel!AW49-'Capex &amp; Depr'!AY50-'Capex &amp; Depr'!AY51</f>
        <v>54.967584777739532</v>
      </c>
      <c r="AR209" s="149"/>
      <c r="AS209" s="149"/>
    </row>
    <row r="210" spans="1:45" s="150" customFormat="1">
      <c r="A210" s="422">
        <f t="shared" si="114"/>
        <v>208</v>
      </c>
      <c r="B210" s="136" t="s">
        <v>508</v>
      </c>
      <c r="C210" s="149"/>
      <c r="D210" s="149"/>
      <c r="E210" s="149"/>
      <c r="F210" s="526"/>
      <c r="G210" s="149">
        <f t="shared" ref="G210:R210" si="121">G90+G102</f>
        <v>7.3553009160369509</v>
      </c>
      <c r="H210" s="149">
        <f t="shared" si="121"/>
        <v>7.574012143206045</v>
      </c>
      <c r="I210" s="149">
        <f t="shared" si="121"/>
        <v>8.2404282703936005</v>
      </c>
      <c r="J210" s="149">
        <f t="shared" si="121"/>
        <v>8.4348517243360526</v>
      </c>
      <c r="K210" s="149">
        <f t="shared" si="121"/>
        <v>12.438144588816076</v>
      </c>
      <c r="L210" s="149">
        <f t="shared" si="121"/>
        <v>7.4742355607093103</v>
      </c>
      <c r="M210" s="149">
        <f t="shared" si="121"/>
        <v>7.9255568724887961</v>
      </c>
      <c r="N210" s="149">
        <f t="shared" si="121"/>
        <v>7.7987994062235497</v>
      </c>
      <c r="O210" s="149">
        <f t="shared" si="121"/>
        <v>6.7896218741246912</v>
      </c>
      <c r="P210" s="149">
        <f t="shared" si="121"/>
        <v>7.5938690396372603</v>
      </c>
      <c r="Q210" s="149">
        <f t="shared" si="121"/>
        <v>6.0895052968566841</v>
      </c>
      <c r="R210" s="149">
        <f t="shared" si="121"/>
        <v>5.296648956480027</v>
      </c>
      <c r="S210" s="526">
        <f t="shared" si="120"/>
        <v>93.010974649309034</v>
      </c>
      <c r="T210" s="149">
        <f t="shared" ref="T210:AE210" si="122">T90+T102</f>
        <v>6.0641727630571376</v>
      </c>
      <c r="U210" s="149">
        <f t="shared" si="122"/>
        <v>5.7137125555949391</v>
      </c>
      <c r="V210" s="149">
        <f t="shared" si="122"/>
        <v>8.5816517990734269</v>
      </c>
      <c r="W210" s="149">
        <f t="shared" si="122"/>
        <v>11.476558339856767</v>
      </c>
      <c r="X210" s="149">
        <f t="shared" si="122"/>
        <v>8.9295014875611241</v>
      </c>
      <c r="Y210" s="149">
        <f t="shared" si="122"/>
        <v>5.8708766410394082</v>
      </c>
      <c r="Z210" s="149">
        <f t="shared" si="122"/>
        <v>6.1644946033280359</v>
      </c>
      <c r="AA210" s="149">
        <f t="shared" si="122"/>
        <v>6.3123666821195599</v>
      </c>
      <c r="AB210" s="149">
        <f t="shared" si="122"/>
        <v>6.2290345773740814</v>
      </c>
      <c r="AC210" s="149">
        <f t="shared" si="122"/>
        <v>7.1715093734209283</v>
      </c>
      <c r="AD210" s="149">
        <f t="shared" si="122"/>
        <v>5.6556652148564073</v>
      </c>
      <c r="AE210" s="149">
        <f t="shared" si="122"/>
        <v>5.4837942060021598</v>
      </c>
      <c r="AF210" s="526">
        <f t="shared" ref="AF210:AF215" si="123">SUM(T210:AE210)</f>
        <v>83.653338243283983</v>
      </c>
      <c r="AG210" s="149">
        <f t="shared" ref="AG210:AQ210" si="124">AG90+AG102</f>
        <v>85.701368156717763</v>
      </c>
      <c r="AH210" s="149">
        <f t="shared" si="124"/>
        <v>93.081832780706065</v>
      </c>
      <c r="AI210" s="149">
        <f t="shared" si="124"/>
        <v>99.465334788531209</v>
      </c>
      <c r="AJ210" s="149">
        <f t="shared" si="124"/>
        <v>102.61382927873368</v>
      </c>
      <c r="AK210" s="149">
        <f t="shared" si="124"/>
        <v>144.62589899699998</v>
      </c>
      <c r="AL210" s="149">
        <f t="shared" si="124"/>
        <v>151.37377291894205</v>
      </c>
      <c r="AM210" s="149">
        <f t="shared" si="124"/>
        <v>154.88607468758909</v>
      </c>
      <c r="AN210" s="149">
        <f t="shared" si="124"/>
        <v>160.01470894945322</v>
      </c>
      <c r="AO210" s="149">
        <f t="shared" si="124"/>
        <v>163.3614270472919</v>
      </c>
      <c r="AP210" s="149">
        <f t="shared" si="124"/>
        <v>168.34756233802747</v>
      </c>
      <c r="AQ210" s="149">
        <f t="shared" si="124"/>
        <v>172.41012628801192</v>
      </c>
      <c r="AR210" s="149"/>
      <c r="AS210" s="149"/>
    </row>
    <row r="211" spans="1:45" s="150" customFormat="1">
      <c r="A211" s="422">
        <f t="shared" si="114"/>
        <v>209</v>
      </c>
      <c r="B211" s="136" t="s">
        <v>293</v>
      </c>
      <c r="C211" s="149"/>
      <c r="D211" s="149"/>
      <c r="E211" s="149"/>
      <c r="F211" s="526"/>
      <c r="G211" s="149">
        <f>+G93+G94+G103-'O&amp;M'!O9</f>
        <v>1.3787400817178128</v>
      </c>
      <c r="H211" s="149">
        <f>+H93+H94+H103-'O&amp;M'!P9</f>
        <v>1.2866533673984231</v>
      </c>
      <c r="I211" s="149">
        <f>+I93+I94+I103-'O&amp;M'!Q9</f>
        <v>1.4392897589010805</v>
      </c>
      <c r="J211" s="149">
        <f>+J93+J94+J103-'O&amp;M'!R9</f>
        <v>1.284124518853935</v>
      </c>
      <c r="K211" s="149">
        <f>+K93+K94+K103-'O&amp;M'!S9</f>
        <v>1.3949617846288362</v>
      </c>
      <c r="L211" s="149">
        <f>+L93+L94+L103-'O&amp;M'!T9</f>
        <v>1.5117283644873996</v>
      </c>
      <c r="M211" s="149">
        <f>+M93+M94+M103-'O&amp;M'!U9</f>
        <v>1.5209075188539347</v>
      </c>
      <c r="N211" s="149">
        <f>+N93+N94+N103-'O&amp;M'!V9</f>
        <v>1.4409634846288362</v>
      </c>
      <c r="O211" s="149">
        <f>+O93+O94+O103-'O&amp;M'!W9</f>
        <v>1.1931834605994356</v>
      </c>
      <c r="P211" s="149">
        <f>+P93+P94+P103-'O&amp;M'!X9</f>
        <v>1.2189502515111525</v>
      </c>
      <c r="Q211" s="149">
        <f>+Q93+Q94+Q103-'O&amp;M'!Y9</f>
        <v>1.141654732344686</v>
      </c>
      <c r="R211" s="149">
        <f>+R93+R94+R103-'O&amp;M'!Z9</f>
        <v>1.2545845584018616</v>
      </c>
      <c r="S211" s="526">
        <f t="shared" si="120"/>
        <v>16.065741882327394</v>
      </c>
      <c r="T211" s="149">
        <f>+T93+T94+T103-'O&amp;M'!AB9</f>
        <v>1.2061621771734024</v>
      </c>
      <c r="U211" s="149">
        <f>+U93+U94+U103-'O&amp;M'!AC9</f>
        <v>1.1375712399863753</v>
      </c>
      <c r="V211" s="149">
        <f>+V93+V94+V103-'O&amp;M'!AD9</f>
        <v>1.2934699934578346</v>
      </c>
      <c r="W211" s="149">
        <f>+W93+W94+W103-'O&amp;M'!AE9</f>
        <v>1.1448315450159969</v>
      </c>
      <c r="X211" s="149">
        <f>+X93+X94+X103-'O&amp;M'!AF9</f>
        <v>1.2618847653326455</v>
      </c>
      <c r="Y211" s="149">
        <f>+Y93+Y94+Y103-'O&amp;M'!AG9</f>
        <v>1.3859120139871322</v>
      </c>
      <c r="Z211" s="149">
        <f>+Z93+Z94+Z103-'O&amp;M'!AH9</f>
        <v>1.394190246425997</v>
      </c>
      <c r="AA211" s="149">
        <f>+AA93+AA94+AA103-'O&amp;M'!AI9</f>
        <v>1.4236054566726453</v>
      </c>
      <c r="AB211" s="149">
        <f>+AB93+AB94+AB103-'O&amp;M'!AJ9</f>
        <v>1.2520430329677006</v>
      </c>
      <c r="AC211" s="149">
        <f>+AC93+AC94+AC103-'O&amp;M'!AK9</f>
        <v>1.2445525278918583</v>
      </c>
      <c r="AD211" s="149">
        <f>+AD93+AD94+AD103-'O&amp;M'!AL9</f>
        <v>1.1742598384379443</v>
      </c>
      <c r="AE211" s="149">
        <f>+AE93+AE94+AE103-'O&amp;M'!AM9</f>
        <v>1.2521526737244502</v>
      </c>
      <c r="AF211" s="526">
        <f t="shared" si="123"/>
        <v>15.170635511073982</v>
      </c>
      <c r="AG211" s="149">
        <f>+AG93+AG94+AG103-'O&amp;M'!AO9</f>
        <v>15.549772623810597</v>
      </c>
      <c r="AH211" s="149">
        <f>+AH93+AH94+AH103-'O&amp;M'!AP9</f>
        <v>15.98845725283881</v>
      </c>
      <c r="AI211" s="149">
        <f>+AI93+AI94+AI103-'O&amp;M'!AQ9</f>
        <v>16.468110970423979</v>
      </c>
      <c r="AJ211" s="149">
        <f>+AJ93+AJ94+AJ103-'O&amp;M'!AR9</f>
        <v>16.962154299536699</v>
      </c>
      <c r="AK211" s="149">
        <f>+AK93+AK94+AK103-'O&amp;M'!AS9</f>
        <v>17.471018928522795</v>
      </c>
      <c r="AL211" s="149">
        <f>+AL93+AL94+AL103-'O&amp;M'!AT9</f>
        <v>17.995149496378485</v>
      </c>
      <c r="AM211" s="149">
        <f>+AM93+AM94+AM103-'O&amp;M'!AU9</f>
        <v>18.535003981269842</v>
      </c>
      <c r="AN211" s="149">
        <f>+AN93+AN94+AN103-'O&amp;M'!AV9</f>
        <v>19.091054100707932</v>
      </c>
      <c r="AO211" s="149">
        <f>+AO93+AO94+AO103-'O&amp;M'!AW9</f>
        <v>19.663785723729173</v>
      </c>
      <c r="AP211" s="149">
        <f>+AP93+AP94+AP103-'O&amp;M'!AX9</f>
        <v>20.253699295441049</v>
      </c>
      <c r="AQ211" s="149">
        <f>+AQ93+AQ94+AQ103-'O&amp;M'!AY9</f>
        <v>20.86131027430428</v>
      </c>
      <c r="AR211" s="149"/>
      <c r="AS211" s="149"/>
    </row>
    <row r="212" spans="1:45" s="150" customFormat="1">
      <c r="A212" s="422">
        <f t="shared" si="114"/>
        <v>210</v>
      </c>
      <c r="B212" s="136" t="s">
        <v>294</v>
      </c>
      <c r="C212" s="149"/>
      <c r="D212" s="149"/>
      <c r="E212" s="149"/>
      <c r="F212" s="526"/>
      <c r="G212" s="149">
        <f>+G99+G105+G97+G98-'O&amp;M'!O10-'O&amp;M'!O186</f>
        <v>2.303999945944081</v>
      </c>
      <c r="H212" s="149">
        <f>+H99+H105+H97+H98-'O&amp;M'!P10-'O&amp;M'!P186</f>
        <v>2.1793575069124409</v>
      </c>
      <c r="I212" s="149">
        <f>+I99+I105+I97+I98-'O&amp;M'!Q10-'O&amp;M'!Q186</f>
        <v>3.0481107504020493</v>
      </c>
      <c r="J212" s="149">
        <f>+J99+J105+J97+J98-'O&amp;M'!R10-'O&amp;M'!R186</f>
        <v>2.2889231491677533</v>
      </c>
      <c r="K212" s="149">
        <f>+K99+K105+K97+K98-'O&amp;M'!S10-'O&amp;M'!S186</f>
        <v>2.7040100989547047</v>
      </c>
      <c r="L212" s="149">
        <f>+L99+L105+L97+L98-'O&amp;M'!T10-'O&amp;M'!T186</f>
        <v>3.1807543056518175</v>
      </c>
      <c r="M212" s="149">
        <f>+M99+M105+M97+M98-'O&amp;M'!U10-'O&amp;M'!U186</f>
        <v>2.2761592378877529</v>
      </c>
      <c r="N212" s="149">
        <f>+N99+N105+N97+N98-'O&amp;M'!V10-'O&amp;M'!V186</f>
        <v>2.4091614089372042</v>
      </c>
      <c r="O212" s="149">
        <f>+O99+O105+O97+O98-'O&amp;M'!W10-'O&amp;M'!W186</f>
        <v>2.3624009312747236</v>
      </c>
      <c r="P212" s="149">
        <f>+P99+P105+P97+P98-'O&amp;M'!X10-'O&amp;M'!X186</f>
        <v>2.4721188046072884</v>
      </c>
      <c r="Q212" s="149">
        <f>+Q99+Q105+Q97+Q98-'O&amp;M'!Y10-'O&amp;M'!Y186</f>
        <v>2.0877277257975111</v>
      </c>
      <c r="R212" s="149">
        <f>+R99+R105+R97+R98-'O&amp;M'!Z10-'O&amp;M'!Z186</f>
        <v>2.4858804980315328</v>
      </c>
      <c r="S212" s="526">
        <f t="shared" si="120"/>
        <v>29.79860436356886</v>
      </c>
      <c r="T212" s="149">
        <f>+T99+T105+T97+T98-'O&amp;M'!AB10-'O&amp;M'!AB186</f>
        <v>2.2941935642282076</v>
      </c>
      <c r="U212" s="149">
        <f>+U99+U105+U97+U98-'O&amp;M'!AC10-'O&amp;M'!AC186</f>
        <v>2.1785679734701096</v>
      </c>
      <c r="V212" s="149">
        <f>+V99+V105+V97+V98-'O&amp;M'!AD10-'O&amp;M'!AD186</f>
        <v>3.0124637513349257</v>
      </c>
      <c r="W212" s="149">
        <f>+W99+W105+W97+W98-'O&amp;M'!AE10-'O&amp;M'!AE186</f>
        <v>2.3387204774885886</v>
      </c>
      <c r="X212" s="149">
        <f>+X99+X105+X97+X98-'O&amp;M'!AF10-'O&amp;M'!AF186</f>
        <v>2.6653367186751655</v>
      </c>
      <c r="Y212" s="149">
        <f>+Y99+Y105+Y97+Y98-'O&amp;M'!AG10-'O&amp;M'!AG186</f>
        <v>3.1431425132931525</v>
      </c>
      <c r="Z212" s="149">
        <f>+Z99+Z105+Z97+Z98-'O&amp;M'!AH10-'O&amp;M'!AH186</f>
        <v>2.236791644088588</v>
      </c>
      <c r="AA212" s="149">
        <f>+AA99+AA105+AA97+AA98-'O&amp;M'!AI10-'O&amp;M'!AI186</f>
        <v>2.3663660148551657</v>
      </c>
      <c r="AB212" s="149">
        <f>+AB99+AB105+AB97+AB98-'O&amp;M'!AJ10-'O&amp;M'!AJ186</f>
        <v>2.3669311947454688</v>
      </c>
      <c r="AC212" s="149">
        <f>+AC99+AC105+AC97+AC98-'O&amp;M'!AK10-'O&amp;M'!AK186</f>
        <v>2.4160832118220963</v>
      </c>
      <c r="AD212" s="149">
        <f>+AD99+AD105+AD97+AD98-'O&amp;M'!AL10-'O&amp;M'!AL186</f>
        <v>2.0598455668565379</v>
      </c>
      <c r="AE212" s="149">
        <f>+AE99+AE105+AE97+AE98-'O&amp;M'!AM10-'O&amp;M'!AM186</f>
        <v>2.6050077254210646</v>
      </c>
      <c r="AF212" s="526">
        <f t="shared" si="123"/>
        <v>29.683450356279071</v>
      </c>
      <c r="AG212" s="149">
        <f>+AG99+AG105+AG97+AG98-'O&amp;M'!AO10-'O&amp;M'!AO186</f>
        <v>30.319353101602626</v>
      </c>
      <c r="AH212" s="149">
        <f>+AH99+AH105+AH97+AH98-'O&amp;M'!AP10-'O&amp;M'!AP186</f>
        <v>31.137120482201773</v>
      </c>
      <c r="AI212" s="149">
        <f>+AI99+AI105+AI97+AI98-'O&amp;M'!AQ10-'O&amp;M'!AQ186</f>
        <v>31.706494783334495</v>
      </c>
      <c r="AJ212" s="149">
        <f>+AJ99+AJ105+AJ97+AJ98-'O&amp;M'!AR10-'O&amp;M'!AR186</f>
        <v>32.655962826834532</v>
      </c>
      <c r="AK212" s="149">
        <f>+AK99+AK105+AK97+AK98-'O&amp;M'!AS10-'O&amp;M'!AS186</f>
        <v>33.633914911639565</v>
      </c>
      <c r="AL212" s="149">
        <f>+AL99+AL105+AL97+AL98-'O&amp;M'!AT10-'O&amp;M'!AT186</f>
        <v>34.641205558988744</v>
      </c>
      <c r="AM212" s="149">
        <f>+AM99+AM105+AM97+AM98-'O&amp;M'!AU10-'O&amp;M'!AU186</f>
        <v>35.678714925758413</v>
      </c>
      <c r="AN212" s="149">
        <f>+AN99+AN105+AN97+AN98-'O&amp;M'!AV10-'O&amp;M'!AV186</f>
        <v>36.74734957353116</v>
      </c>
      <c r="AO212" s="149">
        <f>+AO99+AO105+AO97+AO98-'O&amp;M'!AW10-'O&amp;M'!AW186</f>
        <v>37.848043260737093</v>
      </c>
      <c r="AP212" s="149">
        <f>+AP99+AP105+AP97+AP98-'O&amp;M'!AX10-'O&amp;M'!AX186</f>
        <v>38.981757758559212</v>
      </c>
      <c r="AQ212" s="149">
        <f>+AQ99+AQ105+AQ97+AQ98-'O&amp;M'!AY10-'O&amp;M'!AY186</f>
        <v>40.149483691315986</v>
      </c>
      <c r="AR212" s="149"/>
      <c r="AS212" s="149"/>
    </row>
    <row r="213" spans="1:45" s="150" customFormat="1">
      <c r="A213" s="422">
        <f t="shared" si="114"/>
        <v>211</v>
      </c>
      <c r="B213" s="136" t="s">
        <v>295</v>
      </c>
      <c r="C213" s="149"/>
      <c r="D213" s="149"/>
      <c r="E213" s="149"/>
      <c r="F213" s="526"/>
      <c r="G213" s="149">
        <f>G260</f>
        <v>10.191220446828503</v>
      </c>
      <c r="H213" s="149">
        <f t="shared" ref="H213:R213" si="125">H260</f>
        <v>-4.6115337398649388</v>
      </c>
      <c r="I213" s="149">
        <f t="shared" si="125"/>
        <v>-1.4391551926050909</v>
      </c>
      <c r="J213" s="149">
        <f t="shared" si="125"/>
        <v>-4.8736161510979912</v>
      </c>
      <c r="K213" s="149">
        <f t="shared" si="125"/>
        <v>-3.1218631869959692</v>
      </c>
      <c r="L213" s="149">
        <f t="shared" si="125"/>
        <v>6.7288527849614201</v>
      </c>
      <c r="M213" s="149">
        <f t="shared" si="125"/>
        <v>2.4685754441484788</v>
      </c>
      <c r="N213" s="149">
        <f t="shared" si="125"/>
        <v>0.6788597701092125</v>
      </c>
      <c r="O213" s="149">
        <f t="shared" si="125"/>
        <v>-6.9742767256317482</v>
      </c>
      <c r="P213" s="149">
        <f t="shared" si="125"/>
        <v>-2.2823508658153946</v>
      </c>
      <c r="Q213" s="149">
        <f t="shared" si="125"/>
        <v>2.0840694775155013</v>
      </c>
      <c r="R213" s="149">
        <f t="shared" si="125"/>
        <v>9.9319998129003491</v>
      </c>
      <c r="S213" s="526">
        <f t="shared" si="120"/>
        <v>8.780781874452332</v>
      </c>
      <c r="T213" s="149">
        <f>T260</f>
        <v>-0.72549506561736421</v>
      </c>
      <c r="U213" s="149">
        <f t="shared" ref="U213:AE213" si="126">U260</f>
        <v>-3.7760862437307514</v>
      </c>
      <c r="V213" s="149">
        <f t="shared" si="126"/>
        <v>-6.2591414925518292</v>
      </c>
      <c r="W213" s="149">
        <f t="shared" si="126"/>
        <v>-6.1073717992565051</v>
      </c>
      <c r="X213" s="149">
        <f t="shared" si="126"/>
        <v>1.8448323197684333</v>
      </c>
      <c r="Y213" s="149">
        <f t="shared" si="126"/>
        <v>6.4329763783273863</v>
      </c>
      <c r="Z213" s="149">
        <f t="shared" si="126"/>
        <v>1.6516551942942335</v>
      </c>
      <c r="AA213" s="149">
        <f t="shared" si="126"/>
        <v>1.4763265131733159</v>
      </c>
      <c r="AB213" s="149">
        <f t="shared" si="126"/>
        <v>-4.0074399722795553</v>
      </c>
      <c r="AC213" s="149">
        <f t="shared" si="126"/>
        <v>-2.3946693960299994</v>
      </c>
      <c r="AD213" s="149">
        <f t="shared" si="126"/>
        <v>2.0427415709665242</v>
      </c>
      <c r="AE213" s="149">
        <f t="shared" si="126"/>
        <v>9.1402915136601006</v>
      </c>
      <c r="AF213" s="526">
        <f t="shared" si="123"/>
        <v>-0.68138047927601342</v>
      </c>
      <c r="AG213" s="149">
        <f>AG260</f>
        <v>-6.4052318853901973</v>
      </c>
      <c r="AH213" s="149">
        <f t="shared" ref="AH213:AM213" si="127">AH260</f>
        <v>-1.5520447707121763</v>
      </c>
      <c r="AI213" s="149">
        <f t="shared" si="127"/>
        <v>-0.23655042379786639</v>
      </c>
      <c r="AJ213" s="149">
        <f t="shared" si="127"/>
        <v>-5.8041037029406439E-2</v>
      </c>
      <c r="AK213" s="149">
        <f t="shared" si="127"/>
        <v>4.4256374371356806</v>
      </c>
      <c r="AL213" s="149">
        <f t="shared" si="127"/>
        <v>0.81212086481166335</v>
      </c>
      <c r="AM213" s="149">
        <f t="shared" si="127"/>
        <v>-0.870943349431756</v>
      </c>
      <c r="AN213" s="149">
        <f t="shared" ref="AN213:AQ213" si="128">AN260</f>
        <v>-4.1212014065137303E-2</v>
      </c>
      <c r="AO213" s="149">
        <f t="shared" si="128"/>
        <v>-0.99873823045259069</v>
      </c>
      <c r="AP213" s="149">
        <f t="shared" si="128"/>
        <v>0.54808639582010077</v>
      </c>
      <c r="AQ213" s="149">
        <f t="shared" si="128"/>
        <v>-0.67417341667766628</v>
      </c>
      <c r="AR213" s="149"/>
      <c r="AS213" s="149"/>
    </row>
    <row r="214" spans="1:45" s="150" customFormat="1">
      <c r="A214" s="422">
        <f t="shared" si="114"/>
        <v>212</v>
      </c>
      <c r="B214" s="136" t="s">
        <v>296</v>
      </c>
      <c r="C214" s="149"/>
      <c r="D214" s="149"/>
      <c r="E214" s="149"/>
      <c r="F214" s="526"/>
      <c r="G214" s="149">
        <f>+SUM('O&amp;M'!O25:O28)-'Regulatory Charge'!M36-'Regulatory Charge'!M37-'Regulatory Charge'!M42-'Regulatory Charge'!M41-'Regulatory Charge'!M46-'Regulatory Charge'!M47</f>
        <v>0.25853171107878786</v>
      </c>
      <c r="H214" s="149">
        <f>+SUM('O&amp;M'!P25:P28)-'Regulatory Charge'!N36-'Regulatory Charge'!N37-'Regulatory Charge'!N42-'Regulatory Charge'!N41-'Regulatory Charge'!N46-'Regulatory Charge'!N47</f>
        <v>0.16359179507878788</v>
      </c>
      <c r="I214" s="149">
        <f>+SUM('O&amp;M'!Q25:Q28)-'Regulatory Charge'!O36-'Regulatory Charge'!O37-'Regulatory Charge'!O42-'Regulatory Charge'!O41-'Regulatory Charge'!O46-'Regulatory Charge'!O47</f>
        <v>0.10712029507878787</v>
      </c>
      <c r="J214" s="149">
        <f>+SUM('O&amp;M'!R25:R28)-'Regulatory Charge'!P36-'Regulatory Charge'!P37-'Regulatory Charge'!P42-'Regulatory Charge'!P41-'Regulatory Charge'!P46-'Regulatory Charge'!P47</f>
        <v>0.1378898550787879</v>
      </c>
      <c r="K214" s="149">
        <f>+SUM('O&amp;M'!S25:S28)-'Regulatory Charge'!Q36-'Regulatory Charge'!Q37-'Regulatory Charge'!Q42-'Regulatory Charge'!Q41-'Regulatory Charge'!Q46-'Regulatory Charge'!Q47</f>
        <v>0.16615231907878789</v>
      </c>
      <c r="L214" s="149">
        <f>+SUM('O&amp;M'!T25:T28)-'Regulatory Charge'!R36-'Regulatory Charge'!R37-'Regulatory Charge'!R42-'Regulatory Charge'!R41-'Regulatory Charge'!R46-'Regulatory Charge'!R47</f>
        <v>0.30511764107878792</v>
      </c>
      <c r="M214" s="149">
        <f>+SUM('O&amp;M'!U25:U28)-'Regulatory Charge'!S36-'Regulatory Charge'!S37-'Regulatory Charge'!S42-'Regulatory Charge'!S41-'Regulatory Charge'!S46-'Regulatory Charge'!S47</f>
        <v>5.943863907878788E-2</v>
      </c>
      <c r="N214" s="149">
        <f>+SUM('O&amp;M'!V25:V28)-'Regulatory Charge'!T36-'Regulatory Charge'!T37-'Regulatory Charge'!T42-'Regulatory Charge'!T41-'Regulatory Charge'!T46-'Regulatory Charge'!T47</f>
        <v>4.5894321390787871</v>
      </c>
      <c r="O214" s="149">
        <f>+SUM('O&amp;M'!W25:W28)-'Regulatory Charge'!U36-'Regulatory Charge'!U37-'Regulatory Charge'!U42-'Regulatory Charge'!U41-'Regulatory Charge'!U46-'Regulatory Charge'!U47</f>
        <v>-0.13873645225454545</v>
      </c>
      <c r="P214" s="149">
        <f>+SUM('O&amp;M'!X25:X28)-'Regulatory Charge'!V36-'Regulatory Charge'!V37-'Regulatory Charge'!V42-'Regulatory Charge'!V41-'Regulatory Charge'!V46-'Regulatory Charge'!V47</f>
        <v>-0.13637308825454544</v>
      </c>
      <c r="Q214" s="149">
        <f>+SUM('O&amp;M'!Y25:Y28)-'Regulatory Charge'!W36-'Regulatory Charge'!W37-'Regulatory Charge'!W42-'Regulatory Charge'!W41-'Regulatory Charge'!W46-'Regulatory Charge'!W47</f>
        <v>-0.13651119625454544</v>
      </c>
      <c r="R214" s="149">
        <f>+SUM('O&amp;M'!Z25:Z28)-'Regulatory Charge'!X36-'Regulatory Charge'!X37-'Regulatory Charge'!X42-'Regulatory Charge'!X41-'Regulatory Charge'!X46-'Regulatory Charge'!X47</f>
        <v>-0.13655409625454545</v>
      </c>
      <c r="S214" s="526">
        <f t="shared" si="120"/>
        <v>5.2390995616121199</v>
      </c>
      <c r="T214" s="149">
        <f>+SUM('O&amp;M'!AB25:AB28)-'Regulatory Charge'!Z36-'Regulatory Charge'!Z37-'Regulatory Charge'!Z42-'Regulatory Charge'!Z41-'Regulatory Charge'!Z46-'Regulatory Charge'!Z47</f>
        <v>-0.13016609545454544</v>
      </c>
      <c r="U214" s="149">
        <f>+SUM('O&amp;M'!AC25:AC28)-'Regulatory Charge'!AA36-'Regulatory Charge'!AA37-'Regulatory Charge'!AA42-'Regulatory Charge'!AA41-'Regulatory Charge'!AA46-'Regulatory Charge'!AA47</f>
        <v>-0.13560313945454544</v>
      </c>
      <c r="V214" s="149">
        <f>+SUM('O&amp;M'!AD25:AD28)-'Regulatory Charge'!AB36-'Regulatory Charge'!AB37-'Regulatory Charge'!AB42-'Regulatory Charge'!AB41-'Regulatory Charge'!AB46-'Regulatory Charge'!AB47</f>
        <v>-0.13505563945454543</v>
      </c>
      <c r="W214" s="149">
        <f>+SUM('O&amp;M'!AE25:AE28)-'Regulatory Charge'!AC36-'Regulatory Charge'!AC37-'Regulatory Charge'!AC42-'Regulatory Charge'!AC41-'Regulatory Charge'!AC46-'Regulatory Charge'!AC47</f>
        <v>-0.13655007145454545</v>
      </c>
      <c r="X214" s="149">
        <f>+SUM('O&amp;M'!AF25:AF28)-'Regulatory Charge'!AD36-'Regulatory Charge'!AD37-'Regulatory Charge'!AD42-'Regulatory Charge'!AD41-'Regulatory Charge'!AD46-'Regulatory Charge'!AD47</f>
        <v>-0.13802836345454544</v>
      </c>
      <c r="Y214" s="149">
        <f>+SUM('O&amp;M'!AG25:AG28)-'Regulatory Charge'!AE36-'Regulatory Charge'!AE37-'Regulatory Charge'!AE42-'Regulatory Charge'!AE41-'Regulatory Charge'!AE46-'Regulatory Charge'!AE47</f>
        <v>-0.11771029345454544</v>
      </c>
      <c r="Z214" s="149">
        <f>+SUM('O&amp;M'!AH25:AH28)-'Regulatory Charge'!AF36-'Regulatory Charge'!AF37-'Regulatory Charge'!AF42-'Regulatory Charge'!AF41-'Regulatory Charge'!AF46-'Regulatory Charge'!AF47</f>
        <v>-0.13866168745454543</v>
      </c>
      <c r="AA214" s="149">
        <f>+SUM('O&amp;M'!AI25:AI28)-'Regulatory Charge'!AG36-'Regulatory Charge'!AG37-'Regulatory Charge'!AG42-'Regulatory Charge'!AG41-'Regulatory Charge'!AG46-'Regulatory Charge'!AG47</f>
        <v>-0.13865819545454544</v>
      </c>
      <c r="AB214" s="149">
        <f>+SUM('O&amp;M'!AJ25:AJ28)-'Regulatory Charge'!AH36-'Regulatory Charge'!AH37-'Regulatory Charge'!AH42-'Regulatory Charge'!AH41-'Regulatory Charge'!AH46-'Regulatory Charge'!AH47</f>
        <v>-0.13868620345454544</v>
      </c>
      <c r="AC214" s="149">
        <f>+SUM('O&amp;M'!AK25:AK28)-'Regulatory Charge'!AI36-'Regulatory Charge'!AI37-'Regulatory Charge'!AI42-'Regulatory Charge'!AI41-'Regulatory Charge'!AI46-'Regulatory Charge'!AI47</f>
        <v>-0.13632183145454543</v>
      </c>
      <c r="AD214" s="149">
        <f>+SUM('O&amp;M'!AL25:AL28)-'Regulatory Charge'!AJ36-'Regulatory Charge'!AJ37-'Regulatory Charge'!AJ42-'Regulatory Charge'!AJ41-'Regulatory Charge'!AJ46-'Regulatory Charge'!AJ47</f>
        <v>-0.13646094745454546</v>
      </c>
      <c r="AE214" s="149">
        <f>+SUM('O&amp;M'!AM25:AM28)-'Regulatory Charge'!AK36-'Regulatory Charge'!AK37-'Regulatory Charge'!AK42-'Regulatory Charge'!AK41-'Regulatory Charge'!AK46-'Regulatory Charge'!AK47</f>
        <v>-0.13650384745454544</v>
      </c>
      <c r="AF214" s="526">
        <f t="shared" si="123"/>
        <v>-1.6184063154545454</v>
      </c>
      <c r="AG214" s="149">
        <f>+SUM('O&amp;M'!AO25:AO28)-'Regulatory Charge'!AM36-'Regulatory Charge'!AM37-'Regulatory Charge'!AM42-'Regulatory Charge'!AM41-'Regulatory Charge'!AM46-'Regulatory Charge'!AM47</f>
        <v>-1.551355595090909</v>
      </c>
      <c r="AH214" s="149">
        <f>+SUM('O&amp;M'!AP25:AP28)-'Regulatory Charge'!AN36-'Regulatory Charge'!AN37-'Regulatory Charge'!AN42-'Regulatory Charge'!AN41-'Regulatory Charge'!AN46-'Regulatory Charge'!AN47</f>
        <v>-1.1768739193333331</v>
      </c>
      <c r="AI214" s="149">
        <f>+SUM('O&amp;M'!AQ25:AQ28)-'Regulatory Charge'!AO36-'Regulatory Charge'!AO37-'Regulatory Charge'!AO42-'Regulatory Charge'!AO41-'Regulatory Charge'!AO46-'Regulatory Charge'!AO47</f>
        <v>-0.82156762357999991</v>
      </c>
      <c r="AJ214" s="149">
        <f>+SUM('O&amp;M'!AR25:AR28)-'Regulatory Charge'!AP36-'Regulatory Charge'!AP37-'Regulatory Charge'!AP42-'Regulatory Charge'!AP41-'Regulatory Charge'!AP46-'Regulatory Charge'!AP47</f>
        <v>-0.51194798562073329</v>
      </c>
      <c r="AK214" s="149">
        <f>+SUM('O&amp;M'!AS25:AS28)-'Regulatory Charge'!AQ36-'Regulatory Charge'!AQ37-'Regulatory Charge'!AQ42-'Regulatory Charge'!AQ41-'Regulatory Charge'!AQ46-'Regulatory Charge'!AQ47</f>
        <v>0.10442690814397801</v>
      </c>
      <c r="AL214" s="149">
        <f>+SUM('O&amp;M'!AT25:AT28)-'Regulatory Charge'!AR36-'Regulatory Charge'!AR37-'Regulatory Charge'!AR42-'Regulatory Charge'!AR41-'Regulatory Charge'!AR46-'Regulatory Charge'!AR47</f>
        <v>0.10755971538829734</v>
      </c>
      <c r="AM214" s="149">
        <f>+SUM('O&amp;M'!AU25:AU28)-'Regulatory Charge'!AS36-'Regulatory Charge'!AS37-'Regulatory Charge'!AS42-'Regulatory Charge'!AS41-'Regulatory Charge'!AS46-'Regulatory Charge'!AS47</f>
        <v>0.11078650684994626</v>
      </c>
      <c r="AN214" s="149">
        <f>+SUM('O&amp;M'!AV25:AV28)-'Regulatory Charge'!AT36-'Regulatory Charge'!AT37-'Regulatory Charge'!AT42-'Regulatory Charge'!AT41-'Regulatory Charge'!AT46-'Regulatory Charge'!AT47</f>
        <v>0.11411010205544467</v>
      </c>
      <c r="AO214" s="149">
        <f>+SUM('O&amp;M'!AW25:AW28)-'Regulatory Charge'!AU36-'Regulatory Charge'!AU37-'Regulatory Charge'!AU42-'Regulatory Charge'!AU41-'Regulatory Charge'!AU46-'Regulatory Charge'!AU47</f>
        <v>0.117533405117108</v>
      </c>
      <c r="AP214" s="149">
        <f>+SUM('O&amp;M'!AX25:AX28)-'Regulatory Charge'!AV36-'Regulatory Charge'!AV37-'Regulatory Charge'!AV42-'Regulatory Charge'!AV41-'Regulatory Charge'!AV46-'Regulatory Charge'!AV47</f>
        <v>0.12105940727062124</v>
      </c>
      <c r="AQ214" s="149">
        <f>+SUM('O&amp;M'!AY25:AY28)-'Regulatory Charge'!AW36-'Regulatory Charge'!AW37-'Regulatory Charge'!AW42-'Regulatory Charge'!AW41-'Regulatory Charge'!AW46-'Regulatory Charge'!AW47</f>
        <v>0.12469118948873988</v>
      </c>
      <c r="AR214" s="149"/>
      <c r="AS214" s="149"/>
    </row>
    <row r="215" spans="1:45" s="150" customFormat="1">
      <c r="A215" s="422">
        <f t="shared" si="114"/>
        <v>213</v>
      </c>
      <c r="B215" s="137" t="s">
        <v>297</v>
      </c>
      <c r="C215" s="149"/>
      <c r="D215" s="149"/>
      <c r="E215" s="149"/>
      <c r="F215" s="526"/>
      <c r="G215" s="149">
        <f t="shared" ref="G215:R215" si="129">SUM(G205:G214)</f>
        <v>51.353613367026213</v>
      </c>
      <c r="H215" s="149">
        <f t="shared" si="129"/>
        <v>33.687075711514012</v>
      </c>
      <c r="I215" s="149">
        <f t="shared" si="129"/>
        <v>41.215757349138961</v>
      </c>
      <c r="J215" s="149">
        <f t="shared" si="129"/>
        <v>35.403472787311927</v>
      </c>
      <c r="K215" s="149">
        <f t="shared" si="129"/>
        <v>41.296870881629978</v>
      </c>
      <c r="L215" s="149">
        <f t="shared" si="129"/>
        <v>46.723749062175528</v>
      </c>
      <c r="M215" s="149">
        <f t="shared" si="129"/>
        <v>44.095652011491524</v>
      </c>
      <c r="N215" s="149">
        <f t="shared" si="129"/>
        <v>45.56788487147945</v>
      </c>
      <c r="O215" s="149">
        <f t="shared" si="129"/>
        <v>24.301969689783025</v>
      </c>
      <c r="P215" s="149">
        <f t="shared" si="129"/>
        <v>31.511948808026979</v>
      </c>
      <c r="Q215" s="149">
        <f t="shared" si="129"/>
        <v>32.948934993628946</v>
      </c>
      <c r="R215" s="149">
        <f t="shared" si="129"/>
        <v>40.91952637467562</v>
      </c>
      <c r="S215" s="526">
        <f t="shared" si="120"/>
        <v>469.02645590788222</v>
      </c>
      <c r="T215" s="149">
        <f t="shared" ref="T215:AE215" si="130">SUM(T205:T214)</f>
        <v>31.999901223764486</v>
      </c>
      <c r="U215" s="149">
        <f t="shared" si="130"/>
        <v>26.118202158165964</v>
      </c>
      <c r="V215" s="149">
        <f t="shared" si="130"/>
        <v>27.284403146215688</v>
      </c>
      <c r="W215" s="149">
        <f t="shared" si="130"/>
        <v>28.231217223359206</v>
      </c>
      <c r="X215" s="149">
        <f t="shared" si="130"/>
        <v>35.386565109401218</v>
      </c>
      <c r="Y215" s="149">
        <f t="shared" si="130"/>
        <v>38.099387295874934</v>
      </c>
      <c r="Z215" s="149">
        <f t="shared" si="130"/>
        <v>33.480760166536179</v>
      </c>
      <c r="AA215" s="149">
        <f t="shared" si="130"/>
        <v>33.760448402426263</v>
      </c>
      <c r="AB215" s="149">
        <f t="shared" si="130"/>
        <v>27.102880279270337</v>
      </c>
      <c r="AC215" s="149">
        <f t="shared" si="130"/>
        <v>31.230544602758986</v>
      </c>
      <c r="AD215" s="149">
        <f t="shared" si="130"/>
        <v>32.729976808176353</v>
      </c>
      <c r="AE215" s="149">
        <f t="shared" si="130"/>
        <v>40.787796997245572</v>
      </c>
      <c r="AF215" s="526">
        <f t="shared" si="123"/>
        <v>386.21208341319516</v>
      </c>
      <c r="AG215" s="149">
        <f t="shared" ref="AG215:AQ215" si="131">SUM(AG205:AG214)</f>
        <v>402.79314186140647</v>
      </c>
      <c r="AH215" s="149">
        <f t="shared" si="131"/>
        <v>419.73464112475239</v>
      </c>
      <c r="AI215" s="149">
        <f t="shared" si="131"/>
        <v>436.36726438975757</v>
      </c>
      <c r="AJ215" s="149">
        <f t="shared" si="131"/>
        <v>451.92360667122546</v>
      </c>
      <c r="AK215" s="149">
        <f t="shared" si="131"/>
        <v>611.01002522213469</v>
      </c>
      <c r="AL215" s="149">
        <f t="shared" si="131"/>
        <v>659.55330952005636</v>
      </c>
      <c r="AM215" s="149">
        <f t="shared" si="131"/>
        <v>669.02506985996683</v>
      </c>
      <c r="AN215" s="149">
        <f t="shared" si="131"/>
        <v>705.64860786093027</v>
      </c>
      <c r="AO215" s="149">
        <f t="shared" si="131"/>
        <v>716.35619731412203</v>
      </c>
      <c r="AP215" s="149">
        <f t="shared" si="131"/>
        <v>740.54111956238569</v>
      </c>
      <c r="AQ215" s="149">
        <f t="shared" si="131"/>
        <v>771.97957509031187</v>
      </c>
      <c r="AR215" s="149"/>
      <c r="AS215" s="149"/>
    </row>
    <row r="216" spans="1:45" s="150" customFormat="1">
      <c r="A216" s="422">
        <f t="shared" si="114"/>
        <v>214</v>
      </c>
      <c r="B216" s="137"/>
      <c r="C216" s="149"/>
      <c r="D216" s="149"/>
      <c r="E216" s="149"/>
      <c r="F216" s="526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526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526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</row>
    <row r="217" spans="1:45" s="150" customFormat="1">
      <c r="A217" s="422">
        <f t="shared" si="114"/>
        <v>215</v>
      </c>
      <c r="B217" s="138" t="s">
        <v>298</v>
      </c>
      <c r="C217" s="149"/>
      <c r="D217" s="149"/>
      <c r="E217" s="149"/>
      <c r="F217" s="526"/>
      <c r="G217" s="149">
        <f t="shared" ref="G217:AP217" si="132">G202-G215</f>
        <v>-1.8815257661095828</v>
      </c>
      <c r="H217" s="149">
        <f t="shared" si="132"/>
        <v>11.051938783986827</v>
      </c>
      <c r="I217" s="149">
        <f t="shared" si="132"/>
        <v>7.3724016066650364</v>
      </c>
      <c r="J217" s="149">
        <f t="shared" si="132"/>
        <v>7.5465933610076306</v>
      </c>
      <c r="K217" s="149">
        <f t="shared" si="132"/>
        <v>3.0739852545170407</v>
      </c>
      <c r="L217" s="149">
        <f t="shared" si="132"/>
        <v>-1.1169467616084532</v>
      </c>
      <c r="M217" s="149">
        <f t="shared" si="132"/>
        <v>5.2003439295471168</v>
      </c>
      <c r="N217" s="149">
        <f t="shared" si="132"/>
        <v>2.3773731881067874</v>
      </c>
      <c r="O217" s="149">
        <f t="shared" si="132"/>
        <v>11.797018375598224</v>
      </c>
      <c r="P217" s="149">
        <f t="shared" si="132"/>
        <v>5.3230865554142426</v>
      </c>
      <c r="Q217" s="149">
        <f t="shared" si="132"/>
        <v>3.541311481965927</v>
      </c>
      <c r="R217" s="149">
        <f t="shared" si="132"/>
        <v>-1.2812396347267807</v>
      </c>
      <c r="S217" s="526">
        <f t="shared" si="132"/>
        <v>53.004340374363892</v>
      </c>
      <c r="T217" s="149">
        <f t="shared" ref="T217:AE217" si="133">T202-T215</f>
        <v>9.9359076285238395</v>
      </c>
      <c r="U217" s="149">
        <f t="shared" si="133"/>
        <v>11.6564245076612</v>
      </c>
      <c r="V217" s="149">
        <f t="shared" si="133"/>
        <v>11.795163811841036</v>
      </c>
      <c r="W217" s="149">
        <f t="shared" si="133"/>
        <v>4.7974327503487721</v>
      </c>
      <c r="X217" s="149">
        <f t="shared" si="133"/>
        <v>-0.81670643538192422</v>
      </c>
      <c r="Y217" s="149">
        <f t="shared" si="133"/>
        <v>-0.19075212326477953</v>
      </c>
      <c r="Z217" s="149">
        <f t="shared" si="133"/>
        <v>6.843018832409328</v>
      </c>
      <c r="AA217" s="149">
        <f t="shared" si="133"/>
        <v>7.1317387315246989</v>
      </c>
      <c r="AB217" s="149">
        <f t="shared" si="133"/>
        <v>10.204168757186906</v>
      </c>
      <c r="AC217" s="149">
        <f t="shared" si="133"/>
        <v>6.7607498247799533</v>
      </c>
      <c r="AD217" s="149">
        <f t="shared" si="133"/>
        <v>4.9151027611028297</v>
      </c>
      <c r="AE217" s="149">
        <f t="shared" si="133"/>
        <v>7.0005317349256302E-2</v>
      </c>
      <c r="AF217" s="526">
        <f t="shared" si="132"/>
        <v>73.102254364081261</v>
      </c>
      <c r="AG217" s="149">
        <f t="shared" si="132"/>
        <v>77.30245597891934</v>
      </c>
      <c r="AH217" s="149">
        <f t="shared" si="132"/>
        <v>79.32809299347656</v>
      </c>
      <c r="AI217" s="149">
        <f t="shared" si="132"/>
        <v>77.948604814561349</v>
      </c>
      <c r="AJ217" s="149">
        <f t="shared" si="132"/>
        <v>105.65080961766864</v>
      </c>
      <c r="AK217" s="149">
        <f t="shared" si="132"/>
        <v>105.97814983656883</v>
      </c>
      <c r="AL217" s="149">
        <f t="shared" si="132"/>
        <v>135.34874497929377</v>
      </c>
      <c r="AM217" s="149">
        <f t="shared" si="132"/>
        <v>119.45558049110957</v>
      </c>
      <c r="AN217" s="149">
        <f t="shared" si="132"/>
        <v>105.70963716221354</v>
      </c>
      <c r="AO217" s="149">
        <f t="shared" si="132"/>
        <v>93.37913568988904</v>
      </c>
      <c r="AP217" s="149">
        <f t="shared" si="132"/>
        <v>109.41075868121516</v>
      </c>
      <c r="AQ217" s="149">
        <f>AQ202-AQ215</f>
        <v>109.31955525701528</v>
      </c>
      <c r="AR217" s="149"/>
      <c r="AS217" s="149"/>
    </row>
    <row r="218" spans="1:45" s="150" customFormat="1">
      <c r="A218" s="422">
        <f t="shared" si="114"/>
        <v>216</v>
      </c>
      <c r="B218" s="137"/>
      <c r="C218" s="149"/>
      <c r="D218" s="149"/>
      <c r="E218" s="149"/>
      <c r="F218" s="526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526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526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</row>
    <row r="219" spans="1:45" s="150" customFormat="1">
      <c r="A219" s="422">
        <f t="shared" si="114"/>
        <v>217</v>
      </c>
      <c r="B219" s="138" t="s">
        <v>299</v>
      </c>
      <c r="C219" s="149"/>
      <c r="D219" s="149"/>
      <c r="E219" s="149"/>
      <c r="F219" s="526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526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526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</row>
    <row r="220" spans="1:45" s="150" customFormat="1">
      <c r="A220" s="422">
        <f t="shared" si="114"/>
        <v>218</v>
      </c>
      <c r="B220" s="126" t="s">
        <v>300</v>
      </c>
      <c r="C220" s="149"/>
      <c r="D220" s="149"/>
      <c r="E220" s="149"/>
      <c r="F220" s="526"/>
      <c r="G220" s="149">
        <f>'Capex &amp; Depr'!O24</f>
        <v>0.59886200000000001</v>
      </c>
      <c r="H220" s="149">
        <f>'Capex &amp; Depr'!P24</f>
        <v>0.156885</v>
      </c>
      <c r="I220" s="149">
        <f>'Capex &amp; Depr'!Q24</f>
        <v>4.6330980000000004</v>
      </c>
      <c r="J220" s="149">
        <f>'Capex &amp; Depr'!R24</f>
        <v>6.4058149999999996</v>
      </c>
      <c r="K220" s="149">
        <f>'Capex &amp; Depr'!S24</f>
        <v>7.4961410000000006</v>
      </c>
      <c r="L220" s="149">
        <f>'Capex &amp; Depr'!T24</f>
        <v>3.5767329999999999</v>
      </c>
      <c r="M220" s="149">
        <f>'Capex &amp; Depr'!U24</f>
        <v>4.7213269999999996</v>
      </c>
      <c r="N220" s="149">
        <f>'Capex &amp; Depr'!V24</f>
        <v>3.4886249999999999</v>
      </c>
      <c r="O220" s="149">
        <f>'Capex &amp; Depr'!W24</f>
        <v>5.7637280000000004</v>
      </c>
      <c r="P220" s="149">
        <f>'Capex &amp; Depr'!X24</f>
        <v>13.386008</v>
      </c>
      <c r="Q220" s="149">
        <f>'Capex &amp; Depr'!Y24</f>
        <v>8.0616050000000001</v>
      </c>
      <c r="R220" s="149">
        <f>'Capex &amp; Depr'!Z24</f>
        <v>7.31</v>
      </c>
      <c r="S220" s="526">
        <f>SUM(G220:R220)</f>
        <v>65.598827</v>
      </c>
      <c r="T220" s="149">
        <f>'Capex &amp; Depr'!AB24</f>
        <v>6.4184010000000002</v>
      </c>
      <c r="U220" s="149">
        <f>'Capex &amp; Depr'!AC24</f>
        <v>5.3092779999999999</v>
      </c>
      <c r="V220" s="149">
        <f>'Capex &amp; Depr'!AD24</f>
        <v>8.7213150000000006</v>
      </c>
      <c r="W220" s="149">
        <f>'Capex &amp; Depr'!AE24</f>
        <v>19.002115</v>
      </c>
      <c r="X220" s="149">
        <f>'Capex &amp; Depr'!AF24</f>
        <v>14.413205000000001</v>
      </c>
      <c r="Y220" s="149">
        <f>'Capex &amp; Depr'!AG24</f>
        <v>3.607831</v>
      </c>
      <c r="Z220" s="149">
        <f>'Capex &amp; Depr'!AH24</f>
        <v>1.21116</v>
      </c>
      <c r="AA220" s="149">
        <f>'Capex &amp; Depr'!AI24</f>
        <v>2.9426890000000001</v>
      </c>
      <c r="AB220" s="149">
        <f>'Capex &amp; Depr'!AJ24</f>
        <v>2.6672880000000001</v>
      </c>
      <c r="AC220" s="149">
        <f>'Capex &amp; Depr'!AK24</f>
        <v>3.67008</v>
      </c>
      <c r="AD220" s="149">
        <f>'Capex &amp; Depr'!AL24</f>
        <v>0.02</v>
      </c>
      <c r="AE220" s="149">
        <f>'Capex &amp; Depr'!AM24</f>
        <v>2.5000000000000001E-2</v>
      </c>
      <c r="AF220" s="526">
        <f>SUM(T220:AE220)</f>
        <v>68.008362000000005</v>
      </c>
      <c r="AG220" s="149">
        <f>'Capex &amp; Depr'!AO24</f>
        <v>43.049574</v>
      </c>
      <c r="AH220" s="149">
        <f>'Capex &amp; Depr'!AP24</f>
        <v>33.793489999999998</v>
      </c>
      <c r="AI220" s="149">
        <f>'Capex &amp; Depr'!AQ24</f>
        <v>34.8072947</v>
      </c>
      <c r="AJ220" s="149">
        <f>'Capex &amp; Depr'!AR24</f>
        <v>35.851513541000003</v>
      </c>
      <c r="AK220" s="149">
        <f>'Capex &amp; Depr'!AS24</f>
        <v>47.984432666273335</v>
      </c>
      <c r="AL220" s="149">
        <f>'Capex &amp; Depr'!AT24</f>
        <v>49.423965646261536</v>
      </c>
      <c r="AM220" s="149">
        <f>'Capex &amp; Depr'!AU24</f>
        <v>50.906684615649382</v>
      </c>
      <c r="AN220" s="149">
        <f>'Capex &amp; Depr'!AV24</f>
        <v>52.433885154118862</v>
      </c>
      <c r="AO220" s="149">
        <f>'Capex &amp; Depr'!AW24</f>
        <v>54.006901708742426</v>
      </c>
      <c r="AP220" s="149">
        <f>'Capex &amp; Depr'!AX24</f>
        <v>55.627108760004703</v>
      </c>
      <c r="AQ220" s="149">
        <f>'Capex &amp; Depr'!AY24</f>
        <v>57.295922022804845</v>
      </c>
      <c r="AR220" s="149"/>
      <c r="AS220" s="149"/>
    </row>
    <row r="221" spans="1:45" s="150" customFormat="1">
      <c r="A221" s="422">
        <f t="shared" si="114"/>
        <v>219</v>
      </c>
      <c r="B221" s="126" t="s">
        <v>286</v>
      </c>
      <c r="C221" s="149"/>
      <c r="D221" s="149"/>
      <c r="E221" s="149"/>
      <c r="F221" s="526"/>
      <c r="G221" s="149">
        <f>'Capex &amp; Depr'!O25</f>
        <v>0.554145</v>
      </c>
      <c r="H221" s="149">
        <f>'Capex &amp; Depr'!P25</f>
        <v>0.85094599999999998</v>
      </c>
      <c r="I221" s="149">
        <f>'Capex &amp; Depr'!Q25</f>
        <v>0.57664000000000004</v>
      </c>
      <c r="J221" s="149">
        <f>'Capex &amp; Depr'!R25</f>
        <v>0.80822400000000005</v>
      </c>
      <c r="K221" s="149">
        <f>'Capex &amp; Depr'!S25</f>
        <v>0.63125500000000001</v>
      </c>
      <c r="L221" s="149">
        <f>'Capex &amp; Depr'!T25</f>
        <v>0.79543299999999995</v>
      </c>
      <c r="M221" s="149">
        <f>'Capex &amp; Depr'!U25</f>
        <v>0.52130399999999999</v>
      </c>
      <c r="N221" s="149">
        <f>'Capex &amp; Depr'!V25</f>
        <v>0.48618899999999998</v>
      </c>
      <c r="O221" s="149">
        <f>'Capex &amp; Depr'!W25</f>
        <v>0.411275</v>
      </c>
      <c r="P221" s="149">
        <f>'Capex &amp; Depr'!X25</f>
        <v>0.85429600000000006</v>
      </c>
      <c r="Q221" s="149">
        <f>'Capex &amp; Depr'!Y25</f>
        <v>1.584638</v>
      </c>
      <c r="R221" s="149">
        <f>'Capex &amp; Depr'!Z25</f>
        <v>0.14763799999999999</v>
      </c>
      <c r="S221" s="526">
        <f>SUM(G221:R221)</f>
        <v>8.2219829999999998</v>
      </c>
      <c r="T221" s="149">
        <f>'Capex &amp; Depr'!AB25</f>
        <v>0.21667700000000001</v>
      </c>
      <c r="U221" s="149">
        <f>'Capex &amp; Depr'!AC25</f>
        <v>0.33355899999999999</v>
      </c>
      <c r="V221" s="149">
        <f>'Capex &amp; Depr'!AD25</f>
        <v>0.32781300000000002</v>
      </c>
      <c r="W221" s="149">
        <f>'Capex &amp; Depr'!AE25</f>
        <v>0.39291399999999999</v>
      </c>
      <c r="X221" s="149">
        <f>'Capex &amp; Depr'!AF25</f>
        <v>0.38054199999999999</v>
      </c>
      <c r="Y221" s="149">
        <f>'Capex &amp; Depr'!AG25</f>
        <v>0.33474999999999999</v>
      </c>
      <c r="Z221" s="149">
        <f>'Capex &amp; Depr'!AH25</f>
        <v>0.17350099999999999</v>
      </c>
      <c r="AA221" s="149">
        <f>'Capex &amp; Depr'!AI25</f>
        <v>0.35635099999999997</v>
      </c>
      <c r="AB221" s="149">
        <f>'Capex &amp; Depr'!AJ25</f>
        <v>0.88255600000000001</v>
      </c>
      <c r="AC221" s="149">
        <f>'Capex &amp; Depr'!AK25</f>
        <v>0.61387000000000003</v>
      </c>
      <c r="AD221" s="149">
        <f>'Capex &amp; Depr'!AL25</f>
        <v>0.18410099999999999</v>
      </c>
      <c r="AE221" s="149">
        <f>'Capex &amp; Depr'!AM25</f>
        <v>0.104112</v>
      </c>
      <c r="AF221" s="526">
        <f>SUM(T221:AE221)</f>
        <v>4.3007460000000002</v>
      </c>
      <c r="AG221" s="149">
        <f>'Capex &amp; Depr'!AO25</f>
        <v>2.2834409999999998</v>
      </c>
      <c r="AH221" s="149">
        <f>'Capex &amp; Depr'!AP25</f>
        <v>2.9445269999999999</v>
      </c>
      <c r="AI221" s="149">
        <f>'Capex &amp; Depr'!AQ25</f>
        <v>3.0328628100000001</v>
      </c>
      <c r="AJ221" s="149">
        <f>'Capex &amp; Depr'!AR25</f>
        <v>3.1238486943000003</v>
      </c>
      <c r="AK221" s="149">
        <f>'Capex &amp; Depr'!AS25</f>
        <v>3.2175641551290006</v>
      </c>
      <c r="AL221" s="149">
        <f>'Capex &amp; Depr'!AT25</f>
        <v>3.3140910797828709</v>
      </c>
      <c r="AM221" s="149">
        <f>'Capex &amp; Depr'!AU25</f>
        <v>3.4135138121763573</v>
      </c>
      <c r="AN221" s="149">
        <f>'Capex &amp; Depr'!AV25</f>
        <v>3.5159192265416479</v>
      </c>
      <c r="AO221" s="149">
        <f>'Capex &amp; Depr'!AW25</f>
        <v>3.6213968033378974</v>
      </c>
      <c r="AP221" s="149">
        <f>'Capex &amp; Depr'!AX25</f>
        <v>3.7300387074380343</v>
      </c>
      <c r="AQ221" s="149">
        <f>'Capex &amp; Depr'!AY25</f>
        <v>3.8419398686611754</v>
      </c>
      <c r="AR221" s="149"/>
      <c r="AS221" s="149"/>
    </row>
    <row r="222" spans="1:45" s="150" customFormat="1">
      <c r="A222" s="422">
        <f t="shared" si="114"/>
        <v>220</v>
      </c>
      <c r="B222" s="126" t="s">
        <v>294</v>
      </c>
      <c r="C222" s="149"/>
      <c r="D222" s="149"/>
      <c r="E222" s="149"/>
      <c r="F222" s="526"/>
      <c r="G222" s="149">
        <f>'Capex &amp; Depr'!O26</f>
        <v>1.7000000000000001E-2</v>
      </c>
      <c r="H222" s="149">
        <f>'Capex &amp; Depr'!P26</f>
        <v>0.60099999999999998</v>
      </c>
      <c r="I222" s="149">
        <f>'Capex &amp; Depr'!Q26</f>
        <v>0.29699999999999999</v>
      </c>
      <c r="J222" s="149">
        <f>'Capex &amp; Depr'!R26</f>
        <v>0.57899999999999996</v>
      </c>
      <c r="K222" s="149">
        <f>'Capex &amp; Depr'!S26</f>
        <v>0.1</v>
      </c>
      <c r="L222" s="149">
        <f>'Capex &amp; Depr'!T26</f>
        <v>0.1</v>
      </c>
      <c r="M222" s="149">
        <f>'Capex &amp; Depr'!U26</f>
        <v>0.1</v>
      </c>
      <c r="N222" s="149">
        <f>'Capex &amp; Depr'!V26</f>
        <v>0.1</v>
      </c>
      <c r="O222" s="149">
        <f>'Capex &amp; Depr'!W26</f>
        <v>0.15</v>
      </c>
      <c r="P222" s="149">
        <f>'Capex &amp; Depr'!X26</f>
        <v>0.2</v>
      </c>
      <c r="Q222" s="149">
        <f>'Capex &amp; Depr'!Y26</f>
        <v>0.2</v>
      </c>
      <c r="R222" s="149">
        <f>'Capex &amp; Depr'!Z26</f>
        <v>0.2</v>
      </c>
      <c r="S222" s="526">
        <f>SUM(G222:R222)</f>
        <v>2.644000000000001</v>
      </c>
      <c r="T222" s="149">
        <f>'Capex &amp; Depr'!AB26</f>
        <v>0</v>
      </c>
      <c r="U222" s="149">
        <f>'Capex &amp; Depr'!AC26</f>
        <v>0.20626800000000001</v>
      </c>
      <c r="V222" s="149">
        <f>'Capex &amp; Depr'!AD26</f>
        <v>0.1</v>
      </c>
      <c r="W222" s="149">
        <f>'Capex &amp; Depr'!AE26</f>
        <v>0.2475</v>
      </c>
      <c r="X222" s="149">
        <f>'Capex &amp; Depr'!AF26</f>
        <v>0</v>
      </c>
      <c r="Y222" s="149">
        <f>'Capex &amp; Depr'!AG26</f>
        <v>0</v>
      </c>
      <c r="Z222" s="149">
        <f>'Capex &amp; Depr'!AH26</f>
        <v>0</v>
      </c>
      <c r="AA222" s="149">
        <f>'Capex &amp; Depr'!AI26</f>
        <v>0</v>
      </c>
      <c r="AB222" s="149">
        <f>'Capex &amp; Depr'!AJ26</f>
        <v>0</v>
      </c>
      <c r="AC222" s="149">
        <f>'Capex &amp; Depr'!AK26</f>
        <v>0</v>
      </c>
      <c r="AD222" s="149">
        <f>'Capex &amp; Depr'!AL26</f>
        <v>0</v>
      </c>
      <c r="AE222" s="149">
        <f>'Capex &amp; Depr'!AM26</f>
        <v>0</v>
      </c>
      <c r="AF222" s="526">
        <f>SUM(T222:AE222)</f>
        <v>0.55376800000000004</v>
      </c>
      <c r="AG222" s="149">
        <f>'Capex &amp; Depr'!AO26</f>
        <v>0.23749999999999999</v>
      </c>
      <c r="AH222" s="149">
        <f>'Capex &amp; Depr'!AP26</f>
        <v>0.23250000000000001</v>
      </c>
      <c r="AI222" s="149">
        <f>'Capex &amp; Depr'!AQ26</f>
        <v>0.23947500000000002</v>
      </c>
      <c r="AJ222" s="149">
        <f>'Capex &amp; Depr'!AR26</f>
        <v>0.24665925000000002</v>
      </c>
      <c r="AK222" s="149">
        <f>'Capex &amp; Depr'!AS26</f>
        <v>0.25405902750000003</v>
      </c>
      <c r="AL222" s="149">
        <f>'Capex &amp; Depr'!AT26</f>
        <v>0.26168079832500002</v>
      </c>
      <c r="AM222" s="149">
        <f>'Capex &amp; Depr'!AU26</f>
        <v>0.26953122227475002</v>
      </c>
      <c r="AN222" s="149">
        <f>'Capex &amp; Depr'!AV26</f>
        <v>0.27761715894299255</v>
      </c>
      <c r="AO222" s="149">
        <f>'Capex &amp; Depr'!AW26</f>
        <v>0.28594567371128232</v>
      </c>
      <c r="AP222" s="149">
        <f>'Capex &amp; Depr'!AX26</f>
        <v>0.29452404392262083</v>
      </c>
      <c r="AQ222" s="149">
        <f>'Capex &amp; Depr'!AY26</f>
        <v>0.30335976524029945</v>
      </c>
      <c r="AR222" s="149"/>
      <c r="AS222" s="149"/>
    </row>
    <row r="223" spans="1:45" s="150" customFormat="1">
      <c r="A223" s="422">
        <f t="shared" si="114"/>
        <v>221</v>
      </c>
      <c r="B223" s="433" t="s">
        <v>477</v>
      </c>
      <c r="C223" s="156"/>
      <c r="D223" s="156"/>
      <c r="E223" s="156"/>
      <c r="F223" s="528"/>
      <c r="G223" s="156">
        <f>'Capex &amp; Depr'!O27+'Capex &amp; Depr'!O28+'Capex &amp; Depr'!O30</f>
        <v>0.05</v>
      </c>
      <c r="H223" s="156">
        <f>'Capex &amp; Depr'!P27+'Capex &amp; Depr'!P28+'Capex &amp; Depr'!P30</f>
        <v>9.5000000000000001E-2</v>
      </c>
      <c r="I223" s="156">
        <f>'Capex &amp; Depr'!Q27+'Capex &amp; Depr'!Q28+'Capex &amp; Depr'!Q30</f>
        <v>0.24</v>
      </c>
      <c r="J223" s="156">
        <f>'Capex &amp; Depr'!R27+'Capex &amp; Depr'!R28+'Capex &amp; Depr'!R30</f>
        <v>0.47499999999999998</v>
      </c>
      <c r="K223" s="156">
        <f>'Capex &amp; Depr'!S27+'Capex &amp; Depr'!S28+'Capex &amp; Depr'!S30</f>
        <v>0.46500000000000002</v>
      </c>
      <c r="L223" s="156">
        <f>'Capex &amp; Depr'!T27+'Capex &amp; Depr'!T28+'Capex &amp; Depr'!T30</f>
        <v>0.38500000000000001</v>
      </c>
      <c r="M223" s="156">
        <f>'Capex &amp; Depr'!U27+'Capex &amp; Depr'!U28+'Capex &amp; Depr'!U30</f>
        <v>0.30499999999999999</v>
      </c>
      <c r="N223" s="156">
        <f>'Capex &amp; Depr'!V27+'Capex &amp; Depr'!V28+'Capex &amp; Depr'!V30</f>
        <v>0.215</v>
      </c>
      <c r="O223" s="156">
        <f>'Capex &amp; Depr'!W27+'Capex &amp; Depr'!W28+'Capex &amp; Depr'!W30</f>
        <v>0.14499999999999999</v>
      </c>
      <c r="P223" s="156">
        <f>'Capex &amp; Depr'!X27+'Capex &amp; Depr'!X28+'Capex &amp; Depr'!X30</f>
        <v>0.11</v>
      </c>
      <c r="Q223" s="156">
        <f>'Capex &amp; Depr'!Y27+'Capex &amp; Depr'!Y28+'Capex &amp; Depr'!Y30</f>
        <v>0.115</v>
      </c>
      <c r="R223" s="156">
        <f>'Capex &amp; Depr'!Z27+'Capex &amp; Depr'!Z28+'Capex &amp; Depr'!Z30</f>
        <v>7.4999999999999997E-2</v>
      </c>
      <c r="S223" s="528">
        <f>SUM(G223:R223)</f>
        <v>2.6750000000000003</v>
      </c>
      <c r="T223" s="156">
        <f>'Capex &amp; Depr'!AB27+'Capex &amp; Depr'!AB28+'Capex &amp; Depr'!AB30</f>
        <v>0</v>
      </c>
      <c r="U223" s="156">
        <f>'Capex &amp; Depr'!AC27+'Capex &amp; Depr'!AC28+'Capex &amp; Depr'!AC30</f>
        <v>4.7E-2</v>
      </c>
      <c r="V223" s="156">
        <f>'Capex &amp; Depr'!AD27+'Capex &amp; Depr'!AD28+'Capex &amp; Depr'!AD30</f>
        <v>0.1</v>
      </c>
      <c r="W223" s="156">
        <f>'Capex &amp; Depr'!AE27+'Capex &amp; Depr'!AE28+'Capex &amp; Depr'!AE30</f>
        <v>0.31</v>
      </c>
      <c r="X223" s="156">
        <f>'Capex &amp; Depr'!AF27+'Capex &amp; Depr'!AF28+'Capex &amp; Depr'!AF30</f>
        <v>0.113</v>
      </c>
      <c r="Y223" s="156">
        <f>'Capex &amp; Depr'!AG27+'Capex &amp; Depr'!AG28+'Capex &amp; Depr'!AG30</f>
        <v>0.26</v>
      </c>
      <c r="Z223" s="156">
        <f>'Capex &amp; Depr'!AH27+'Capex &amp; Depr'!AH28+'Capex &amp; Depr'!AH30</f>
        <v>0.22</v>
      </c>
      <c r="AA223" s="156">
        <f>'Capex &amp; Depr'!AI27+'Capex &amp; Depr'!AI28+'Capex &amp; Depr'!AI30</f>
        <v>0.32</v>
      </c>
      <c r="AB223" s="156">
        <f>'Capex &amp; Depr'!AJ27+'Capex &amp; Depr'!AJ28+'Capex &amp; Depr'!AJ30</f>
        <v>0.22500000000000001</v>
      </c>
      <c r="AC223" s="156">
        <f>'Capex &amp; Depr'!AK27+'Capex &amp; Depr'!AK28+'Capex &amp; Depr'!AK30</f>
        <v>0.04</v>
      </c>
      <c r="AD223" s="156">
        <f>'Capex &amp; Depr'!AL27+'Capex &amp; Depr'!AL28+'Capex &amp; Depr'!AL30</f>
        <v>5.0000000000000001E-3</v>
      </c>
      <c r="AE223" s="156">
        <f>'Capex &amp; Depr'!AM27+'Capex &amp; Depr'!AM28+'Capex &amp; Depr'!AM30</f>
        <v>0</v>
      </c>
      <c r="AF223" s="528">
        <f>SUM(T223:AE223)</f>
        <v>1.6400000000000001</v>
      </c>
      <c r="AG223" s="156">
        <f>'Capex &amp; Depr'!AO27+'Capex &amp; Depr'!AO28+'Capex &amp; Depr'!AO30</f>
        <v>2.044</v>
      </c>
      <c r="AH223" s="156">
        <f>'Capex &amp; Depr'!AP27+'Capex &amp; Depr'!AP28+'Capex &amp; Depr'!AP30</f>
        <v>1.0315000000000001</v>
      </c>
      <c r="AI223" s="156">
        <f>'Capex &amp; Depr'!AQ27+'Capex &amp; Depr'!AQ28+'Capex &amp; Depr'!AQ30</f>
        <v>1.0624450000000001</v>
      </c>
      <c r="AJ223" s="156">
        <f>'Capex &amp; Depr'!AR27+'Capex &amp; Depr'!AR28+'Capex &amp; Depr'!AR30</f>
        <v>1.0943183500000002</v>
      </c>
      <c r="AK223" s="156">
        <f>'Capex &amp; Depr'!AS27+'Capex &amp; Depr'!AS28+'Capex &amp; Depr'!AS30</f>
        <v>1.1271479005000002</v>
      </c>
      <c r="AL223" s="156">
        <f>'Capex &amp; Depr'!AT27+'Capex &amp; Depr'!AT28+'Capex &amp; Depr'!AT30</f>
        <v>1.1609623375150002</v>
      </c>
      <c r="AM223" s="156">
        <f>'Capex &amp; Depr'!AU27+'Capex &amp; Depr'!AU28+'Capex &amp; Depr'!AU30</f>
        <v>1.1957912076404502</v>
      </c>
      <c r="AN223" s="156">
        <f>'Capex &amp; Depr'!AV27+'Capex &amp; Depr'!AV28+'Capex &amp; Depr'!AV30</f>
        <v>1.2316649438696639</v>
      </c>
      <c r="AO223" s="156">
        <f>'Capex &amp; Depr'!AW27+'Capex &amp; Depr'!AW28+'Capex &amp; Depr'!AW30</f>
        <v>1.2686148921857539</v>
      </c>
      <c r="AP223" s="156">
        <f>'Capex &amp; Depr'!AX27+'Capex &amp; Depr'!AX28+'Capex &amp; Depr'!AX30</f>
        <v>1.3066733389513265</v>
      </c>
      <c r="AQ223" s="156">
        <f>'Capex &amp; Depr'!AY27+'Capex &amp; Depr'!AY28+'Capex &amp; Depr'!AY30</f>
        <v>1.3458735391198664</v>
      </c>
      <c r="AR223" s="149"/>
      <c r="AS223" s="149"/>
    </row>
    <row r="224" spans="1:45" s="150" customFormat="1">
      <c r="A224" s="422">
        <f t="shared" si="114"/>
        <v>222</v>
      </c>
      <c r="B224" s="137" t="s">
        <v>301</v>
      </c>
      <c r="C224" s="149"/>
      <c r="D224" s="149"/>
      <c r="E224" s="149"/>
      <c r="F224" s="526"/>
      <c r="G224" s="149">
        <f t="shared" ref="G224:R224" si="134">SUM(G220:G223)</f>
        <v>1.2200070000000001</v>
      </c>
      <c r="H224" s="149">
        <f t="shared" si="134"/>
        <v>1.7038309999999999</v>
      </c>
      <c r="I224" s="149">
        <f t="shared" si="134"/>
        <v>5.7467380000000006</v>
      </c>
      <c r="J224" s="149">
        <f t="shared" si="134"/>
        <v>8.2680389999999999</v>
      </c>
      <c r="K224" s="149">
        <f t="shared" si="134"/>
        <v>8.6923960000000005</v>
      </c>
      <c r="L224" s="149">
        <f t="shared" si="134"/>
        <v>4.8571659999999994</v>
      </c>
      <c r="M224" s="149">
        <f t="shared" si="134"/>
        <v>5.6476309999999987</v>
      </c>
      <c r="N224" s="149">
        <f t="shared" si="134"/>
        <v>4.2898139999999998</v>
      </c>
      <c r="O224" s="149">
        <f t="shared" si="134"/>
        <v>6.4700030000000002</v>
      </c>
      <c r="P224" s="149">
        <f t="shared" si="134"/>
        <v>14.550303999999999</v>
      </c>
      <c r="Q224" s="149">
        <f t="shared" si="134"/>
        <v>9.9612429999999996</v>
      </c>
      <c r="R224" s="149">
        <f t="shared" si="134"/>
        <v>7.7326379999999997</v>
      </c>
      <c r="S224" s="526">
        <f>SUM(G224:R224)</f>
        <v>79.139809999999983</v>
      </c>
      <c r="T224" s="149">
        <f t="shared" ref="T224:AE224" si="135">SUM(T220:T223)</f>
        <v>6.635078</v>
      </c>
      <c r="U224" s="149">
        <f t="shared" si="135"/>
        <v>5.8961049999999995</v>
      </c>
      <c r="V224" s="149">
        <f t="shared" si="135"/>
        <v>9.2491280000000007</v>
      </c>
      <c r="W224" s="149">
        <f t="shared" si="135"/>
        <v>19.952528999999998</v>
      </c>
      <c r="X224" s="149">
        <f t="shared" si="135"/>
        <v>14.906747000000001</v>
      </c>
      <c r="Y224" s="149">
        <f t="shared" si="135"/>
        <v>4.2025810000000003</v>
      </c>
      <c r="Z224" s="149">
        <f t="shared" si="135"/>
        <v>1.6046609999999999</v>
      </c>
      <c r="AA224" s="149">
        <f t="shared" si="135"/>
        <v>3.61904</v>
      </c>
      <c r="AB224" s="149">
        <f t="shared" si="135"/>
        <v>3.7748440000000003</v>
      </c>
      <c r="AC224" s="149">
        <f t="shared" si="135"/>
        <v>4.32395</v>
      </c>
      <c r="AD224" s="149">
        <f t="shared" si="135"/>
        <v>0.20910099999999998</v>
      </c>
      <c r="AE224" s="149">
        <f t="shared" si="135"/>
        <v>0.129112</v>
      </c>
      <c r="AF224" s="526">
        <f>SUM(T224:AE224)</f>
        <v>74.502876000000015</v>
      </c>
      <c r="AG224" s="149">
        <f t="shared" ref="AG224:AQ224" si="136">SUM(AG220:AG223)</f>
        <v>47.614514999999997</v>
      </c>
      <c r="AH224" s="149">
        <f t="shared" si="136"/>
        <v>38.002017000000002</v>
      </c>
      <c r="AI224" s="149">
        <f t="shared" si="136"/>
        <v>39.142077509999993</v>
      </c>
      <c r="AJ224" s="149">
        <f t="shared" si="136"/>
        <v>40.316339835300006</v>
      </c>
      <c r="AK224" s="149">
        <f t="shared" si="136"/>
        <v>52.58320374940233</v>
      </c>
      <c r="AL224" s="149">
        <f t="shared" si="136"/>
        <v>54.16069986188441</v>
      </c>
      <c r="AM224" s="149">
        <f t="shared" si="136"/>
        <v>55.785520857740934</v>
      </c>
      <c r="AN224" s="149">
        <f t="shared" si="136"/>
        <v>57.459086483473172</v>
      </c>
      <c r="AO224" s="149">
        <f t="shared" si="136"/>
        <v>59.182859077977355</v>
      </c>
      <c r="AP224" s="149">
        <f t="shared" si="136"/>
        <v>60.958344850316685</v>
      </c>
      <c r="AQ224" s="149">
        <f t="shared" si="136"/>
        <v>62.78709519582619</v>
      </c>
      <c r="AR224" s="149"/>
      <c r="AS224" s="149"/>
    </row>
    <row r="225" spans="1:45" s="150" customFormat="1">
      <c r="A225" s="422">
        <f t="shared" si="114"/>
        <v>223</v>
      </c>
      <c r="B225" s="138"/>
      <c r="C225" s="149"/>
      <c r="D225" s="149"/>
      <c r="E225" s="149"/>
      <c r="F225" s="526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526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526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</row>
    <row r="226" spans="1:45" s="150" customFormat="1">
      <c r="A226" s="422">
        <f t="shared" si="114"/>
        <v>224</v>
      </c>
      <c r="B226" s="139" t="s">
        <v>302</v>
      </c>
      <c r="C226" s="124"/>
      <c r="D226" s="124"/>
      <c r="E226" s="124"/>
      <c r="F226" s="526"/>
      <c r="G226" s="124">
        <f>'O&amp;M'!O87</f>
        <v>0</v>
      </c>
      <c r="H226" s="124">
        <f>'O&amp;M'!P87</f>
        <v>0</v>
      </c>
      <c r="I226" s="124">
        <f>'O&amp;M'!Q87</f>
        <v>8.5000000000000006E-5</v>
      </c>
      <c r="J226" s="124">
        <f>'O&amp;M'!R87</f>
        <v>8.0000000000000004E-4</v>
      </c>
      <c r="K226" s="124">
        <f>'O&amp;M'!S87</f>
        <v>0</v>
      </c>
      <c r="L226" s="124">
        <f>'O&amp;M'!T87</f>
        <v>0</v>
      </c>
      <c r="M226" s="124">
        <f>'O&amp;M'!U87</f>
        <v>0</v>
      </c>
      <c r="N226" s="124">
        <f>'O&amp;M'!V87</f>
        <v>0</v>
      </c>
      <c r="O226" s="124">
        <f>'O&amp;M'!W87</f>
        <v>0</v>
      </c>
      <c r="P226" s="124">
        <f>'O&amp;M'!X87</f>
        <v>0</v>
      </c>
      <c r="Q226" s="124">
        <f>'O&amp;M'!Y87</f>
        <v>0</v>
      </c>
      <c r="R226" s="124">
        <f>'O&amp;M'!Z87</f>
        <v>0</v>
      </c>
      <c r="S226" s="524">
        <f>SUM(G226:R226)</f>
        <v>8.8500000000000004E-4</v>
      </c>
      <c r="T226" s="141">
        <f>'O&amp;M'!AB87</f>
        <v>0</v>
      </c>
      <c r="U226" s="141">
        <f>'O&amp;M'!AC87</f>
        <v>0</v>
      </c>
      <c r="V226" s="141">
        <f>'O&amp;M'!AD87</f>
        <v>8.5000000000000006E-5</v>
      </c>
      <c r="W226" s="141">
        <f>'O&amp;M'!AE87</f>
        <v>8.0000000000000004E-4</v>
      </c>
      <c r="X226" s="141">
        <f>'O&amp;M'!AF87</f>
        <v>0</v>
      </c>
      <c r="Y226" s="141">
        <f>'O&amp;M'!AG87</f>
        <v>0</v>
      </c>
      <c r="Z226" s="141">
        <f>'O&amp;M'!AH87</f>
        <v>0</v>
      </c>
      <c r="AA226" s="141">
        <f>'O&amp;M'!AI87</f>
        <v>0</v>
      </c>
      <c r="AB226" s="141">
        <f>'O&amp;M'!AJ87</f>
        <v>0</v>
      </c>
      <c r="AC226" s="141">
        <f>'O&amp;M'!AK87</f>
        <v>0</v>
      </c>
      <c r="AD226" s="141">
        <f>'O&amp;M'!AL87</f>
        <v>0</v>
      </c>
      <c r="AE226" s="141">
        <f>'O&amp;M'!AM87</f>
        <v>0</v>
      </c>
      <c r="AF226" s="524">
        <f>SUM(T226:AE226)</f>
        <v>8.8500000000000004E-4</v>
      </c>
      <c r="AG226" s="124">
        <f>'O&amp;M'!AO87</f>
        <v>8.8500000000000004E-4</v>
      </c>
      <c r="AH226" s="124">
        <f>'O&amp;M'!AP87</f>
        <v>8.8500000000000004E-4</v>
      </c>
      <c r="AI226" s="124">
        <f>'O&amp;M'!AQ87</f>
        <v>8.8500000000000004E-4</v>
      </c>
      <c r="AJ226" s="124">
        <f>'O&amp;M'!AR87</f>
        <v>8.8500000000000004E-4</v>
      </c>
      <c r="AK226" s="124">
        <f>'O&amp;M'!AS87</f>
        <v>8.8500000000000004E-4</v>
      </c>
      <c r="AL226" s="124">
        <f>'O&amp;M'!AT87</f>
        <v>8.8500000000000004E-4</v>
      </c>
      <c r="AM226" s="124">
        <f>'O&amp;M'!AU87</f>
        <v>8.8500000000000004E-4</v>
      </c>
      <c r="AN226" s="124">
        <f>'O&amp;M'!AV87</f>
        <v>8.8500000000000004E-4</v>
      </c>
      <c r="AO226" s="124">
        <f>'O&amp;M'!AW87</f>
        <v>8.8500000000000004E-4</v>
      </c>
      <c r="AP226" s="124">
        <f>'O&amp;M'!AX87</f>
        <v>8.8500000000000004E-4</v>
      </c>
      <c r="AQ226" s="124">
        <f>'O&amp;M'!AY87</f>
        <v>8.8500000000000004E-4</v>
      </c>
      <c r="AR226" s="130"/>
      <c r="AS226" s="130"/>
    </row>
    <row r="227" spans="1:45" s="150" customFormat="1">
      <c r="A227" s="422">
        <f t="shared" si="114"/>
        <v>225</v>
      </c>
      <c r="B227" s="140"/>
      <c r="C227" s="149"/>
      <c r="D227" s="149"/>
      <c r="E227" s="149"/>
      <c r="F227" s="526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526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526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</row>
    <row r="228" spans="1:45" s="150" customFormat="1">
      <c r="A228" s="422">
        <f t="shared" si="114"/>
        <v>226</v>
      </c>
      <c r="B228" s="138" t="s">
        <v>303</v>
      </c>
      <c r="C228" s="149"/>
      <c r="D228" s="149"/>
      <c r="E228" s="149"/>
      <c r="F228" s="526"/>
      <c r="G228" s="149">
        <f t="shared" ref="G228:AP228" si="137">G217-G224-G226</f>
        <v>-3.1015327661095826</v>
      </c>
      <c r="H228" s="149">
        <f t="shared" si="137"/>
        <v>9.3481077839868281</v>
      </c>
      <c r="I228" s="149">
        <f t="shared" si="137"/>
        <v>1.625578606665036</v>
      </c>
      <c r="J228" s="149">
        <f t="shared" si="137"/>
        <v>-0.72224563899236938</v>
      </c>
      <c r="K228" s="149">
        <f t="shared" si="137"/>
        <v>-5.6184107454829597</v>
      </c>
      <c r="L228" s="149">
        <f t="shared" si="137"/>
        <v>-5.9741127616084526</v>
      </c>
      <c r="M228" s="149">
        <f t="shared" si="137"/>
        <v>-0.44728707045288196</v>
      </c>
      <c r="N228" s="149">
        <f t="shared" si="137"/>
        <v>-1.9124408118932124</v>
      </c>
      <c r="O228" s="149">
        <f t="shared" si="137"/>
        <v>5.3270153755982239</v>
      </c>
      <c r="P228" s="149">
        <f t="shared" si="137"/>
        <v>-9.2272174445857562</v>
      </c>
      <c r="Q228" s="149">
        <f t="shared" si="137"/>
        <v>-6.4199315180340726</v>
      </c>
      <c r="R228" s="149">
        <f t="shared" si="137"/>
        <v>-9.0138776347267804</v>
      </c>
      <c r="S228" s="526">
        <f t="shared" si="137"/>
        <v>-26.136354625636091</v>
      </c>
      <c r="T228" s="149">
        <f t="shared" ref="T228:AE228" si="138">T217-T224-T226</f>
        <v>3.3008296285238394</v>
      </c>
      <c r="U228" s="149">
        <f t="shared" si="138"/>
        <v>5.7603195076612002</v>
      </c>
      <c r="V228" s="149">
        <f t="shared" si="138"/>
        <v>2.5459508118410352</v>
      </c>
      <c r="W228" s="149">
        <f t="shared" si="138"/>
        <v>-15.155896249651226</v>
      </c>
      <c r="X228" s="149">
        <f t="shared" si="138"/>
        <v>-15.723453435381925</v>
      </c>
      <c r="Y228" s="149">
        <f t="shared" si="138"/>
        <v>-4.3933331232647799</v>
      </c>
      <c r="Z228" s="149">
        <f t="shared" si="138"/>
        <v>5.2383578324093278</v>
      </c>
      <c r="AA228" s="149">
        <f t="shared" si="138"/>
        <v>3.5126987315246989</v>
      </c>
      <c r="AB228" s="149">
        <f t="shared" si="138"/>
        <v>6.4293247571869063</v>
      </c>
      <c r="AC228" s="149">
        <f t="shared" si="138"/>
        <v>2.4367998247799534</v>
      </c>
      <c r="AD228" s="149">
        <f t="shared" si="138"/>
        <v>4.7060017611028293</v>
      </c>
      <c r="AE228" s="149">
        <f t="shared" si="138"/>
        <v>-5.9106682650743703E-2</v>
      </c>
      <c r="AF228" s="526">
        <f t="shared" si="137"/>
        <v>-1.4015066359187534</v>
      </c>
      <c r="AG228" s="149">
        <f t="shared" si="137"/>
        <v>29.687055978919343</v>
      </c>
      <c r="AH228" s="149">
        <f t="shared" si="137"/>
        <v>41.325190993476561</v>
      </c>
      <c r="AI228" s="149">
        <f t="shared" si="137"/>
        <v>38.80564230456136</v>
      </c>
      <c r="AJ228" s="149">
        <f t="shared" si="137"/>
        <v>65.333584782368646</v>
      </c>
      <c r="AK228" s="149">
        <f t="shared" si="137"/>
        <v>53.394061087166506</v>
      </c>
      <c r="AL228" s="149">
        <f t="shared" si="137"/>
        <v>81.187160117409363</v>
      </c>
      <c r="AM228" s="149">
        <f t="shared" si="137"/>
        <v>63.669174633368641</v>
      </c>
      <c r="AN228" s="149">
        <f t="shared" si="137"/>
        <v>48.249665678740371</v>
      </c>
      <c r="AO228" s="149">
        <f t="shared" si="137"/>
        <v>34.195391611911688</v>
      </c>
      <c r="AP228" s="149">
        <f t="shared" si="137"/>
        <v>48.451528830898475</v>
      </c>
      <c r="AQ228" s="149">
        <f>AQ217-AQ224-AQ226</f>
        <v>46.531575061189095</v>
      </c>
      <c r="AR228" s="149"/>
      <c r="AS228" s="149"/>
    </row>
    <row r="229" spans="1:45" s="150" customFormat="1">
      <c r="A229" s="422">
        <f t="shared" si="114"/>
        <v>227</v>
      </c>
      <c r="B229" s="134"/>
      <c r="C229" s="149"/>
      <c r="D229" s="149"/>
      <c r="E229" s="149"/>
      <c r="F229" s="526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526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526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</row>
    <row r="230" spans="1:45" s="150" customFormat="1">
      <c r="A230" s="422">
        <f t="shared" si="114"/>
        <v>228</v>
      </c>
      <c r="B230" s="138" t="s">
        <v>304</v>
      </c>
      <c r="C230" s="149"/>
      <c r="D230" s="149"/>
      <c r="E230" s="149"/>
      <c r="F230" s="526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526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526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</row>
    <row r="231" spans="1:45" s="150" customFormat="1">
      <c r="A231" s="422">
        <f t="shared" si="114"/>
        <v>229</v>
      </c>
      <c r="B231" s="134" t="s">
        <v>305</v>
      </c>
      <c r="C231" s="149"/>
      <c r="D231" s="149"/>
      <c r="E231" s="149"/>
      <c r="F231" s="526"/>
      <c r="G231" s="149">
        <f>G412</f>
        <v>0</v>
      </c>
      <c r="H231" s="149">
        <f t="shared" ref="H231:R231" si="139">H412</f>
        <v>3.8285292439579179</v>
      </c>
      <c r="I231" s="149">
        <f t="shared" si="139"/>
        <v>-3.1915480000000001</v>
      </c>
      <c r="J231" s="149">
        <f t="shared" si="139"/>
        <v>0</v>
      </c>
      <c r="K231" s="149">
        <f t="shared" si="139"/>
        <v>3.8595333700000003</v>
      </c>
      <c r="L231" s="149">
        <f t="shared" si="139"/>
        <v>-7.6949539999999992</v>
      </c>
      <c r="M231" s="149">
        <f t="shared" si="139"/>
        <v>0</v>
      </c>
      <c r="N231" s="149">
        <f t="shared" si="139"/>
        <v>3.0044479800000006</v>
      </c>
      <c r="O231" s="149">
        <f t="shared" si="139"/>
        <v>-14.938104000000001</v>
      </c>
      <c r="P231" s="149">
        <f t="shared" si="139"/>
        <v>0</v>
      </c>
      <c r="Q231" s="149">
        <f t="shared" si="139"/>
        <v>3.0295524099999995</v>
      </c>
      <c r="R231" s="149">
        <f t="shared" si="139"/>
        <v>1.8840060000000001</v>
      </c>
      <c r="S231" s="526">
        <f>SUM(G231:R231)</f>
        <v>-10.218536996042083</v>
      </c>
      <c r="T231" s="149">
        <f>T412</f>
        <v>-9</v>
      </c>
      <c r="U231" s="149">
        <f t="shared" ref="U231:AE231" si="140">U412</f>
        <v>3.0548756999999993</v>
      </c>
      <c r="V231" s="149">
        <f t="shared" si="140"/>
        <v>-7.0936209999999997</v>
      </c>
      <c r="W231" s="149">
        <f t="shared" si="140"/>
        <v>0</v>
      </c>
      <c r="X231" s="149">
        <f t="shared" si="140"/>
        <v>3.08041995</v>
      </c>
      <c r="Y231" s="149">
        <f t="shared" si="140"/>
        <v>-2.1859830000000002</v>
      </c>
      <c r="Z231" s="149">
        <f t="shared" si="140"/>
        <v>0</v>
      </c>
      <c r="AA231" s="149">
        <f t="shared" si="140"/>
        <v>3.1018647300000008</v>
      </c>
      <c r="AB231" s="149">
        <f t="shared" si="140"/>
        <v>-1.6880760000000006</v>
      </c>
      <c r="AC231" s="149">
        <f t="shared" si="140"/>
        <v>0</v>
      </c>
      <c r="AD231" s="149">
        <f t="shared" si="140"/>
        <v>3.1278234400000002</v>
      </c>
      <c r="AE231" s="149">
        <f t="shared" si="140"/>
        <v>1.9751030000000001</v>
      </c>
      <c r="AF231" s="526">
        <f>SUM(T231:AE231)</f>
        <v>-5.6275931800000007</v>
      </c>
      <c r="AG231" s="149">
        <f t="shared" ref="AG231:AP231" si="141">AG412</f>
        <v>22.902846010000001</v>
      </c>
      <c r="AH231" s="149">
        <f t="shared" si="141"/>
        <v>25.221311457787145</v>
      </c>
      <c r="AI231" s="149">
        <f t="shared" si="141"/>
        <v>26.252561599620762</v>
      </c>
      <c r="AJ231" s="149">
        <f t="shared" si="141"/>
        <v>27.342434175909379</v>
      </c>
      <c r="AK231" s="149">
        <f t="shared" si="141"/>
        <v>30.888791945786455</v>
      </c>
      <c r="AL231" s="149">
        <f t="shared" si="141"/>
        <v>73.329009690060232</v>
      </c>
      <c r="AM231" s="149">
        <f t="shared" si="141"/>
        <v>65.451012784862058</v>
      </c>
      <c r="AN231" s="149">
        <f t="shared" si="141"/>
        <v>32.459805716307926</v>
      </c>
      <c r="AO231" s="149">
        <f t="shared" si="141"/>
        <v>-166.05495494380284</v>
      </c>
      <c r="AP231" s="149">
        <f t="shared" si="141"/>
        <v>35.508285738783094</v>
      </c>
      <c r="AQ231" s="149">
        <f t="shared" ref="AQ231:AQ232" si="142">AQ412</f>
        <v>37.162457318646581</v>
      </c>
      <c r="AR231" s="149"/>
      <c r="AS231" s="149"/>
    </row>
    <row r="232" spans="1:45" s="150" customFormat="1">
      <c r="A232" s="422">
        <f t="shared" si="114"/>
        <v>230</v>
      </c>
      <c r="B232" s="134" t="s">
        <v>306</v>
      </c>
      <c r="C232" s="149"/>
      <c r="D232" s="149"/>
      <c r="E232" s="149"/>
      <c r="F232" s="526"/>
      <c r="G232" s="149">
        <f>G413</f>
        <v>3.6755841799997615</v>
      </c>
      <c r="H232" s="149">
        <f t="shared" ref="H232:R232" si="143">H413</f>
        <v>3.8084895960420835</v>
      </c>
      <c r="I232" s="149">
        <f t="shared" si="143"/>
        <v>2.4878388200000003</v>
      </c>
      <c r="J232" s="149">
        <f t="shared" si="143"/>
        <v>1.1280372100000002</v>
      </c>
      <c r="K232" s="149">
        <f t="shared" si="143"/>
        <v>3.8481889000000011</v>
      </c>
      <c r="L232" s="149">
        <f t="shared" si="143"/>
        <v>4.0276879747945191</v>
      </c>
      <c r="M232" s="149">
        <f t="shared" si="143"/>
        <v>3.6533863599999998</v>
      </c>
      <c r="N232" s="149">
        <f t="shared" si="143"/>
        <v>3.8162331100000002</v>
      </c>
      <c r="O232" s="149">
        <f>O413</f>
        <v>2.6164215839726008</v>
      </c>
      <c r="P232" s="149">
        <f t="shared" si="143"/>
        <v>1.1660609399999999</v>
      </c>
      <c r="Q232" s="149">
        <f t="shared" si="143"/>
        <v>3.7566983900000008</v>
      </c>
      <c r="R232" s="149">
        <f t="shared" si="143"/>
        <v>4.486997030410957</v>
      </c>
      <c r="S232" s="526">
        <f>SUM(G232:R232)</f>
        <v>38.471624095219923</v>
      </c>
      <c r="T232" s="149">
        <f>T413</f>
        <v>3.6787355100000001</v>
      </c>
      <c r="U232" s="149">
        <f t="shared" ref="U232:AE232" si="144">U413</f>
        <v>3.6969447900000008</v>
      </c>
      <c r="V232" s="149">
        <f t="shared" si="144"/>
        <v>2.6290735847945204</v>
      </c>
      <c r="W232" s="149">
        <f t="shared" si="144"/>
        <v>1.12803721</v>
      </c>
      <c r="X232" s="149">
        <f t="shared" si="144"/>
        <v>3.7402611400000008</v>
      </c>
      <c r="Y232" s="149">
        <f t="shared" si="144"/>
        <v>4.5508299968493153</v>
      </c>
      <c r="Z232" s="149">
        <f t="shared" si="144"/>
        <v>3.6533863599999998</v>
      </c>
      <c r="AA232" s="149">
        <f t="shared" si="144"/>
        <v>3.7137823399999998</v>
      </c>
      <c r="AB232" s="149">
        <f t="shared" si="144"/>
        <v>2.8416266124657534</v>
      </c>
      <c r="AC232" s="149">
        <f t="shared" si="144"/>
        <v>1.1660609399999999</v>
      </c>
      <c r="AD232" s="149">
        <f t="shared" si="144"/>
        <v>3.6543421700000005</v>
      </c>
      <c r="AE232" s="149">
        <f t="shared" si="144"/>
        <v>4.6117015160273978</v>
      </c>
      <c r="AF232" s="526">
        <f>SUM(T232:AE232)</f>
        <v>39.064782170136986</v>
      </c>
      <c r="AG232" s="149">
        <f t="shared" ref="AG232:AP232" si="145">AG413</f>
        <v>38.406000359999993</v>
      </c>
      <c r="AH232" s="149">
        <f t="shared" si="145"/>
        <v>37.562512039999994</v>
      </c>
      <c r="AI232" s="149">
        <f t="shared" si="145"/>
        <v>36.43309545816637</v>
      </c>
      <c r="AJ232" s="149">
        <f t="shared" si="145"/>
        <v>35.344711461877765</v>
      </c>
      <c r="AK232" s="149">
        <f t="shared" si="145"/>
        <v>34.206043962000479</v>
      </c>
      <c r="AL232" s="149">
        <f t="shared" si="145"/>
        <v>31.984261467726895</v>
      </c>
      <c r="AM232" s="149">
        <f t="shared" si="145"/>
        <v>28.016451532925061</v>
      </c>
      <c r="AN232" s="149">
        <f t="shared" si="145"/>
        <v>25.600545811479218</v>
      </c>
      <c r="AO232" s="149">
        <f t="shared" si="145"/>
        <v>24.114480941589989</v>
      </c>
      <c r="AP232" s="149">
        <f t="shared" si="145"/>
        <v>49.31718226700405</v>
      </c>
      <c r="AQ232" s="149">
        <f t="shared" si="142"/>
        <v>47.628552997140552</v>
      </c>
      <c r="AR232" s="149"/>
      <c r="AS232" s="149"/>
    </row>
    <row r="233" spans="1:45" s="150" customFormat="1">
      <c r="A233" s="422">
        <f t="shared" si="114"/>
        <v>231</v>
      </c>
      <c r="B233" s="134" t="s">
        <v>21</v>
      </c>
      <c r="C233" s="149"/>
      <c r="D233" s="149"/>
      <c r="E233" s="149"/>
      <c r="F233" s="526"/>
      <c r="G233" s="149">
        <f>Debt!P118</f>
        <v>0</v>
      </c>
      <c r="H233" s="149">
        <f>Debt!Q118</f>
        <v>1.4</v>
      </c>
      <c r="I233" s="149">
        <f>Debt!R118</f>
        <v>0</v>
      </c>
      <c r="J233" s="149">
        <f>Debt!S118</f>
        <v>0</v>
      </c>
      <c r="K233" s="149">
        <f>Debt!T118</f>
        <v>0</v>
      </c>
      <c r="L233" s="149">
        <f>Debt!U118</f>
        <v>0</v>
      </c>
      <c r="M233" s="149">
        <f>Debt!V118</f>
        <v>0</v>
      </c>
      <c r="N233" s="149">
        <f>Debt!W118</f>
        <v>0</v>
      </c>
      <c r="O233" s="149">
        <f>Debt!X118</f>
        <v>0</v>
      </c>
      <c r="P233" s="149">
        <f>Debt!Y118</f>
        <v>0</v>
      </c>
      <c r="Q233" s="149">
        <f>Debt!Z118</f>
        <v>0</v>
      </c>
      <c r="R233" s="149">
        <f>Debt!AA118</f>
        <v>0.02</v>
      </c>
      <c r="S233" s="526">
        <f>SUM(G233:R233)</f>
        <v>1.42</v>
      </c>
      <c r="T233" s="149">
        <f>Debt!AC118</f>
        <v>0</v>
      </c>
      <c r="U233" s="149">
        <f>Debt!AD118</f>
        <v>0</v>
      </c>
      <c r="V233" s="149">
        <f>Debt!AE118</f>
        <v>0</v>
      </c>
      <c r="W233" s="149">
        <f>Debt!AF118</f>
        <v>0</v>
      </c>
      <c r="X233" s="149">
        <f>Debt!AG118</f>
        <v>0</v>
      </c>
      <c r="Y233" s="149">
        <f>Debt!AH118</f>
        <v>0</v>
      </c>
      <c r="Z233" s="149">
        <f>Debt!AI118</f>
        <v>0</v>
      </c>
      <c r="AA233" s="149">
        <f>Debt!AJ118</f>
        <v>0</v>
      </c>
      <c r="AB233" s="149">
        <f>Debt!AK118</f>
        <v>0</v>
      </c>
      <c r="AC233" s="149">
        <f>Debt!AL118</f>
        <v>0</v>
      </c>
      <c r="AD233" s="149">
        <f>Debt!AM118</f>
        <v>0</v>
      </c>
      <c r="AE233" s="149">
        <f>Debt!AN118</f>
        <v>0.02</v>
      </c>
      <c r="AF233" s="526">
        <f>SUM(T233:AE233)</f>
        <v>0.02</v>
      </c>
      <c r="AG233" s="149">
        <f>Debt!AP118</f>
        <v>0.02</v>
      </c>
      <c r="AH233" s="149">
        <f>Debt!AQ118</f>
        <v>0</v>
      </c>
      <c r="AI233" s="149">
        <f>Debt!AR118</f>
        <v>0</v>
      </c>
      <c r="AJ233" s="149">
        <f>Debt!AS118</f>
        <v>0</v>
      </c>
      <c r="AK233" s="149">
        <f>Debt!AT118</f>
        <v>0</v>
      </c>
      <c r="AL233" s="149">
        <f>Debt!AU118</f>
        <v>0</v>
      </c>
      <c r="AM233" s="149">
        <f>Debt!AV118</f>
        <v>0</v>
      </c>
      <c r="AN233" s="149">
        <f>Debt!AW118</f>
        <v>0</v>
      </c>
      <c r="AO233" s="149">
        <f>Debt!AX118</f>
        <v>5.7918933448999992</v>
      </c>
      <c r="AP233" s="149">
        <f>Debt!AY118</f>
        <v>0</v>
      </c>
      <c r="AQ233" s="149">
        <f>Debt!AZ118</f>
        <v>0</v>
      </c>
      <c r="AR233" s="149"/>
      <c r="AS233" s="149"/>
    </row>
    <row r="234" spans="1:45" s="150" customFormat="1">
      <c r="A234" s="422">
        <f t="shared" si="114"/>
        <v>232</v>
      </c>
      <c r="B234" s="134" t="s">
        <v>127</v>
      </c>
      <c r="C234" s="156"/>
      <c r="D234" s="156"/>
      <c r="E234" s="156"/>
      <c r="F234" s="528"/>
      <c r="G234" s="156">
        <f>G414</f>
        <v>0</v>
      </c>
      <c r="H234" s="156">
        <f t="shared" ref="H234:R234" si="146">H414</f>
        <v>0</v>
      </c>
      <c r="I234" s="156">
        <f t="shared" si="146"/>
        <v>0</v>
      </c>
      <c r="J234" s="156">
        <f t="shared" si="146"/>
        <v>0</v>
      </c>
      <c r="K234" s="156">
        <f t="shared" si="146"/>
        <v>0</v>
      </c>
      <c r="L234" s="156">
        <f t="shared" si="146"/>
        <v>0</v>
      </c>
      <c r="M234" s="156">
        <f t="shared" si="146"/>
        <v>0</v>
      </c>
      <c r="N234" s="156">
        <f t="shared" si="146"/>
        <v>0</v>
      </c>
      <c r="O234" s="156">
        <f t="shared" si="146"/>
        <v>0</v>
      </c>
      <c r="P234" s="156">
        <f t="shared" si="146"/>
        <v>0</v>
      </c>
      <c r="Q234" s="156">
        <f t="shared" si="146"/>
        <v>0</v>
      </c>
      <c r="R234" s="156">
        <f t="shared" si="146"/>
        <v>0</v>
      </c>
      <c r="S234" s="528">
        <f>SUM(G234:R234)</f>
        <v>0</v>
      </c>
      <c r="T234" s="156">
        <f>T414</f>
        <v>0</v>
      </c>
      <c r="U234" s="156">
        <f t="shared" ref="U234:AE234" si="147">U414</f>
        <v>0</v>
      </c>
      <c r="V234" s="156">
        <f t="shared" si="147"/>
        <v>0</v>
      </c>
      <c r="W234" s="156">
        <f t="shared" si="147"/>
        <v>0</v>
      </c>
      <c r="X234" s="156">
        <f t="shared" si="147"/>
        <v>0</v>
      </c>
      <c r="Y234" s="156">
        <f t="shared" si="147"/>
        <v>0</v>
      </c>
      <c r="Z234" s="156">
        <f t="shared" si="147"/>
        <v>0.125</v>
      </c>
      <c r="AA234" s="156">
        <f t="shared" si="147"/>
        <v>0</v>
      </c>
      <c r="AB234" s="156">
        <f t="shared" si="147"/>
        <v>0</v>
      </c>
      <c r="AC234" s="156">
        <f t="shared" si="147"/>
        <v>0</v>
      </c>
      <c r="AD234" s="156">
        <f t="shared" si="147"/>
        <v>0</v>
      </c>
      <c r="AE234" s="156">
        <f t="shared" si="147"/>
        <v>0</v>
      </c>
      <c r="AF234" s="528">
        <f>SUM(T234:AE234)</f>
        <v>0.125</v>
      </c>
      <c r="AG234" s="156">
        <f t="shared" ref="AG234:AP234" si="148">AG414</f>
        <v>0</v>
      </c>
      <c r="AH234" s="156">
        <f t="shared" si="148"/>
        <v>0</v>
      </c>
      <c r="AI234" s="156">
        <f t="shared" si="148"/>
        <v>0.2</v>
      </c>
      <c r="AJ234" s="156">
        <f t="shared" si="148"/>
        <v>0</v>
      </c>
      <c r="AK234" s="156">
        <f t="shared" si="148"/>
        <v>0.125</v>
      </c>
      <c r="AL234" s="156">
        <f t="shared" si="148"/>
        <v>0</v>
      </c>
      <c r="AM234" s="156">
        <f t="shared" si="148"/>
        <v>0</v>
      </c>
      <c r="AN234" s="156">
        <f t="shared" si="148"/>
        <v>0.2</v>
      </c>
      <c r="AO234" s="156">
        <f t="shared" si="148"/>
        <v>0</v>
      </c>
      <c r="AP234" s="156">
        <f t="shared" si="148"/>
        <v>0.125</v>
      </c>
      <c r="AQ234" s="156">
        <f>AQ414</f>
        <v>0</v>
      </c>
      <c r="AR234" s="149"/>
      <c r="AS234" s="149"/>
    </row>
    <row r="235" spans="1:45" s="150" customFormat="1">
      <c r="A235" s="422">
        <f t="shared" si="114"/>
        <v>233</v>
      </c>
      <c r="B235" s="137" t="s">
        <v>308</v>
      </c>
      <c r="C235" s="149"/>
      <c r="D235" s="149"/>
      <c r="E235" s="149"/>
      <c r="F235" s="526"/>
      <c r="G235" s="149">
        <f>SUM(G231:G234)</f>
        <v>3.6755841799997615</v>
      </c>
      <c r="H235" s="149">
        <f t="shared" ref="H235:R235" si="149">SUM(H231:H234)</f>
        <v>9.0370188400000018</v>
      </c>
      <c r="I235" s="149">
        <f t="shared" si="149"/>
        <v>-0.70370917999999971</v>
      </c>
      <c r="J235" s="149">
        <f t="shared" si="149"/>
        <v>1.1280372100000002</v>
      </c>
      <c r="K235" s="149">
        <f t="shared" si="149"/>
        <v>7.7077222700000014</v>
      </c>
      <c r="L235" s="149">
        <f t="shared" si="149"/>
        <v>-3.6672660252054801</v>
      </c>
      <c r="M235" s="149">
        <f t="shared" si="149"/>
        <v>3.6533863599999998</v>
      </c>
      <c r="N235" s="149">
        <f t="shared" si="149"/>
        <v>6.8206810900000008</v>
      </c>
      <c r="O235" s="149">
        <f t="shared" si="149"/>
        <v>-12.3216824160274</v>
      </c>
      <c r="P235" s="149">
        <f t="shared" si="149"/>
        <v>1.1660609399999999</v>
      </c>
      <c r="Q235" s="149">
        <f t="shared" si="149"/>
        <v>6.7862508000000004</v>
      </c>
      <c r="R235" s="149">
        <f t="shared" si="149"/>
        <v>6.3910030304109569</v>
      </c>
      <c r="S235" s="526">
        <f>SUM(G235:R235)</f>
        <v>29.673087099177845</v>
      </c>
      <c r="T235" s="149">
        <f t="shared" ref="T235:AE235" si="150">SUM(T231:T234)</f>
        <v>-5.3212644899999999</v>
      </c>
      <c r="U235" s="149">
        <f t="shared" si="150"/>
        <v>6.7518204900000001</v>
      </c>
      <c r="V235" s="149">
        <f t="shared" si="150"/>
        <v>-4.4645474152054794</v>
      </c>
      <c r="W235" s="149">
        <f t="shared" si="150"/>
        <v>1.12803721</v>
      </c>
      <c r="X235" s="149">
        <f t="shared" si="150"/>
        <v>6.8206810900000008</v>
      </c>
      <c r="Y235" s="149">
        <f t="shared" si="150"/>
        <v>2.3648469968493151</v>
      </c>
      <c r="Z235" s="149">
        <f t="shared" si="150"/>
        <v>3.7783863599999998</v>
      </c>
      <c r="AA235" s="149">
        <f t="shared" si="150"/>
        <v>6.8156470700000007</v>
      </c>
      <c r="AB235" s="149">
        <f t="shared" si="150"/>
        <v>1.1535506124657529</v>
      </c>
      <c r="AC235" s="149">
        <f t="shared" si="150"/>
        <v>1.1660609399999999</v>
      </c>
      <c r="AD235" s="149">
        <f t="shared" si="150"/>
        <v>6.7821656100000007</v>
      </c>
      <c r="AE235" s="149">
        <f t="shared" si="150"/>
        <v>6.6068045160273972</v>
      </c>
      <c r="AF235" s="526">
        <f>SUM(T235:AE235)</f>
        <v>33.582188990136991</v>
      </c>
      <c r="AG235" s="149">
        <f t="shared" ref="AG235:AQ235" si="151">SUM(AG231:AG234)</f>
        <v>61.328846370000001</v>
      </c>
      <c r="AH235" s="149">
        <f t="shared" si="151"/>
        <v>62.783823497787139</v>
      </c>
      <c r="AI235" s="149">
        <f t="shared" si="151"/>
        <v>62.885657057787135</v>
      </c>
      <c r="AJ235" s="149">
        <f t="shared" si="151"/>
        <v>62.68714563778714</v>
      </c>
      <c r="AK235" s="149">
        <f t="shared" si="151"/>
        <v>65.21983590778693</v>
      </c>
      <c r="AL235" s="149">
        <f t="shared" si="151"/>
        <v>105.31327115778713</v>
      </c>
      <c r="AM235" s="149">
        <f t="shared" si="151"/>
        <v>93.467464317787119</v>
      </c>
      <c r="AN235" s="149">
        <f t="shared" si="151"/>
        <v>58.260351527787151</v>
      </c>
      <c r="AO235" s="149">
        <f t="shared" si="151"/>
        <v>-136.14858065731286</v>
      </c>
      <c r="AP235" s="149">
        <f t="shared" si="151"/>
        <v>84.950468005787144</v>
      </c>
      <c r="AQ235" s="149">
        <f t="shared" si="151"/>
        <v>84.791010315787133</v>
      </c>
      <c r="AR235" s="149"/>
      <c r="AS235" s="149"/>
    </row>
    <row r="236" spans="1:45" s="150" customFormat="1">
      <c r="A236" s="422">
        <f t="shared" si="114"/>
        <v>234</v>
      </c>
      <c r="B236" s="134"/>
      <c r="C236" s="149"/>
      <c r="D236" s="149"/>
      <c r="E236" s="149"/>
      <c r="F236" s="526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526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526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</row>
    <row r="237" spans="1:45" s="150" customFormat="1">
      <c r="A237" s="422">
        <f t="shared" si="114"/>
        <v>235</v>
      </c>
      <c r="B237" s="119" t="s">
        <v>309</v>
      </c>
      <c r="C237" s="149"/>
      <c r="D237" s="149"/>
      <c r="E237" s="149"/>
      <c r="F237" s="526"/>
      <c r="G237" s="149">
        <f>G228-G235</f>
        <v>-6.7771169461093441</v>
      </c>
      <c r="H237" s="149">
        <f t="shared" ref="H237:AP237" si="152">H228-H235</f>
        <v>0.31108894398682629</v>
      </c>
      <c r="I237" s="149">
        <f t="shared" si="152"/>
        <v>2.3292877866650357</v>
      </c>
      <c r="J237" s="149">
        <f t="shared" si="152"/>
        <v>-1.8502828489923697</v>
      </c>
      <c r="K237" s="149">
        <f t="shared" si="152"/>
        <v>-13.326133015482961</v>
      </c>
      <c r="L237" s="149">
        <f t="shared" si="152"/>
        <v>-2.3068467364029726</v>
      </c>
      <c r="M237" s="149">
        <f t="shared" si="152"/>
        <v>-4.1006734304528818</v>
      </c>
      <c r="N237" s="149">
        <f t="shared" si="152"/>
        <v>-8.7331219018932131</v>
      </c>
      <c r="O237" s="149">
        <f t="shared" si="152"/>
        <v>17.648697791625622</v>
      </c>
      <c r="P237" s="149">
        <f t="shared" si="152"/>
        <v>-10.393278384585756</v>
      </c>
      <c r="Q237" s="149">
        <f t="shared" si="152"/>
        <v>-13.206182318034074</v>
      </c>
      <c r="R237" s="149">
        <f t="shared" si="152"/>
        <v>-15.404880665137737</v>
      </c>
      <c r="S237" s="526">
        <f t="shared" si="152"/>
        <v>-55.809441724813937</v>
      </c>
      <c r="T237" s="149">
        <f t="shared" ref="T237:AE237" si="153">T228-T235</f>
        <v>8.6220941185238402</v>
      </c>
      <c r="U237" s="149">
        <f t="shared" si="153"/>
        <v>-0.99150098233879991</v>
      </c>
      <c r="V237" s="149">
        <f t="shared" si="153"/>
        <v>7.010498227046515</v>
      </c>
      <c r="W237" s="149">
        <f t="shared" si="153"/>
        <v>-16.283933459651227</v>
      </c>
      <c r="X237" s="149">
        <f t="shared" si="153"/>
        <v>-22.544134525381928</v>
      </c>
      <c r="Y237" s="149">
        <f t="shared" si="153"/>
        <v>-6.758180120114095</v>
      </c>
      <c r="Z237" s="149">
        <f t="shared" si="153"/>
        <v>1.459971472409328</v>
      </c>
      <c r="AA237" s="149">
        <f t="shared" si="153"/>
        <v>-3.3029483384753018</v>
      </c>
      <c r="AB237" s="149">
        <f t="shared" si="153"/>
        <v>5.2757741447211535</v>
      </c>
      <c r="AC237" s="149">
        <f t="shared" si="153"/>
        <v>1.2707388847799534</v>
      </c>
      <c r="AD237" s="149">
        <f t="shared" si="153"/>
        <v>-2.0761638488971714</v>
      </c>
      <c r="AE237" s="149">
        <f t="shared" si="153"/>
        <v>-6.665911198678141</v>
      </c>
      <c r="AF237" s="526">
        <f t="shared" si="152"/>
        <v>-34.983695626055741</v>
      </c>
      <c r="AG237" s="149">
        <f t="shared" si="152"/>
        <v>-31.641790391080658</v>
      </c>
      <c r="AH237" s="149">
        <f t="shared" si="152"/>
        <v>-21.458632504310579</v>
      </c>
      <c r="AI237" s="149">
        <f t="shared" si="152"/>
        <v>-24.080014753225775</v>
      </c>
      <c r="AJ237" s="149">
        <f t="shared" si="152"/>
        <v>2.6464391445815068</v>
      </c>
      <c r="AK237" s="149">
        <f t="shared" si="152"/>
        <v>-11.825774820620424</v>
      </c>
      <c r="AL237" s="149">
        <f t="shared" si="152"/>
        <v>-24.126111040377765</v>
      </c>
      <c r="AM237" s="149">
        <f t="shared" si="152"/>
        <v>-29.798289684418478</v>
      </c>
      <c r="AN237" s="149">
        <f t="shared" si="152"/>
        <v>-10.01068584904678</v>
      </c>
      <c r="AO237" s="149">
        <f t="shared" si="152"/>
        <v>170.34397226922454</v>
      </c>
      <c r="AP237" s="149">
        <f t="shared" si="152"/>
        <v>-36.498939174888669</v>
      </c>
      <c r="AQ237" s="149">
        <f>AQ228-AQ235</f>
        <v>-38.259435254598039</v>
      </c>
      <c r="AR237" s="149"/>
      <c r="AS237" s="149"/>
    </row>
    <row r="238" spans="1:45" s="150" customFormat="1">
      <c r="A238" s="422">
        <f t="shared" si="114"/>
        <v>236</v>
      </c>
      <c r="B238" s="134"/>
      <c r="C238" s="149"/>
      <c r="D238" s="149"/>
      <c r="E238" s="149"/>
      <c r="F238" s="526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526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526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</row>
    <row r="239" spans="1:45" s="150" customFormat="1">
      <c r="A239" s="422">
        <f t="shared" si="114"/>
        <v>237</v>
      </c>
      <c r="B239" s="138" t="s">
        <v>310</v>
      </c>
      <c r="C239" s="149"/>
      <c r="D239" s="149"/>
      <c r="E239" s="149"/>
      <c r="F239" s="526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526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526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</row>
    <row r="240" spans="1:45" s="150" customFormat="1">
      <c r="A240" s="422">
        <f t="shared" si="114"/>
        <v>238</v>
      </c>
      <c r="B240" s="136" t="s">
        <v>311</v>
      </c>
      <c r="C240" s="149"/>
      <c r="D240" s="149"/>
      <c r="E240" s="149"/>
      <c r="F240" s="526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526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526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</row>
    <row r="241" spans="1:45" s="150" customFormat="1">
      <c r="A241" s="422">
        <f t="shared" si="114"/>
        <v>239</v>
      </c>
      <c r="B241" s="136" t="s">
        <v>312</v>
      </c>
      <c r="C241" s="149"/>
      <c r="D241" s="149"/>
      <c r="E241" s="149"/>
      <c r="F241" s="526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526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526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</row>
    <row r="242" spans="1:45" s="150" customFormat="1">
      <c r="A242" s="422">
        <f t="shared" si="114"/>
        <v>240</v>
      </c>
      <c r="B242" s="136" t="s">
        <v>313</v>
      </c>
      <c r="C242" s="149"/>
      <c r="D242" s="149"/>
      <c r="E242" s="149"/>
      <c r="F242" s="526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526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526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</row>
    <row r="243" spans="1:45" s="150" customFormat="1">
      <c r="A243" s="422">
        <f t="shared" si="114"/>
        <v>241</v>
      </c>
      <c r="B243" s="136" t="s">
        <v>314</v>
      </c>
      <c r="C243" s="149"/>
      <c r="D243" s="149"/>
      <c r="E243" s="149"/>
      <c r="F243" s="526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526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526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</row>
    <row r="244" spans="1:45" s="150" customFormat="1">
      <c r="A244" s="422">
        <f t="shared" si="114"/>
        <v>242</v>
      </c>
      <c r="B244" s="136" t="s">
        <v>680</v>
      </c>
      <c r="C244" s="149"/>
      <c r="D244" s="149"/>
      <c r="E244" s="149"/>
      <c r="F244" s="526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526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526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</row>
    <row r="245" spans="1:45" s="150" customFormat="1">
      <c r="A245" s="422">
        <f t="shared" si="114"/>
        <v>243</v>
      </c>
      <c r="B245" s="136" t="s">
        <v>639</v>
      </c>
      <c r="C245" s="149"/>
      <c r="D245" s="149"/>
      <c r="E245" s="149"/>
      <c r="F245" s="526"/>
      <c r="G245" s="149">
        <f>-Rates!M155</f>
        <v>0</v>
      </c>
      <c r="H245" s="149">
        <f>-Rates!N155</f>
        <v>0</v>
      </c>
      <c r="I245" s="149">
        <f>-Rates!O155</f>
        <v>0</v>
      </c>
      <c r="J245" s="149">
        <f>-Rates!P155</f>
        <v>0</v>
      </c>
      <c r="K245" s="149">
        <f>-Rates!Q155</f>
        <v>0</v>
      </c>
      <c r="L245" s="149">
        <f>-Rates!R155</f>
        <v>0</v>
      </c>
      <c r="M245" s="149">
        <f>-Rates!S155</f>
        <v>0</v>
      </c>
      <c r="N245" s="149">
        <f>-Rates!T155</f>
        <v>0</v>
      </c>
      <c r="O245" s="149">
        <f>-Rates!U155</f>
        <v>0</v>
      </c>
      <c r="P245" s="149">
        <f>-Rates!V155</f>
        <v>0</v>
      </c>
      <c r="Q245" s="149">
        <f>-Rates!W155</f>
        <v>0</v>
      </c>
      <c r="R245" s="149">
        <f>-Rates!X155</f>
        <v>0</v>
      </c>
      <c r="S245" s="526">
        <f>SUM(G245:R245)</f>
        <v>0</v>
      </c>
      <c r="T245" s="149">
        <f>-Rates!Z155</f>
        <v>0</v>
      </c>
      <c r="U245" s="149">
        <f>-Rates!AA155</f>
        <v>0</v>
      </c>
      <c r="V245" s="149">
        <f>-Rates!AB155</f>
        <v>0</v>
      </c>
      <c r="W245" s="149">
        <f>-Rates!AC155</f>
        <v>0</v>
      </c>
      <c r="X245" s="149">
        <f>-Rates!AD155</f>
        <v>0</v>
      </c>
      <c r="Y245" s="149">
        <f>-Rates!AE155</f>
        <v>0</v>
      </c>
      <c r="Z245" s="149">
        <f>-Rates!AF155</f>
        <v>0</v>
      </c>
      <c r="AA245" s="149">
        <f>-Rates!AG155</f>
        <v>0</v>
      </c>
      <c r="AB245" s="149">
        <f>-Rates!AH155</f>
        <v>0</v>
      </c>
      <c r="AC245" s="149">
        <f>-Rates!AI155</f>
        <v>0</v>
      </c>
      <c r="AD245" s="149">
        <f>-Rates!AJ155</f>
        <v>0</v>
      </c>
      <c r="AE245" s="149">
        <f>-Rates!AK155</f>
        <v>0</v>
      </c>
      <c r="AF245" s="526">
        <f>SUM(T245:AE245)</f>
        <v>0</v>
      </c>
      <c r="AG245" s="149">
        <f>-Rates!AM155</f>
        <v>12.080282999257401</v>
      </c>
      <c r="AH245" s="149">
        <f>-Rates!AN155</f>
        <v>30.046419186305851</v>
      </c>
      <c r="AI245" s="149">
        <f>-Rates!AO155</f>
        <v>27.005266833066308</v>
      </c>
      <c r="AJ245" s="149">
        <f>-Rates!AP155</f>
        <v>0</v>
      </c>
      <c r="AK245" s="149">
        <f>-Rates!AQ155</f>
        <v>0</v>
      </c>
      <c r="AL245" s="149">
        <f>-Rates!AR155</f>
        <v>0</v>
      </c>
      <c r="AM245" s="149">
        <f>-Rates!AS155</f>
        <v>0</v>
      </c>
      <c r="AN245" s="149">
        <f>-Rates!AT155</f>
        <v>0</v>
      </c>
      <c r="AO245" s="149">
        <f>-Rates!AU155</f>
        <v>0</v>
      </c>
      <c r="AP245" s="149">
        <f>-Rates!AV155</f>
        <v>0</v>
      </c>
      <c r="AQ245" s="149">
        <f>-Rates!AW155</f>
        <v>0</v>
      </c>
      <c r="AR245" s="149"/>
      <c r="AS245" s="149"/>
    </row>
    <row r="246" spans="1:45" s="150" customFormat="1">
      <c r="A246" s="422">
        <f t="shared" si="114"/>
        <v>244</v>
      </c>
      <c r="B246" s="136" t="s">
        <v>146</v>
      </c>
      <c r="C246" s="149"/>
      <c r="D246" s="149"/>
      <c r="E246" s="149"/>
      <c r="F246" s="526"/>
      <c r="G246" s="149">
        <f>-Rates!M145</f>
        <v>2.4699945129857181</v>
      </c>
      <c r="H246" s="149">
        <f>-Rates!N145</f>
        <v>2.0949932083090541</v>
      </c>
      <c r="I246" s="149">
        <f>-Rates!O145</f>
        <v>1.8596657159334395</v>
      </c>
      <c r="J246" s="149">
        <f>-Rates!P145</f>
        <v>1.3610819513848305</v>
      </c>
      <c r="K246" s="149">
        <f>-Rates!Q145</f>
        <v>1.5818625277299339</v>
      </c>
      <c r="L246" s="149">
        <f>-Rates!R145</f>
        <v>2.2110620220058941</v>
      </c>
      <c r="M246" s="149">
        <f>-Rates!S145</f>
        <v>2.3647545740138276</v>
      </c>
      <c r="N246" s="149">
        <f>-Rates!T145</f>
        <v>2.5465591956331171</v>
      </c>
      <c r="O246" s="149">
        <f>-Rates!U145</f>
        <v>2.5658031676906958</v>
      </c>
      <c r="P246" s="149">
        <f>-Rates!V145</f>
        <v>2.1819560403726403</v>
      </c>
      <c r="Q246" s="149">
        <f>-Rates!W145</f>
        <v>2.4091938715863592</v>
      </c>
      <c r="R246" s="149">
        <f>-Rates!X145</f>
        <v>3.1161688562500967</v>
      </c>
      <c r="S246" s="526">
        <f>SUM(G246:R246)</f>
        <v>26.76309564389561</v>
      </c>
      <c r="T246" s="149">
        <f>-Rates!Z145</f>
        <v>3.3714407925663492</v>
      </c>
      <c r="U246" s="149">
        <f>-Rates!AA145</f>
        <v>2.9405788179600707</v>
      </c>
      <c r="V246" s="149">
        <f>-Rates!AB145</f>
        <v>2.711067198951377</v>
      </c>
      <c r="W246" s="149">
        <f>-Rates!AC145</f>
        <v>2.2961607223027198</v>
      </c>
      <c r="X246" s="149">
        <f>-Rates!AD145</f>
        <v>2.5387070538267951</v>
      </c>
      <c r="Y246" s="149">
        <f>-Rates!AE145</f>
        <v>3.230415731739968</v>
      </c>
      <c r="Z246" s="149">
        <f>-Rates!AF145</f>
        <v>2.9324366828028516</v>
      </c>
      <c r="AA246" s="149">
        <f>-Rates!AG145</f>
        <v>3.0836775499325859</v>
      </c>
      <c r="AB246" s="149">
        <f>-Rates!AH145</f>
        <v>2.6044289762755088</v>
      </c>
      <c r="AC246" s="149">
        <f>-Rates!AI145</f>
        <v>2.1683456050416248</v>
      </c>
      <c r="AD246" s="149">
        <f>-Rates!AJ145</f>
        <v>2.3680188189964824</v>
      </c>
      <c r="AE246" s="149">
        <f>-Rates!AK145</f>
        <v>3.012908818777456</v>
      </c>
      <c r="AF246" s="526">
        <f>SUM(T246:AE246)</f>
        <v>33.25818676917379</v>
      </c>
      <c r="AG246" s="149">
        <f>-Rates!AM145</f>
        <v>21.420266766757855</v>
      </c>
      <c r="AH246" s="149">
        <f>-Rates!AN145</f>
        <v>0</v>
      </c>
      <c r="AI246" s="149">
        <f>-Rates!AO145</f>
        <v>0</v>
      </c>
      <c r="AJ246" s="149">
        <f>-Rates!AP145</f>
        <v>0</v>
      </c>
      <c r="AK246" s="149">
        <f>-Rates!AQ145</f>
        <v>0</v>
      </c>
      <c r="AL246" s="149">
        <f>-Rates!AR145</f>
        <v>0</v>
      </c>
      <c r="AM246" s="149">
        <f>-Rates!AS145</f>
        <v>0</v>
      </c>
      <c r="AN246" s="149">
        <f>-Rates!AT145</f>
        <v>0</v>
      </c>
      <c r="AO246" s="149">
        <f>-Rates!AU145</f>
        <v>0</v>
      </c>
      <c r="AP246" s="149">
        <f>-Rates!AV145</f>
        <v>0</v>
      </c>
      <c r="AQ246" s="149">
        <f>-Rates!AW145</f>
        <v>0</v>
      </c>
      <c r="AR246" s="149"/>
      <c r="AS246" s="149"/>
    </row>
    <row r="247" spans="1:45" s="150" customFormat="1">
      <c r="A247" s="422">
        <f t="shared" si="114"/>
        <v>245</v>
      </c>
      <c r="B247" s="136" t="s">
        <v>315</v>
      </c>
      <c r="C247" s="149"/>
      <c r="D247" s="149"/>
      <c r="E247" s="149"/>
      <c r="F247" s="526"/>
      <c r="G247" s="149">
        <f>SUM(G243:G246)</f>
        <v>2.4699945129857181</v>
      </c>
      <c r="H247" s="149">
        <f t="shared" ref="H247:R247" si="154">SUM(H243:H246)</f>
        <v>2.0949932083090541</v>
      </c>
      <c r="I247" s="149">
        <f t="shared" si="154"/>
        <v>1.8596657159334395</v>
      </c>
      <c r="J247" s="149">
        <f t="shared" si="154"/>
        <v>1.3610819513848305</v>
      </c>
      <c r="K247" s="149">
        <f t="shared" si="154"/>
        <v>1.5818625277299339</v>
      </c>
      <c r="L247" s="149">
        <f t="shared" si="154"/>
        <v>2.2110620220058941</v>
      </c>
      <c r="M247" s="149">
        <f t="shared" si="154"/>
        <v>2.3647545740138276</v>
      </c>
      <c r="N247" s="149">
        <f t="shared" si="154"/>
        <v>2.5465591956331171</v>
      </c>
      <c r="O247" s="149">
        <f t="shared" si="154"/>
        <v>2.5658031676906958</v>
      </c>
      <c r="P247" s="149">
        <f t="shared" si="154"/>
        <v>2.1819560403726403</v>
      </c>
      <c r="Q247" s="149">
        <f t="shared" si="154"/>
        <v>2.4091938715863592</v>
      </c>
      <c r="R247" s="149">
        <f t="shared" si="154"/>
        <v>3.1161688562500967</v>
      </c>
      <c r="S247" s="526">
        <f>SUM(G247:R247)</f>
        <v>26.76309564389561</v>
      </c>
      <c r="T247" s="149">
        <f t="shared" ref="T247:AE247" si="155">SUM(T243:T246)</f>
        <v>3.3714407925663492</v>
      </c>
      <c r="U247" s="149">
        <f t="shared" si="155"/>
        <v>2.9405788179600707</v>
      </c>
      <c r="V247" s="149">
        <f t="shared" si="155"/>
        <v>2.711067198951377</v>
      </c>
      <c r="W247" s="149">
        <f t="shared" si="155"/>
        <v>2.2961607223027198</v>
      </c>
      <c r="X247" s="149">
        <f t="shared" si="155"/>
        <v>2.5387070538267951</v>
      </c>
      <c r="Y247" s="149">
        <f t="shared" si="155"/>
        <v>3.230415731739968</v>
      </c>
      <c r="Z247" s="149">
        <f t="shared" si="155"/>
        <v>2.9324366828028516</v>
      </c>
      <c r="AA247" s="149">
        <f t="shared" si="155"/>
        <v>3.0836775499325859</v>
      </c>
      <c r="AB247" s="149">
        <f t="shared" si="155"/>
        <v>2.6044289762755088</v>
      </c>
      <c r="AC247" s="149">
        <f t="shared" si="155"/>
        <v>2.1683456050416248</v>
      </c>
      <c r="AD247" s="149">
        <f t="shared" si="155"/>
        <v>2.3680188189964824</v>
      </c>
      <c r="AE247" s="149">
        <f t="shared" si="155"/>
        <v>3.012908818777456</v>
      </c>
      <c r="AF247" s="526">
        <f>SUM(T247:AE247)</f>
        <v>33.25818676917379</v>
      </c>
      <c r="AG247" s="149">
        <f t="shared" ref="AG247:AQ247" si="156">SUM(AG243:AG246)</f>
        <v>33.500549766015254</v>
      </c>
      <c r="AH247" s="149">
        <f t="shared" si="156"/>
        <v>30.046419186305851</v>
      </c>
      <c r="AI247" s="149">
        <f t="shared" si="156"/>
        <v>27.005266833066308</v>
      </c>
      <c r="AJ247" s="149">
        <f t="shared" si="156"/>
        <v>0</v>
      </c>
      <c r="AK247" s="149">
        <f>SUM(AK243:AK246)</f>
        <v>0</v>
      </c>
      <c r="AL247" s="149">
        <f t="shared" si="156"/>
        <v>0</v>
      </c>
      <c r="AM247" s="149">
        <f>SUM(AM243:AM246)</f>
        <v>0</v>
      </c>
      <c r="AN247" s="149">
        <f t="shared" si="156"/>
        <v>0</v>
      </c>
      <c r="AO247" s="149">
        <f t="shared" si="156"/>
        <v>0</v>
      </c>
      <c r="AP247" s="149">
        <f t="shared" si="156"/>
        <v>0</v>
      </c>
      <c r="AQ247" s="149">
        <f t="shared" si="156"/>
        <v>0</v>
      </c>
      <c r="AR247" s="149"/>
      <c r="AS247" s="149"/>
    </row>
    <row r="248" spans="1:45" s="150" customFormat="1">
      <c r="A248" s="422">
        <f t="shared" si="114"/>
        <v>246</v>
      </c>
      <c r="B248" s="134"/>
      <c r="C248" s="149"/>
      <c r="D248" s="149"/>
      <c r="E248" s="149"/>
      <c r="F248" s="526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526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526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</row>
    <row r="249" spans="1:45" s="150" customFormat="1">
      <c r="A249" s="422">
        <f t="shared" si="114"/>
        <v>247</v>
      </c>
      <c r="B249" s="151" t="s">
        <v>316</v>
      </c>
      <c r="C249" s="394"/>
      <c r="D249" s="392"/>
      <c r="E249" s="141">
        <f>E150+E147+E142</f>
        <v>145.18144745000001</v>
      </c>
      <c r="F249" s="524"/>
      <c r="G249" s="141">
        <f>E249+G237+G247</f>
        <v>140.87432501687638</v>
      </c>
      <c r="H249" s="141">
        <f>G249+H237+H247</f>
        <v>143.28040716917226</v>
      </c>
      <c r="I249" s="141">
        <f t="shared" ref="I249:R249" si="157">H249+I237+I247</f>
        <v>147.46936067177074</v>
      </c>
      <c r="J249" s="141">
        <f t="shared" si="157"/>
        <v>146.98015977416318</v>
      </c>
      <c r="K249" s="141">
        <f t="shared" si="157"/>
        <v>135.23588928641016</v>
      </c>
      <c r="L249" s="141">
        <f t="shared" si="157"/>
        <v>135.14010457201309</v>
      </c>
      <c r="M249" s="141">
        <f t="shared" si="157"/>
        <v>133.40418571557404</v>
      </c>
      <c r="N249" s="141">
        <f t="shared" si="157"/>
        <v>127.21762300931395</v>
      </c>
      <c r="O249" s="141">
        <f t="shared" si="157"/>
        <v>147.43212396863026</v>
      </c>
      <c r="P249" s="141">
        <f t="shared" si="157"/>
        <v>139.22080162441716</v>
      </c>
      <c r="Q249" s="141">
        <f t="shared" si="157"/>
        <v>128.42381317796944</v>
      </c>
      <c r="R249" s="141">
        <f t="shared" si="157"/>
        <v>116.1351013690818</v>
      </c>
      <c r="S249" s="524">
        <f>R249</f>
        <v>116.1351013690818</v>
      </c>
      <c r="T249" s="141">
        <f>R249+T237+T247</f>
        <v>128.12863628017197</v>
      </c>
      <c r="U249" s="141">
        <f>T249+U237+U247</f>
        <v>130.07771411579324</v>
      </c>
      <c r="V249" s="141">
        <f t="shared" ref="V249:AE249" si="158">U249+V237+V247</f>
        <v>139.79927954179115</v>
      </c>
      <c r="W249" s="141">
        <f t="shared" si="158"/>
        <v>125.81150680444264</v>
      </c>
      <c r="X249" s="141">
        <f t="shared" si="158"/>
        <v>105.80607933288751</v>
      </c>
      <c r="Y249" s="141">
        <f t="shared" si="158"/>
        <v>102.27831494451338</v>
      </c>
      <c r="Z249" s="141">
        <f t="shared" si="158"/>
        <v>106.67072309972556</v>
      </c>
      <c r="AA249" s="141">
        <f t="shared" si="158"/>
        <v>106.45145231118285</v>
      </c>
      <c r="AB249" s="141">
        <f t="shared" si="158"/>
        <v>114.33165543217952</v>
      </c>
      <c r="AC249" s="141">
        <f t="shared" si="158"/>
        <v>117.7707399220011</v>
      </c>
      <c r="AD249" s="141">
        <f t="shared" si="158"/>
        <v>118.06259489210041</v>
      </c>
      <c r="AE249" s="141">
        <f t="shared" si="158"/>
        <v>114.40959251219972</v>
      </c>
      <c r="AF249" s="524">
        <f>AE249</f>
        <v>114.40959251219972</v>
      </c>
      <c r="AG249" s="141">
        <f>AE249+AG237+AG247</f>
        <v>116.26835188713432</v>
      </c>
      <c r="AH249" s="141">
        <f>AG249+AH237+AH247</f>
        <v>124.8561385691296</v>
      </c>
      <c r="AI249" s="141">
        <f>AH249+AI237+AI247</f>
        <v>127.78139064897013</v>
      </c>
      <c r="AJ249" s="141">
        <f t="shared" ref="AJ249:AP249" si="159">AI249+AJ237+AJ247</f>
        <v>130.42782979355164</v>
      </c>
      <c r="AK249" s="141">
        <f>AJ249+AK237+AK247</f>
        <v>118.60205497293121</v>
      </c>
      <c r="AL249" s="141">
        <f t="shared" si="159"/>
        <v>94.475943932553449</v>
      </c>
      <c r="AM249" s="141">
        <f>AL249+AM237+AM247</f>
        <v>64.677654248134971</v>
      </c>
      <c r="AN249" s="141">
        <f t="shared" si="159"/>
        <v>54.666968399088191</v>
      </c>
      <c r="AO249" s="141">
        <f t="shared" si="159"/>
        <v>225.01094066831274</v>
      </c>
      <c r="AP249" s="141">
        <f t="shared" si="159"/>
        <v>188.51200149342407</v>
      </c>
      <c r="AQ249" s="141">
        <f>AP249+AQ237+AQ247</f>
        <v>150.25256623882603</v>
      </c>
      <c r="AR249" s="149"/>
      <c r="AS249" s="149"/>
    </row>
    <row r="250" spans="1:45" s="150" customFormat="1">
      <c r="A250" s="422">
        <f t="shared" si="114"/>
        <v>248</v>
      </c>
      <c r="B250" s="151" t="s">
        <v>64</v>
      </c>
      <c r="C250" s="149"/>
      <c r="D250" s="149"/>
      <c r="E250" s="149">
        <f>+E249-E142</f>
        <v>110.17274751000001</v>
      </c>
      <c r="F250" s="526"/>
      <c r="G250" s="149">
        <f>+G249-G142</f>
        <v>105.85670505196016</v>
      </c>
      <c r="H250" s="149">
        <f t="shared" ref="H250:AH250" si="160">+H249-H142</f>
        <v>108.25472835472988</v>
      </c>
      <c r="I250" s="149">
        <f t="shared" si="160"/>
        <v>112.43475750628795</v>
      </c>
      <c r="J250" s="149">
        <f t="shared" si="160"/>
        <v>111.93691793940673</v>
      </c>
      <c r="K250" s="149">
        <f t="shared" si="160"/>
        <v>100.18371862565195</v>
      </c>
      <c r="L250" s="149">
        <f t="shared" si="160"/>
        <v>100.07929091027003</v>
      </c>
      <c r="M250" s="149">
        <f t="shared" si="160"/>
        <v>98.334438750624031</v>
      </c>
      <c r="N250" s="149">
        <f t="shared" si="160"/>
        <v>92.138940465000275</v>
      </c>
      <c r="O250" s="149">
        <f t="shared" si="160"/>
        <v>112.34479188615497</v>
      </c>
      <c r="P250" s="149">
        <f t="shared" si="160"/>
        <v>104.1245294819866</v>
      </c>
      <c r="Q250" s="149">
        <f t="shared" si="160"/>
        <v>93.318887160216093</v>
      </c>
      <c r="R250" s="149">
        <f t="shared" si="160"/>
        <v>81.021230808534881</v>
      </c>
      <c r="S250" s="526">
        <f>R250</f>
        <v>81.021230808534881</v>
      </c>
      <c r="T250" s="149">
        <f t="shared" ref="T250:AE250" si="161">+T249-T142</f>
        <v>93.005818897810997</v>
      </c>
      <c r="U250" s="149">
        <f t="shared" si="161"/>
        <v>94.946813674089483</v>
      </c>
      <c r="V250" s="149">
        <f t="shared" si="161"/>
        <v>104.65942793915293</v>
      </c>
      <c r="W250" s="149">
        <f t="shared" si="161"/>
        <v>90.662990580861305</v>
      </c>
      <c r="X250" s="149">
        <f t="shared" si="161"/>
        <v>70.648607459967025</v>
      </c>
      <c r="Y250" s="149">
        <f t="shared" si="161"/>
        <v>67.11217410592559</v>
      </c>
      <c r="Z250" s="149">
        <f t="shared" si="161"/>
        <v>71.495622121143285</v>
      </c>
      <c r="AA250" s="149">
        <f t="shared" si="161"/>
        <v>71.267388909611498</v>
      </c>
      <c r="AB250" s="149">
        <f t="shared" si="161"/>
        <v>79.13891650812559</v>
      </c>
      <c r="AC250" s="149">
        <f t="shared" si="161"/>
        <v>82.569034080906249</v>
      </c>
      <c r="AD250" s="149">
        <f t="shared" si="161"/>
        <v>82.852209178332416</v>
      </c>
      <c r="AE250" s="149">
        <f t="shared" si="161"/>
        <v>79.190235385085487</v>
      </c>
      <c r="AF250" s="526">
        <f>AE250</f>
        <v>79.190235385085487</v>
      </c>
      <c r="AG250" s="149">
        <f t="shared" si="160"/>
        <v>80.943336688638738</v>
      </c>
      <c r="AH250" s="149">
        <f t="shared" si="160"/>
        <v>89.425148325038535</v>
      </c>
      <c r="AI250" s="149">
        <f t="shared" ref="AI250:AQ250" si="162">+AI249-AI142</f>
        <v>92.244107434146798</v>
      </c>
      <c r="AJ250" s="149">
        <f t="shared" si="162"/>
        <v>94.783934729083825</v>
      </c>
      <c r="AK250" s="149">
        <f t="shared" si="162"/>
        <v>82.851228223269999</v>
      </c>
      <c r="AL250" s="149">
        <f t="shared" si="162"/>
        <v>58.617864702643253</v>
      </c>
      <c r="AM250" s="149">
        <f t="shared" si="162"/>
        <v>28.712000780535043</v>
      </c>
      <c r="AN250" s="149">
        <f t="shared" si="162"/>
        <v>18.593417971085465</v>
      </c>
      <c r="AO250" s="149">
        <f t="shared" si="162"/>
        <v>188.82916958902601</v>
      </c>
      <c r="AP250" s="149">
        <f t="shared" si="162"/>
        <v>152.22168510089946</v>
      </c>
      <c r="AQ250" s="149">
        <f t="shared" si="162"/>
        <v>113.85337889712386</v>
      </c>
      <c r="AR250" s="149"/>
      <c r="AS250" s="149"/>
    </row>
    <row r="251" spans="1:45" s="150" customFormat="1" ht="15" customHeight="1">
      <c r="A251" s="422">
        <f t="shared" si="114"/>
        <v>249</v>
      </c>
      <c r="B251" s="119" t="s">
        <v>325</v>
      </c>
      <c r="C251" s="395"/>
      <c r="D251" s="149"/>
      <c r="E251" s="149"/>
      <c r="F251" s="526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526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526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</row>
    <row r="252" spans="1:45" s="150" customFormat="1">
      <c r="A252" s="422">
        <f t="shared" si="114"/>
        <v>250</v>
      </c>
      <c r="B252" s="136" t="s">
        <v>318</v>
      </c>
      <c r="C252" s="149"/>
      <c r="D252" s="149"/>
      <c r="E252" s="149"/>
      <c r="F252" s="526"/>
      <c r="G252" s="149">
        <f>SUM(G138:G141)-SUM(E138:E141)</f>
        <v>0</v>
      </c>
      <c r="H252" s="149">
        <f>SUM(H138:H141)-SUM(G138:G141)</f>
        <v>-0.31505915395791817</v>
      </c>
      <c r="I252" s="149">
        <f t="shared" ref="I252:R252" si="163">SUM(I138:I141)-SUM(H138:H141)</f>
        <v>0.46246968630624963</v>
      </c>
      <c r="J252" s="149">
        <f>SUM(J138:J141)-SUM(I138:I141)</f>
        <v>8.7499999999991473E-3</v>
      </c>
      <c r="K252" s="149">
        <f t="shared" si="163"/>
        <v>-0.31927307000000127</v>
      </c>
      <c r="L252" s="149">
        <f t="shared" si="163"/>
        <v>0</v>
      </c>
      <c r="M252" s="149">
        <f t="shared" si="163"/>
        <v>0</v>
      </c>
      <c r="N252" s="149">
        <f t="shared" si="163"/>
        <v>-0.32114334999999983</v>
      </c>
      <c r="O252" s="149">
        <f t="shared" si="163"/>
        <v>0</v>
      </c>
      <c r="P252" s="149">
        <f t="shared" si="163"/>
        <v>0</v>
      </c>
      <c r="Q252" s="149">
        <f t="shared" si="163"/>
        <v>-0.3278707400000016</v>
      </c>
      <c r="R252" s="149">
        <f t="shared" si="163"/>
        <v>0</v>
      </c>
      <c r="S252" s="526">
        <f>SUM(G252:R252)</f>
        <v>-0.81212662765167209</v>
      </c>
      <c r="T252" s="149">
        <f>SUM(T138:T141)-SUM(R138:R141)</f>
        <v>0</v>
      </c>
      <c r="U252" s="149">
        <f t="shared" ref="U252:AE252" si="164">SUM(U138:U141)-SUM(T138:T141)</f>
        <v>-0.33225601000000182</v>
      </c>
      <c r="V252" s="149">
        <f t="shared" si="164"/>
        <v>0.16148559367999837</v>
      </c>
      <c r="W252" s="149">
        <f t="shared" si="164"/>
        <v>0</v>
      </c>
      <c r="X252" s="149">
        <f t="shared" si="164"/>
        <v>-0.33669994000000258</v>
      </c>
      <c r="Y252" s="149">
        <f t="shared" si="164"/>
        <v>0</v>
      </c>
      <c r="Z252" s="149">
        <f t="shared" si="164"/>
        <v>0</v>
      </c>
      <c r="AA252" s="149">
        <f t="shared" si="164"/>
        <v>-0.34120329999999655</v>
      </c>
      <c r="AB252" s="149">
        <f t="shared" si="164"/>
        <v>0</v>
      </c>
      <c r="AC252" s="149">
        <f t="shared" si="164"/>
        <v>0</v>
      </c>
      <c r="AD252" s="149">
        <f t="shared" si="164"/>
        <v>-0.34576689000000016</v>
      </c>
      <c r="AE252" s="149">
        <f t="shared" si="164"/>
        <v>0</v>
      </c>
      <c r="AF252" s="526">
        <f>SUM(T252:AE252)</f>
        <v>-1.1944405463200027</v>
      </c>
      <c r="AG252" s="149">
        <f>SUM(AG138:AG141)-SUM(AE138:AE141)</f>
        <v>-2.0282224503225024</v>
      </c>
      <c r="AH252" s="149">
        <f>SUM(AH138:AH141)-SUM(AG138:AG141)</f>
        <v>-1.672792134025002</v>
      </c>
      <c r="AI252" s="149">
        <f t="shared" ref="AI252:AQ252" si="165">SUM(AI138:AI141)-SUM(AH138:AH141)</f>
        <v>-0.69304663052124482</v>
      </c>
      <c r="AJ252" s="149">
        <f t="shared" si="165"/>
        <v>-0.81315861656375432</v>
      </c>
      <c r="AK252" s="149">
        <f t="shared" si="165"/>
        <v>-0.94009026927875539</v>
      </c>
      <c r="AL252" s="149">
        <f t="shared" si="165"/>
        <v>-1.0744815939849985</v>
      </c>
      <c r="AM252" s="149">
        <f t="shared" si="165"/>
        <v>-1.2167571661962526</v>
      </c>
      <c r="AN252" s="149">
        <f t="shared" si="165"/>
        <v>-1.3671165989112453</v>
      </c>
      <c r="AO252" s="149">
        <f t="shared" si="165"/>
        <v>-1.5261805094675012</v>
      </c>
      <c r="AP252" s="149">
        <f t="shared" si="165"/>
        <v>-1.6943137658199987</v>
      </c>
      <c r="AQ252" s="149">
        <f t="shared" si="165"/>
        <v>-1.8715969655099975</v>
      </c>
      <c r="AR252" s="149"/>
      <c r="AS252" s="149"/>
    </row>
    <row r="253" spans="1:45" s="150" customFormat="1">
      <c r="A253" s="422">
        <f t="shared" si="114"/>
        <v>251</v>
      </c>
      <c r="B253" s="136" t="s">
        <v>320</v>
      </c>
      <c r="C253" s="149"/>
      <c r="D253" s="149"/>
      <c r="E253" s="149"/>
      <c r="F253" s="526"/>
      <c r="G253" s="149">
        <f>(G151-E151)+(G152-E152)</f>
        <v>6.7011482422333586</v>
      </c>
      <c r="H253" s="149">
        <f>(H151-G151)+(H152-G152)</f>
        <v>-5.102932573534865</v>
      </c>
      <c r="I253" s="149">
        <f t="shared" ref="I253:R253" si="166">(I151-H151)+(I152-H152)</f>
        <v>2.3758058749919755</v>
      </c>
      <c r="J253" s="149">
        <f t="shared" si="166"/>
        <v>-4.923047149272648</v>
      </c>
      <c r="K253" s="149">
        <f t="shared" si="166"/>
        <v>1.667246946303834</v>
      </c>
      <c r="L253" s="149">
        <f t="shared" si="166"/>
        <v>1.866015976561016</v>
      </c>
      <c r="M253" s="149">
        <f t="shared" si="166"/>
        <v>3.8427436165593605</v>
      </c>
      <c r="N253" s="149">
        <f t="shared" si="166"/>
        <v>-1.1766549680541729</v>
      </c>
      <c r="O253" s="149">
        <f t="shared" si="166"/>
        <v>-11.819183105175824</v>
      </c>
      <c r="P253" s="149">
        <f t="shared" si="166"/>
        <v>0.35261161258546281</v>
      </c>
      <c r="Q253" s="149">
        <f t="shared" si="166"/>
        <v>-0.11638009488073919</v>
      </c>
      <c r="R253" s="149">
        <f t="shared" si="166"/>
        <v>3.8569278275097076</v>
      </c>
      <c r="S253" s="526">
        <f t="shared" ref="S253:S260" si="167">SUM(G253:R253)</f>
        <v>-2.4756977941735343</v>
      </c>
      <c r="T253" s="149">
        <f>(T151-R151)+(T152-R152)</f>
        <v>2.5469056098825931</v>
      </c>
      <c r="U253" s="149">
        <f t="shared" ref="U253:AE253" si="168">(U151-T151)+(U152-T152)</f>
        <v>-4.5868179413653962</v>
      </c>
      <c r="V253" s="149">
        <f t="shared" si="168"/>
        <v>-1.631861655776035</v>
      </c>
      <c r="W253" s="149">
        <f t="shared" si="168"/>
        <v>-3.7579057657593538</v>
      </c>
      <c r="X253" s="149">
        <f t="shared" si="168"/>
        <v>1.7851392654081337</v>
      </c>
      <c r="Y253" s="149">
        <f t="shared" si="168"/>
        <v>4.0326637628107136</v>
      </c>
      <c r="Z253" s="149">
        <f t="shared" si="168"/>
        <v>2.1165306376882356</v>
      </c>
      <c r="AA253" s="149">
        <f t="shared" si="168"/>
        <v>0.71968244097111267</v>
      </c>
      <c r="AB253" s="149">
        <f t="shared" si="168"/>
        <v>-4.0631861404385674</v>
      </c>
      <c r="AC253" s="149">
        <f t="shared" si="168"/>
        <v>0.24759260162752383</v>
      </c>
      <c r="AD253" s="149">
        <f t="shared" si="168"/>
        <v>-0.14629519911168387</v>
      </c>
      <c r="AE253" s="149">
        <f t="shared" si="168"/>
        <v>3.8588806805625566</v>
      </c>
      <c r="AF253" s="526">
        <f t="shared" ref="AF253:AF259" si="169">SUM(T253:AE253)</f>
        <v>1.1213282964998328</v>
      </c>
      <c r="AG253" s="149">
        <f>(AG151-AE151)+(AG152-AE152)</f>
        <v>-1.288906839428904</v>
      </c>
      <c r="AH253" s="149">
        <f>(AH151-AG151)+(AH152-AG152)</f>
        <v>1.3027298310893016</v>
      </c>
      <c r="AI253" s="149">
        <f t="shared" ref="AI253:AQ253" si="170">(AI151-AH151)+(AI152-AH152)</f>
        <v>1.0297978061244564</v>
      </c>
      <c r="AJ253" s="149">
        <f t="shared" si="170"/>
        <v>1.3667894594583032</v>
      </c>
      <c r="AK253" s="149">
        <f t="shared" si="170"/>
        <v>13.200183130506772</v>
      </c>
      <c r="AL253" s="149">
        <f t="shared" si="170"/>
        <v>4.1385667806597155</v>
      </c>
      <c r="AM253" s="149">
        <f t="shared" si="170"/>
        <v>0.778009228811257</v>
      </c>
      <c r="AN253" s="149">
        <f t="shared" si="170"/>
        <v>2.9032203510048618</v>
      </c>
      <c r="AO253" s="149">
        <f t="shared" si="170"/>
        <v>0.96003185647988687</v>
      </c>
      <c r="AP253" s="149">
        <f t="shared" si="170"/>
        <v>3.259916648513439</v>
      </c>
      <c r="AQ253" s="149">
        <f t="shared" si="170"/>
        <v>2.4271937485071504</v>
      </c>
      <c r="AR253" s="149"/>
      <c r="AS253" s="149"/>
    </row>
    <row r="254" spans="1:45" s="150" customFormat="1">
      <c r="A254" s="422">
        <f t="shared" si="114"/>
        <v>252</v>
      </c>
      <c r="B254" s="136" t="s">
        <v>326</v>
      </c>
      <c r="C254" s="149"/>
      <c r="D254" s="149"/>
      <c r="E254" s="149"/>
      <c r="F254" s="526"/>
      <c r="G254" s="149">
        <f>G154-E154</f>
        <v>5.4710642860801073E-2</v>
      </c>
      <c r="H254" s="149">
        <f>H154-G154</f>
        <v>5.5646023364399611E-2</v>
      </c>
      <c r="I254" s="149">
        <f>I154-H154</f>
        <v>5.5224475912762472E-2</v>
      </c>
      <c r="J254" s="149">
        <f t="shared" ref="J254:R254" si="171">J154-I154</f>
        <v>5.6618970900924381E-2</v>
      </c>
      <c r="K254" s="149">
        <f t="shared" si="171"/>
        <v>4.7311827427130027E-2</v>
      </c>
      <c r="L254" s="149">
        <f t="shared" si="171"/>
        <v>5.5737412435732381E-2</v>
      </c>
      <c r="M254" s="149">
        <f t="shared" si="171"/>
        <v>5.3566285135797642E-2</v>
      </c>
      <c r="N254" s="149">
        <f t="shared" si="171"/>
        <v>5.6041226561760027E-2</v>
      </c>
      <c r="O254" s="149">
        <f t="shared" si="171"/>
        <v>5.9595561960176013E-2</v>
      </c>
      <c r="P254" s="149">
        <f t="shared" si="171"/>
        <v>5.948004485162528E-2</v>
      </c>
      <c r="Q254" s="149">
        <f t="shared" si="171"/>
        <v>5.9763108342242077E-2</v>
      </c>
      <c r="R254" s="149">
        <f t="shared" si="171"/>
        <v>5.9823772355926508E-2</v>
      </c>
      <c r="S254" s="526">
        <f t="shared" si="167"/>
        <v>0.67351935210927749</v>
      </c>
      <c r="T254" s="149">
        <f>T154-R154</f>
        <v>6.1474977496740024E-2</v>
      </c>
      <c r="U254" s="149">
        <f t="shared" ref="U254:AE254" si="172">U154-T154</f>
        <v>6.1893566448205206E-2</v>
      </c>
      <c r="V254" s="149">
        <f t="shared" si="172"/>
        <v>6.2058795608795236E-2</v>
      </c>
      <c r="W254" s="149">
        <f t="shared" si="172"/>
        <v>6.2468176759370664E-2</v>
      </c>
      <c r="X254" s="149">
        <f t="shared" si="172"/>
        <v>6.2700863669284956E-2</v>
      </c>
      <c r="Y254" s="149">
        <f t="shared" si="172"/>
        <v>6.2447921997272005E-2</v>
      </c>
      <c r="Z254" s="149">
        <f t="shared" si="172"/>
        <v>6.2503789292346568E-2</v>
      </c>
      <c r="AA254" s="149">
        <f t="shared" si="172"/>
        <v>6.2681160872312347E-2</v>
      </c>
      <c r="AB254" s="149">
        <f t="shared" si="172"/>
        <v>6.2913394572287729E-2</v>
      </c>
      <c r="AC254" s="149">
        <f t="shared" si="172"/>
        <v>6.2900536427200393E-2</v>
      </c>
      <c r="AD254" s="149">
        <f t="shared" si="172"/>
        <v>6.3157888314606225E-2</v>
      </c>
      <c r="AE254" s="149">
        <f t="shared" si="172"/>
        <v>6.3270255794144248E-2</v>
      </c>
      <c r="AF254" s="526">
        <f t="shared" si="169"/>
        <v>0.7504713272525656</v>
      </c>
      <c r="AG254" s="149">
        <f>AG154-AE154</f>
        <v>0.76548946125089401</v>
      </c>
      <c r="AH254" s="149">
        <f t="shared" ref="AH254:AQ254" si="173">AH154-AG154</f>
        <v>0.79800544988023248</v>
      </c>
      <c r="AI254" s="149">
        <f t="shared" si="173"/>
        <v>0.8209150742456508</v>
      </c>
      <c r="AJ254" s="149">
        <f t="shared" si="173"/>
        <v>0.85157070105332622</v>
      </c>
      <c r="AK254" s="149">
        <f t="shared" si="173"/>
        <v>0.87085131382407255</v>
      </c>
      <c r="AL254" s="149">
        <f t="shared" si="173"/>
        <v>0.90184345060427162</v>
      </c>
      <c r="AM254" s="149">
        <f t="shared" si="173"/>
        <v>0.93127291131599677</v>
      </c>
      <c r="AN254" s="149">
        <f t="shared" si="173"/>
        <v>0.96263132728379475</v>
      </c>
      <c r="AO254" s="149">
        <f t="shared" si="173"/>
        <v>0.99320669912210491</v>
      </c>
      <c r="AP254" s="149">
        <f t="shared" si="173"/>
        <v>1.0251414690044029</v>
      </c>
      <c r="AQ254" s="149">
        <f t="shared" si="173"/>
        <v>1.0570419480195525</v>
      </c>
      <c r="AR254" s="149"/>
      <c r="AS254" s="149"/>
    </row>
    <row r="255" spans="1:45" s="150" customFormat="1">
      <c r="A255" s="422">
        <f t="shared" si="114"/>
        <v>253</v>
      </c>
      <c r="B255" s="136" t="s">
        <v>481</v>
      </c>
      <c r="C255" s="149"/>
      <c r="D255" s="149"/>
      <c r="E255" s="149"/>
      <c r="F255" s="526"/>
      <c r="G255" s="149">
        <f>G155-E155+Debt!P134</f>
        <v>-0.56026976999999945</v>
      </c>
      <c r="H255" s="149">
        <f>H155-G155+Debt!Q134</f>
        <v>-0.29532100000000022</v>
      </c>
      <c r="I255" s="149">
        <f>I155-H155+Debt!R134</f>
        <v>-0.29532099999999972</v>
      </c>
      <c r="J255" s="149">
        <f>J155-I155+Debt!S134</f>
        <v>-0.29532100000000017</v>
      </c>
      <c r="K255" s="149">
        <f>K155-J155+Debt!T134</f>
        <v>-0.29532099999999994</v>
      </c>
      <c r="L255" s="149">
        <f>L155-K155+Debt!U134</f>
        <v>-0.29532099999999994</v>
      </c>
      <c r="M255" s="149">
        <f>M155-L155+Debt!V134</f>
        <v>-0.29532099999999972</v>
      </c>
      <c r="N255" s="149">
        <f>N155-M155+Debt!W134</f>
        <v>-0.29532099999999994</v>
      </c>
      <c r="O255" s="149">
        <f>O155-N155+Debt!X134</f>
        <v>-0.29532099999999994</v>
      </c>
      <c r="P255" s="149">
        <f>P155-O155+Debt!Y134</f>
        <v>-0.29532100000000006</v>
      </c>
      <c r="Q255" s="149">
        <f>Q155-P155+Debt!Z134</f>
        <v>-0.29532099999999994</v>
      </c>
      <c r="R255" s="149">
        <f>R155-Q155+Debt!AA134</f>
        <v>3.6066900000000004</v>
      </c>
      <c r="S255" s="526">
        <f t="shared" si="167"/>
        <v>9.3210230000001282E-2</v>
      </c>
      <c r="T255" s="149">
        <f>T155-R155+Debt!AC134</f>
        <v>-0.32558900000000035</v>
      </c>
      <c r="U255" s="149">
        <f>U155-T155+Debt!AD134</f>
        <v>-0.32512700000000017</v>
      </c>
      <c r="V255" s="149">
        <f>V155-U155+Debt!AE134</f>
        <v>-0.32512700000000017</v>
      </c>
      <c r="W255" s="149">
        <f>W155-V155+Debt!AF134</f>
        <v>-0.32512700000000017</v>
      </c>
      <c r="X255" s="149">
        <f>X155-W155+Debt!AG134</f>
        <v>-0.32512700000000017</v>
      </c>
      <c r="Y255" s="149">
        <f>Y155-X155+Debt!AH134</f>
        <v>-0.32512700000000017</v>
      </c>
      <c r="Z255" s="149">
        <f>Z155-Y155+Debt!AI134</f>
        <v>-0.32512699999999972</v>
      </c>
      <c r="AA255" s="149">
        <f>AA155-Z155+Debt!AJ134</f>
        <v>-0.32512699999999994</v>
      </c>
      <c r="AB255" s="149">
        <f>AB155-AA155+Debt!AK134</f>
        <v>-0.32512699999999994</v>
      </c>
      <c r="AC255" s="149">
        <f>AC155-AB155+Debt!AL134</f>
        <v>-0.32512700000000005</v>
      </c>
      <c r="AD255" s="149">
        <f>AD155-AC155+Debt!AM134</f>
        <v>-0.32512699999999994</v>
      </c>
      <c r="AE255" s="149">
        <f>AE155-AD155+Debt!AN134</f>
        <v>3.7718790000000011</v>
      </c>
      <c r="AF255" s="526">
        <f t="shared" si="169"/>
        <v>0.19501999999999953</v>
      </c>
      <c r="AG255" s="149">
        <f>AG155-AE155+Debt!AP134</f>
        <v>0.20486100000000107</v>
      </c>
      <c r="AH255" s="149">
        <f>AH155-AG155+Debt!AQ134</f>
        <v>0.12905778000000012</v>
      </c>
      <c r="AI255" s="149">
        <f>AI155-AH155+Debt!AR134</f>
        <v>0.1329295133999997</v>
      </c>
      <c r="AJ255" s="149">
        <f>AJ155-AI155+Debt!AS134</f>
        <v>0.13691739880199982</v>
      </c>
      <c r="AK255" s="149">
        <f>AK155-AJ155+Debt!AT134</f>
        <v>0.14102492076606143</v>
      </c>
      <c r="AL255" s="149">
        <f>AL155-AK155+Debt!AU134</f>
        <v>0.1452556683890398</v>
      </c>
      <c r="AM255" s="149">
        <f>AM155-AL155+Debt!AV134</f>
        <v>0.149613338440715</v>
      </c>
      <c r="AN255" s="149">
        <f>AN155-AM155+Debt!AW134</f>
        <v>0.15410173859393428</v>
      </c>
      <c r="AO255" s="149">
        <f>AO155-AN155+Debt!AX134</f>
        <v>0.15872479075175239</v>
      </c>
      <c r="AP255" s="149">
        <f>AP155-AO155+Debt!AY134</f>
        <v>0.16348653447430639</v>
      </c>
      <c r="AQ255" s="149">
        <f>AQ155-AP155+Debt!AZ134</f>
        <v>0.16839113050853349</v>
      </c>
      <c r="AR255" s="149"/>
      <c r="AS255" s="149"/>
    </row>
    <row r="256" spans="1:45" s="150" customFormat="1">
      <c r="A256" s="422">
        <f t="shared" si="114"/>
        <v>254</v>
      </c>
      <c r="B256" s="136" t="s">
        <v>321</v>
      </c>
      <c r="C256" s="149"/>
      <c r="D256" s="149"/>
      <c r="E256" s="149"/>
      <c r="F256" s="526"/>
      <c r="G256" s="149">
        <f>G156-E156</f>
        <v>0</v>
      </c>
      <c r="H256" s="149">
        <f>H156-G156</f>
        <v>0</v>
      </c>
      <c r="I256" s="149">
        <f t="shared" ref="I256:R256" si="174">I156-H156</f>
        <v>0</v>
      </c>
      <c r="J256" s="149">
        <f t="shared" si="174"/>
        <v>0</v>
      </c>
      <c r="K256" s="149">
        <f t="shared" si="174"/>
        <v>0</v>
      </c>
      <c r="L256" s="149">
        <f t="shared" si="174"/>
        <v>0</v>
      </c>
      <c r="M256" s="149">
        <f t="shared" si="174"/>
        <v>0</v>
      </c>
      <c r="N256" s="149">
        <f t="shared" si="174"/>
        <v>0</v>
      </c>
      <c r="O256" s="149">
        <f t="shared" si="174"/>
        <v>0</v>
      </c>
      <c r="P256" s="149">
        <f t="shared" si="174"/>
        <v>0</v>
      </c>
      <c r="Q256" s="149">
        <f t="shared" si="174"/>
        <v>0</v>
      </c>
      <c r="R256" s="149">
        <f t="shared" si="174"/>
        <v>0</v>
      </c>
      <c r="S256" s="526">
        <f t="shared" si="167"/>
        <v>0</v>
      </c>
      <c r="T256" s="149">
        <f>T156-R156</f>
        <v>0</v>
      </c>
      <c r="U256" s="149">
        <f t="shared" ref="U256:AE256" si="175">U156-T156</f>
        <v>0</v>
      </c>
      <c r="V256" s="149">
        <f t="shared" si="175"/>
        <v>0</v>
      </c>
      <c r="W256" s="149">
        <f t="shared" si="175"/>
        <v>0</v>
      </c>
      <c r="X256" s="149">
        <f t="shared" si="175"/>
        <v>0</v>
      </c>
      <c r="Y256" s="149">
        <f t="shared" si="175"/>
        <v>0</v>
      </c>
      <c r="Z256" s="149">
        <f t="shared" si="175"/>
        <v>0</v>
      </c>
      <c r="AA256" s="149">
        <f t="shared" si="175"/>
        <v>0</v>
      </c>
      <c r="AB256" s="149">
        <f t="shared" si="175"/>
        <v>0</v>
      </c>
      <c r="AC256" s="149">
        <f t="shared" si="175"/>
        <v>0</v>
      </c>
      <c r="AD256" s="149">
        <f t="shared" si="175"/>
        <v>0</v>
      </c>
      <c r="AE256" s="149">
        <f t="shared" si="175"/>
        <v>0</v>
      </c>
      <c r="AF256" s="526">
        <f t="shared" si="169"/>
        <v>0</v>
      </c>
      <c r="AG256" s="149">
        <f>AG156-AE156</f>
        <v>0</v>
      </c>
      <c r="AH256" s="149">
        <f t="shared" ref="AH256:AQ256" si="176">AH156-AG156</f>
        <v>0</v>
      </c>
      <c r="AI256" s="149">
        <f t="shared" si="176"/>
        <v>0</v>
      </c>
      <c r="AJ256" s="149">
        <f t="shared" si="176"/>
        <v>0</v>
      </c>
      <c r="AK256" s="149">
        <f t="shared" si="176"/>
        <v>0</v>
      </c>
      <c r="AL256" s="149">
        <f t="shared" si="176"/>
        <v>0</v>
      </c>
      <c r="AM256" s="149">
        <f t="shared" si="176"/>
        <v>0</v>
      </c>
      <c r="AN256" s="149">
        <f t="shared" si="176"/>
        <v>0</v>
      </c>
      <c r="AO256" s="149">
        <f t="shared" si="176"/>
        <v>0</v>
      </c>
      <c r="AP256" s="149">
        <f t="shared" si="176"/>
        <v>0</v>
      </c>
      <c r="AQ256" s="149">
        <f t="shared" si="176"/>
        <v>0</v>
      </c>
      <c r="AR256" s="149"/>
      <c r="AS256" s="149"/>
    </row>
    <row r="257" spans="1:45" s="150" customFormat="1">
      <c r="A257" s="422">
        <f t="shared" si="114"/>
        <v>255</v>
      </c>
      <c r="B257" s="136" t="s">
        <v>322</v>
      </c>
      <c r="C257" s="149"/>
      <c r="D257" s="149"/>
      <c r="E257" s="149"/>
      <c r="F257" s="526"/>
      <c r="G257" s="149">
        <f>-(G174-E174)</f>
        <v>4.6371805086843416</v>
      </c>
      <c r="H257" s="149">
        <f>-(H174-G174)</f>
        <v>1.4245047511308186</v>
      </c>
      <c r="I257" s="149">
        <f t="shared" ref="I257:R257" si="177">-(I174-H174)</f>
        <v>-3.6588272859815376</v>
      </c>
      <c r="J257" s="149">
        <f t="shared" si="177"/>
        <v>0.65802546596786371</v>
      </c>
      <c r="K257" s="149">
        <f t="shared" si="177"/>
        <v>-3.8430496184360692</v>
      </c>
      <c r="L257" s="149">
        <f t="shared" si="177"/>
        <v>5.4813348414362615</v>
      </c>
      <c r="M257" s="149">
        <f t="shared" si="177"/>
        <v>-0.75336249846141001</v>
      </c>
      <c r="N257" s="149">
        <f t="shared" si="177"/>
        <v>0.65994967558460971</v>
      </c>
      <c r="O257" s="149">
        <f t="shared" si="177"/>
        <v>5.4599568286018396</v>
      </c>
      <c r="P257" s="149">
        <f t="shared" si="177"/>
        <v>-2.0196589722069973</v>
      </c>
      <c r="Q257" s="149">
        <f t="shared" si="177"/>
        <v>2.5772406389770985</v>
      </c>
      <c r="R257" s="149">
        <f t="shared" si="177"/>
        <v>2.1780848765451211</v>
      </c>
      <c r="S257" s="526">
        <f t="shared" si="167"/>
        <v>12.80137921184194</v>
      </c>
      <c r="T257" s="149">
        <f>-(T174-R174)</f>
        <v>-3.1821774153275157</v>
      </c>
      <c r="U257" s="149">
        <f t="shared" ref="U257:AE257" si="178">-(U174-T174)</f>
        <v>1.8125582994497975</v>
      </c>
      <c r="V257" s="149">
        <f t="shared" si="178"/>
        <v>-4.1192207999055732</v>
      </c>
      <c r="W257" s="149">
        <f t="shared" si="178"/>
        <v>-1.6801911680321098</v>
      </c>
      <c r="X257" s="149">
        <f t="shared" si="178"/>
        <v>1.0655751380209892</v>
      </c>
      <c r="Y257" s="149">
        <f t="shared" si="178"/>
        <v>3.0698880158676971</v>
      </c>
      <c r="Z257" s="149">
        <f t="shared" si="178"/>
        <v>0.20478475546781993</v>
      </c>
      <c r="AA257" s="149">
        <f t="shared" si="178"/>
        <v>-0.51354478304556039</v>
      </c>
      <c r="AB257" s="149">
        <f t="shared" si="178"/>
        <v>0.72527914922534009</v>
      </c>
      <c r="AC257" s="149">
        <f t="shared" si="178"/>
        <v>-1.9725744350070116</v>
      </c>
      <c r="AD257" s="149">
        <f t="shared" si="178"/>
        <v>2.567441948589007</v>
      </c>
      <c r="AE257" s="149">
        <f t="shared" si="178"/>
        <v>1.2972951870708656</v>
      </c>
      <c r="AF257" s="526">
        <f t="shared" si="169"/>
        <v>-0.72488610762625427</v>
      </c>
      <c r="AG257" s="149">
        <f>-(AG174-AE174)</f>
        <v>-3.4126582713870093</v>
      </c>
      <c r="AH257" s="149">
        <f t="shared" ref="AH257:AQ257" si="179">-(AH174-AG174)</f>
        <v>-1.3593828885889536</v>
      </c>
      <c r="AI257" s="149">
        <f t="shared" si="179"/>
        <v>-0.7982009637069396</v>
      </c>
      <c r="AJ257" s="149">
        <f t="shared" si="179"/>
        <v>-0.84934639973930004</v>
      </c>
      <c r="AK257" s="149">
        <f t="shared" si="179"/>
        <v>-8.0729936712412886</v>
      </c>
      <c r="AL257" s="149">
        <f t="shared" si="179"/>
        <v>-2.5025253137919492</v>
      </c>
      <c r="AM257" s="149">
        <f t="shared" si="179"/>
        <v>-0.69264739092712091</v>
      </c>
      <c r="AN257" s="149">
        <f t="shared" si="179"/>
        <v>-1.8490015330338423</v>
      </c>
      <c r="AO257" s="149">
        <f t="shared" si="179"/>
        <v>-0.71412234936611441</v>
      </c>
      <c r="AP257" s="149">
        <f t="shared" si="179"/>
        <v>-1.3096338108401469</v>
      </c>
      <c r="AQ257" s="149">
        <f t="shared" si="179"/>
        <v>-1.5317972783056462</v>
      </c>
      <c r="AR257" s="149"/>
      <c r="AS257" s="149"/>
    </row>
    <row r="258" spans="1:45" s="150" customFormat="1">
      <c r="A258" s="422">
        <f t="shared" si="114"/>
        <v>256</v>
      </c>
      <c r="B258" s="136" t="s">
        <v>323</v>
      </c>
      <c r="C258" s="149"/>
      <c r="D258" s="149"/>
      <c r="E258" s="149"/>
      <c r="F258" s="526"/>
      <c r="G258" s="149">
        <f>-(G176-E176)</f>
        <v>-0.32430899999999996</v>
      </c>
      <c r="H258" s="149">
        <f>-(H176-G176)</f>
        <v>-0.32430899999999996</v>
      </c>
      <c r="I258" s="149">
        <f t="shared" ref="I258:R258" si="180">-(I176-H176)</f>
        <v>-0.32430899999999996</v>
      </c>
      <c r="J258" s="149">
        <f t="shared" si="180"/>
        <v>-0.32430900000000018</v>
      </c>
      <c r="K258" s="149">
        <f t="shared" si="180"/>
        <v>-0.32430899999999996</v>
      </c>
      <c r="L258" s="149">
        <f t="shared" si="180"/>
        <v>-0.32430899999999996</v>
      </c>
      <c r="M258" s="149">
        <f t="shared" si="180"/>
        <v>-0.32430899999999996</v>
      </c>
      <c r="N258" s="149">
        <f t="shared" si="180"/>
        <v>1.810867</v>
      </c>
      <c r="O258" s="149">
        <f t="shared" si="180"/>
        <v>-0.32430899999999996</v>
      </c>
      <c r="P258" s="149">
        <f t="shared" si="180"/>
        <v>-0.32430899999999996</v>
      </c>
      <c r="Q258" s="149">
        <f t="shared" si="180"/>
        <v>0.24192900000000006</v>
      </c>
      <c r="R258" s="149">
        <f t="shared" si="180"/>
        <v>0.2859029999999998</v>
      </c>
      <c r="S258" s="526">
        <f t="shared" si="167"/>
        <v>-0.58008200000000021</v>
      </c>
      <c r="T258" s="149">
        <f>-(T176-R176)</f>
        <v>0.22945900000000008</v>
      </c>
      <c r="U258" s="149">
        <f t="shared" ref="U258:AE258" si="181">-(U176-T176)</f>
        <v>-0.35063</v>
      </c>
      <c r="V258" s="149">
        <f t="shared" si="181"/>
        <v>-0.35063</v>
      </c>
      <c r="W258" s="149">
        <f t="shared" si="181"/>
        <v>-0.35063000000000022</v>
      </c>
      <c r="X258" s="149">
        <f t="shared" si="181"/>
        <v>-0.35062999999999978</v>
      </c>
      <c r="Y258" s="149">
        <f t="shared" si="181"/>
        <v>-0.35062999999999978</v>
      </c>
      <c r="Z258" s="149">
        <f t="shared" si="181"/>
        <v>-0.35062999999999978</v>
      </c>
      <c r="AA258" s="149">
        <f t="shared" si="181"/>
        <v>1.9303860000000004</v>
      </c>
      <c r="AB258" s="149">
        <f t="shared" si="181"/>
        <v>-0.35063</v>
      </c>
      <c r="AC258" s="149">
        <f t="shared" si="181"/>
        <v>-0.35063</v>
      </c>
      <c r="AD258" s="149">
        <f t="shared" si="181"/>
        <v>0.28630399999999989</v>
      </c>
      <c r="AE258" s="149">
        <f t="shared" si="181"/>
        <v>0.20608200000000032</v>
      </c>
      <c r="AF258" s="526">
        <f t="shared" si="169"/>
        <v>-0.15280899999999886</v>
      </c>
      <c r="AG258" s="149">
        <f>-(AG176-AE176)</f>
        <v>4.1305999999998733E-2</v>
      </c>
      <c r="AH258" s="149">
        <f t="shared" ref="AH258:AQ258" si="182">-(AH176-AG176)</f>
        <v>-4.1948999999999792E-2</v>
      </c>
      <c r="AI258" s="149">
        <f t="shared" si="182"/>
        <v>0</v>
      </c>
      <c r="AJ258" s="149">
        <f t="shared" si="182"/>
        <v>0</v>
      </c>
      <c r="AK258" s="149">
        <f t="shared" si="182"/>
        <v>0</v>
      </c>
      <c r="AL258" s="149">
        <f t="shared" si="182"/>
        <v>0</v>
      </c>
      <c r="AM258" s="149">
        <f t="shared" si="182"/>
        <v>0</v>
      </c>
      <c r="AN258" s="149">
        <f t="shared" si="182"/>
        <v>0</v>
      </c>
      <c r="AO258" s="149">
        <f t="shared" si="182"/>
        <v>0</v>
      </c>
      <c r="AP258" s="149">
        <f t="shared" si="182"/>
        <v>0</v>
      </c>
      <c r="AQ258" s="149">
        <f t="shared" si="182"/>
        <v>0</v>
      </c>
      <c r="AR258" s="149"/>
      <c r="AS258" s="149"/>
    </row>
    <row r="259" spans="1:45" s="150" customFormat="1">
      <c r="A259" s="422">
        <f t="shared" si="114"/>
        <v>257</v>
      </c>
      <c r="B259" s="136" t="s">
        <v>327</v>
      </c>
      <c r="C259" s="149"/>
      <c r="D259" s="149"/>
      <c r="E259" s="149"/>
      <c r="F259" s="526"/>
      <c r="G259" s="149">
        <f>-((G178-E178)+(G185-E185))-0.26331221</f>
        <v>-0.31724017694999901</v>
      </c>
      <c r="H259" s="149">
        <f t="shared" ref="H259:R259" si="183">-((H178-G178)+(H185-G185))</f>
        <v>-5.4062786867373092E-2</v>
      </c>
      <c r="I259" s="149">
        <f t="shared" si="183"/>
        <v>-5.4197943834541462E-2</v>
      </c>
      <c r="J259" s="149">
        <f t="shared" si="183"/>
        <v>-5.4333438694129654E-2</v>
      </c>
      <c r="K259" s="149">
        <f t="shared" si="183"/>
        <v>-5.4469272290862847E-2</v>
      </c>
      <c r="L259" s="149">
        <f t="shared" si="183"/>
        <v>-5.4605445471590741E-2</v>
      </c>
      <c r="M259" s="149">
        <f t="shared" si="183"/>
        <v>-5.4741959085269798E-2</v>
      </c>
      <c r="N259" s="149">
        <f t="shared" si="183"/>
        <v>-5.4878813982984553E-2</v>
      </c>
      <c r="O259" s="149">
        <f t="shared" si="183"/>
        <v>-5.5016011017940514E-2</v>
      </c>
      <c r="P259" s="149">
        <f t="shared" si="183"/>
        <v>-5.5153551045485472E-2</v>
      </c>
      <c r="Q259" s="149">
        <f t="shared" si="183"/>
        <v>-5.5291434923098848E-2</v>
      </c>
      <c r="R259" s="149">
        <f t="shared" si="183"/>
        <v>-5.5429663510405902E-2</v>
      </c>
      <c r="S259" s="526">
        <f t="shared" si="167"/>
        <v>-0.91942049767368195</v>
      </c>
      <c r="T259" s="149">
        <f>-((T178-R178)+(T185-R185))</f>
        <v>-5.5568237669181286E-2</v>
      </c>
      <c r="U259" s="149">
        <f t="shared" ref="U259:AE259" si="184">-((U178-T178)+(U185-T185))</f>
        <v>-5.5707158263356149E-2</v>
      </c>
      <c r="V259" s="149">
        <f t="shared" si="184"/>
        <v>-5.5846426159014584E-2</v>
      </c>
      <c r="W259" s="149">
        <f t="shared" si="184"/>
        <v>-5.5986042224411392E-2</v>
      </c>
      <c r="X259" s="149">
        <f t="shared" si="184"/>
        <v>-5.6126007329972083E-2</v>
      </c>
      <c r="Y259" s="149">
        <f t="shared" si="184"/>
        <v>-5.6266322348296427E-2</v>
      </c>
      <c r="Z259" s="149">
        <f t="shared" si="184"/>
        <v>-5.6406988154169113E-2</v>
      </c>
      <c r="AA259" s="149">
        <f t="shared" si="184"/>
        <v>-5.6548005624552644E-2</v>
      </c>
      <c r="AB259" s="149">
        <f t="shared" si="184"/>
        <v>-5.6689375638615758E-2</v>
      </c>
      <c r="AC259" s="149">
        <f t="shared" si="184"/>
        <v>-5.6831099077712111E-2</v>
      </c>
      <c r="AD259" s="149">
        <f t="shared" si="184"/>
        <v>-5.6973176825405147E-2</v>
      </c>
      <c r="AE259" s="149">
        <f t="shared" si="184"/>
        <v>-5.7115609767468101E-2</v>
      </c>
      <c r="AF259" s="526">
        <f t="shared" si="169"/>
        <v>-0.67606444908215479</v>
      </c>
      <c r="AG259" s="149">
        <f>-((AG178-AE178)+(AG185-AE185))</f>
        <v>-0.68710078550267539</v>
      </c>
      <c r="AH259" s="149">
        <f t="shared" ref="AH259:AQ259" si="185">-((AH178-AG178)+(AH185-AG185))</f>
        <v>-0.70771380906775505</v>
      </c>
      <c r="AI259" s="149">
        <f t="shared" si="185"/>
        <v>-0.72894522333978884</v>
      </c>
      <c r="AJ259" s="149">
        <f t="shared" si="185"/>
        <v>-0.75081358003998133</v>
      </c>
      <c r="AK259" s="149">
        <f t="shared" si="185"/>
        <v>-0.77333798744118099</v>
      </c>
      <c r="AL259" s="149">
        <f t="shared" si="185"/>
        <v>-0.79653812706441585</v>
      </c>
      <c r="AM259" s="149">
        <f t="shared" si="185"/>
        <v>-0.82043427087635123</v>
      </c>
      <c r="AN259" s="149">
        <f t="shared" si="185"/>
        <v>-0.84504729900264053</v>
      </c>
      <c r="AO259" s="149">
        <f t="shared" si="185"/>
        <v>-0.87039871797271928</v>
      </c>
      <c r="AP259" s="149">
        <f t="shared" si="185"/>
        <v>-0.896510679511902</v>
      </c>
      <c r="AQ259" s="149">
        <f t="shared" si="185"/>
        <v>-0.92340599989725902</v>
      </c>
      <c r="AR259" s="149"/>
      <c r="AS259" s="149"/>
    </row>
    <row r="260" spans="1:45" ht="15.75" thickBot="1">
      <c r="A260" s="422">
        <f t="shared" si="114"/>
        <v>258</v>
      </c>
      <c r="B260" s="137" t="s">
        <v>131</v>
      </c>
      <c r="C260" s="152"/>
      <c r="D260" s="152"/>
      <c r="E260" s="393"/>
      <c r="F260" s="525"/>
      <c r="G260" s="152">
        <f t="shared" ref="G260:R260" si="186">SUM(G252:G259)</f>
        <v>10.191220446828503</v>
      </c>
      <c r="H260" s="152">
        <f t="shared" si="186"/>
        <v>-4.6115337398649388</v>
      </c>
      <c r="I260" s="152">
        <f t="shared" si="186"/>
        <v>-1.4391551926050909</v>
      </c>
      <c r="J260" s="152">
        <f t="shared" si="186"/>
        <v>-4.8736161510979912</v>
      </c>
      <c r="K260" s="152">
        <f t="shared" si="186"/>
        <v>-3.1218631869959692</v>
      </c>
      <c r="L260" s="152">
        <f t="shared" si="186"/>
        <v>6.7288527849614201</v>
      </c>
      <c r="M260" s="152">
        <f t="shared" si="186"/>
        <v>2.4685754441484788</v>
      </c>
      <c r="N260" s="152">
        <f t="shared" si="186"/>
        <v>0.6788597701092125</v>
      </c>
      <c r="O260" s="152">
        <f t="shared" si="186"/>
        <v>-6.9742767256317482</v>
      </c>
      <c r="P260" s="152">
        <f t="shared" si="186"/>
        <v>-2.2823508658153946</v>
      </c>
      <c r="Q260" s="152">
        <f t="shared" si="186"/>
        <v>2.0840694775155013</v>
      </c>
      <c r="R260" s="152">
        <f t="shared" si="186"/>
        <v>9.9319998129003491</v>
      </c>
      <c r="S260" s="525">
        <f t="shared" si="167"/>
        <v>8.780781874452332</v>
      </c>
      <c r="T260" s="152">
        <f t="shared" ref="T260:AE260" si="187">SUM(T252:T259)</f>
        <v>-0.72549506561736421</v>
      </c>
      <c r="U260" s="152">
        <f t="shared" si="187"/>
        <v>-3.7760862437307514</v>
      </c>
      <c r="V260" s="152">
        <f t="shared" si="187"/>
        <v>-6.2591414925518292</v>
      </c>
      <c r="W260" s="152">
        <f t="shared" si="187"/>
        <v>-6.1073717992565051</v>
      </c>
      <c r="X260" s="152">
        <f t="shared" si="187"/>
        <v>1.8448323197684333</v>
      </c>
      <c r="Y260" s="152">
        <f t="shared" si="187"/>
        <v>6.4329763783273863</v>
      </c>
      <c r="Z260" s="152">
        <f t="shared" si="187"/>
        <v>1.6516551942942335</v>
      </c>
      <c r="AA260" s="152">
        <f t="shared" si="187"/>
        <v>1.4763265131733159</v>
      </c>
      <c r="AB260" s="152">
        <f t="shared" si="187"/>
        <v>-4.0074399722795553</v>
      </c>
      <c r="AC260" s="152">
        <f t="shared" si="187"/>
        <v>-2.3946693960299994</v>
      </c>
      <c r="AD260" s="152">
        <f t="shared" si="187"/>
        <v>2.0427415709665242</v>
      </c>
      <c r="AE260" s="152">
        <f t="shared" si="187"/>
        <v>9.1402915136601006</v>
      </c>
      <c r="AF260" s="525">
        <f>SUM(T260:AE260)</f>
        <v>-0.68138047927601342</v>
      </c>
      <c r="AG260" s="152">
        <f t="shared" ref="AG260:AQ260" si="188">SUM(AG252:AG259)</f>
        <v>-6.4052318853901973</v>
      </c>
      <c r="AH260" s="152">
        <f t="shared" si="188"/>
        <v>-1.5520447707121763</v>
      </c>
      <c r="AI260" s="152">
        <f t="shared" si="188"/>
        <v>-0.23655042379786639</v>
      </c>
      <c r="AJ260" s="152">
        <f t="shared" si="188"/>
        <v>-5.8041037029406439E-2</v>
      </c>
      <c r="AK260" s="152">
        <f t="shared" si="188"/>
        <v>4.4256374371356806</v>
      </c>
      <c r="AL260" s="152">
        <f t="shared" si="188"/>
        <v>0.81212086481166335</v>
      </c>
      <c r="AM260" s="152">
        <f t="shared" si="188"/>
        <v>-0.870943349431756</v>
      </c>
      <c r="AN260" s="152">
        <f t="shared" si="188"/>
        <v>-4.1212014065137303E-2</v>
      </c>
      <c r="AO260" s="152">
        <f t="shared" si="188"/>
        <v>-0.99873823045259069</v>
      </c>
      <c r="AP260" s="152">
        <f t="shared" si="188"/>
        <v>0.54808639582010077</v>
      </c>
      <c r="AQ260" s="152">
        <f t="shared" si="188"/>
        <v>-0.67417341667766628</v>
      </c>
      <c r="AR260" s="149"/>
      <c r="AS260" s="149"/>
    </row>
    <row r="261" spans="1:45" ht="15.75" thickTop="1">
      <c r="A261" s="422">
        <f t="shared" si="114"/>
        <v>259</v>
      </c>
      <c r="B261" s="136"/>
      <c r="C261" s="149"/>
      <c r="D261" s="149"/>
      <c r="E261" s="149"/>
      <c r="F261" s="526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526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526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</row>
    <row r="262" spans="1:45">
      <c r="A262" s="422">
        <f t="shared" si="114"/>
        <v>260</v>
      </c>
      <c r="B262" s="137"/>
      <c r="C262" s="149"/>
      <c r="D262" s="149"/>
      <c r="E262" s="149"/>
      <c r="F262" s="526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526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526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</row>
    <row r="263" spans="1:45" ht="15.75">
      <c r="A263" s="422">
        <f t="shared" ref="A263:A326" si="189">A262+1</f>
        <v>261</v>
      </c>
      <c r="B263" s="159" t="s">
        <v>587</v>
      </c>
      <c r="C263" s="149"/>
      <c r="D263" s="149"/>
      <c r="E263" s="149"/>
      <c r="F263" s="526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526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526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</row>
    <row r="264" spans="1:45">
      <c r="A264" s="422">
        <f t="shared" si="189"/>
        <v>262</v>
      </c>
      <c r="B264" s="137"/>
      <c r="C264" s="149"/>
      <c r="D264" s="149"/>
      <c r="E264" s="149"/>
      <c r="F264" s="526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526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526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</row>
    <row r="265" spans="1:45" ht="15.75">
      <c r="A265" s="422">
        <f t="shared" si="189"/>
        <v>263</v>
      </c>
      <c r="B265" s="455" t="s">
        <v>600</v>
      </c>
      <c r="C265" s="149"/>
      <c r="D265" s="149"/>
      <c r="E265" s="149"/>
      <c r="F265" s="526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526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526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</row>
    <row r="266" spans="1:45">
      <c r="A266" s="422">
        <f t="shared" si="189"/>
        <v>264</v>
      </c>
      <c r="B266" s="140" t="s">
        <v>589</v>
      </c>
      <c r="C266" s="149"/>
      <c r="D266" s="149"/>
      <c r="E266" s="149"/>
      <c r="F266" s="526"/>
      <c r="G266" s="149">
        <f>G127</f>
        <v>3.9063415694116728</v>
      </c>
      <c r="H266" s="149">
        <f t="shared" ref="H266:AP266" si="190">H127</f>
        <v>1.7842724503579801</v>
      </c>
      <c r="I266" s="149">
        <f t="shared" si="190"/>
        <v>0.45753099716582879</v>
      </c>
      <c r="J266" s="149">
        <f t="shared" si="190"/>
        <v>-3.3998531121105633</v>
      </c>
      <c r="K266" s="149">
        <f t="shared" si="190"/>
        <v>-5.8573687101801681</v>
      </c>
      <c r="L266" s="149">
        <f t="shared" si="190"/>
        <v>0.86520400302119904</v>
      </c>
      <c r="M266" s="149">
        <f t="shared" si="190"/>
        <v>2.7485524742805718</v>
      </c>
      <c r="N266" s="149">
        <f t="shared" si="190"/>
        <v>2.7426875214673796</v>
      </c>
      <c r="O266" s="149">
        <f t="shared" si="190"/>
        <v>-0.14420289917154466</v>
      </c>
      <c r="P266" s="149">
        <f t="shared" si="190"/>
        <v>-2.4970378922993977</v>
      </c>
      <c r="Q266" s="149">
        <f t="shared" si="190"/>
        <v>0.38498363917544204</v>
      </c>
      <c r="R266" s="149">
        <f t="shared" si="190"/>
        <v>3.9652310465060441</v>
      </c>
      <c r="S266" s="526">
        <f>SUM(G266:R266)</f>
        <v>4.9563410876244447</v>
      </c>
      <c r="T266" s="149">
        <f t="shared" si="190"/>
        <v>5.1542174808029637</v>
      </c>
      <c r="U266" s="149">
        <f t="shared" si="190"/>
        <v>3.5472211054431866</v>
      </c>
      <c r="V266" s="149">
        <f t="shared" si="190"/>
        <v>0.64358061278814249</v>
      </c>
      <c r="W266" s="149">
        <f t="shared" si="190"/>
        <v>-6.650488563539998</v>
      </c>
      <c r="X266" s="149">
        <f t="shared" si="190"/>
        <v>-4.2200341661549565</v>
      </c>
      <c r="Y266" s="149">
        <f t="shared" si="190"/>
        <v>1.9088050186316321</v>
      </c>
      <c r="Z266" s="149">
        <f t="shared" si="190"/>
        <v>3.7245219874210251</v>
      </c>
      <c r="AA266" s="149">
        <f t="shared" si="190"/>
        <v>3.6062467717356013</v>
      </c>
      <c r="AB266" s="149">
        <f t="shared" si="190"/>
        <v>0.58511372641647175</v>
      </c>
      <c r="AC266" s="149">
        <f t="shared" si="190"/>
        <v>-1.777628490991074</v>
      </c>
      <c r="AD266" s="149">
        <f t="shared" si="190"/>
        <v>1.0901283836832727</v>
      </c>
      <c r="AE266" s="149">
        <f t="shared" si="190"/>
        <v>3.8128950141556635</v>
      </c>
      <c r="AF266" s="526">
        <f>SUM(T266:AE266)</f>
        <v>11.42457888039193</v>
      </c>
      <c r="AG266" s="149">
        <f t="shared" si="190"/>
        <v>11.406374047922721</v>
      </c>
      <c r="AH266" s="149">
        <f t="shared" si="190"/>
        <v>8.4975233860462787</v>
      </c>
      <c r="AI266" s="149">
        <f t="shared" si="190"/>
        <v>6.5520031807886649</v>
      </c>
      <c r="AJ266" s="149">
        <f t="shared" si="190"/>
        <v>7.1657626060400208</v>
      </c>
      <c r="AK266" s="149">
        <f t="shared" si="190"/>
        <v>10.926038416876215</v>
      </c>
      <c r="AL266" s="149">
        <f t="shared" si="190"/>
        <v>10.391853502524167</v>
      </c>
      <c r="AM266" s="149">
        <f t="shared" si="190"/>
        <v>9.7558011372276834</v>
      </c>
      <c r="AN266" s="149">
        <f t="shared" si="190"/>
        <v>9.3493954135762216</v>
      </c>
      <c r="AO266" s="149">
        <f t="shared" si="190"/>
        <v>9.1766216743108533</v>
      </c>
      <c r="AP266" s="149">
        <f t="shared" si="190"/>
        <v>11.928022102672639</v>
      </c>
      <c r="AQ266" s="149">
        <f>AQ127</f>
        <v>11.522088045127777</v>
      </c>
      <c r="AR266" s="149"/>
      <c r="AS266" s="149"/>
    </row>
    <row r="267" spans="1:45">
      <c r="A267" s="422">
        <f t="shared" si="189"/>
        <v>265</v>
      </c>
      <c r="B267" s="140" t="s">
        <v>590</v>
      </c>
      <c r="C267" s="149"/>
      <c r="D267" s="149"/>
      <c r="E267" s="149"/>
      <c r="F267" s="526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526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526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</row>
    <row r="268" spans="1:45">
      <c r="A268" s="422">
        <f t="shared" si="189"/>
        <v>266</v>
      </c>
      <c r="B268" s="136" t="s">
        <v>591</v>
      </c>
      <c r="C268" s="149"/>
      <c r="D268" s="149"/>
      <c r="E268" s="149"/>
      <c r="F268" s="526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526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526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</row>
    <row r="269" spans="1:45">
      <c r="A269" s="422">
        <f t="shared" si="189"/>
        <v>267</v>
      </c>
      <c r="B269" s="137" t="s">
        <v>592</v>
      </c>
      <c r="C269" s="149"/>
      <c r="D269" s="149"/>
      <c r="E269" s="149"/>
      <c r="F269" s="526"/>
      <c r="G269" s="149">
        <f>'Capex &amp; Depr'!O53</f>
        <v>3.7125089999999998</v>
      </c>
      <c r="H269" s="149">
        <f>'Capex &amp; Depr'!P53</f>
        <v>3.7182079999999997</v>
      </c>
      <c r="I269" s="149">
        <f>'Capex &amp; Depr'!Q53</f>
        <v>3.7220400000000002</v>
      </c>
      <c r="J269" s="149">
        <f>'Capex &amp; Depr'!R53</f>
        <v>3.7318599999999993</v>
      </c>
      <c r="K269" s="149">
        <f>'Capex &amp; Depr'!S53</f>
        <v>3.7477089999999995</v>
      </c>
      <c r="L269" s="149">
        <f>'Capex &amp; Depr'!T53</f>
        <v>3.7605329999999992</v>
      </c>
      <c r="M269" s="149">
        <f>'Capex &amp; Depr'!U53</f>
        <v>3.7685539999999995</v>
      </c>
      <c r="N269" s="149">
        <f>'Capex &amp; Depr'!V53</f>
        <v>3.7754479999999995</v>
      </c>
      <c r="O269" s="149">
        <f>'Capex &amp; Depr'!W53</f>
        <v>3.9188799999999997</v>
      </c>
      <c r="P269" s="149">
        <f>'Capex &amp; Depr'!X53</f>
        <v>3.9250009999999991</v>
      </c>
      <c r="Q269" s="149">
        <f>'Capex &amp; Depr'!Y53</f>
        <v>3.9351119999999997</v>
      </c>
      <c r="R269" s="149">
        <f>'Capex &amp; Depr'!Z53</f>
        <v>3.9396549999999997</v>
      </c>
      <c r="S269" s="526">
        <f>SUM(G269:R269)</f>
        <v>45.655508999999995</v>
      </c>
      <c r="T269" s="149">
        <f>'Capex &amp; Depr'!AB53</f>
        <v>3.9403769999999998</v>
      </c>
      <c r="U269" s="149">
        <f>'Capex &amp; Depr'!AC53</f>
        <v>3.9444709999999996</v>
      </c>
      <c r="V269" s="149">
        <f>'Capex &amp; Depr'!AD53</f>
        <v>3.9470689999999995</v>
      </c>
      <c r="W269" s="149">
        <f>'Capex &amp; Depr'!AE53</f>
        <v>3.9534689999999997</v>
      </c>
      <c r="X269" s="149">
        <f>'Capex &amp; Depr'!AF53</f>
        <v>3.9760529999999994</v>
      </c>
      <c r="Y269" s="149">
        <f>'Capex &amp; Depr'!AG53</f>
        <v>3.9997319999999994</v>
      </c>
      <c r="Z269" s="149">
        <f>'Capex &amp; Depr'!AH53</f>
        <v>4.0043899999999999</v>
      </c>
      <c r="AA269" s="149">
        <f>'Capex &amp; Depr'!AI53</f>
        <v>4.0089589999999991</v>
      </c>
      <c r="AB269" s="149">
        <f>'Capex &amp; Depr'!AJ53</f>
        <v>4.1398339999999996</v>
      </c>
      <c r="AC269" s="149">
        <f>'Capex &amp; Depr'!AK53</f>
        <v>4.1472959999999999</v>
      </c>
      <c r="AD269" s="149">
        <f>'Capex &amp; Depr'!AL53</f>
        <v>4.1550090000000006</v>
      </c>
      <c r="AE269" s="149">
        <f>'Capex &amp; Depr'!AM53</f>
        <v>4.1553690000000003</v>
      </c>
      <c r="AF269" s="526">
        <f>SUM(T269:AE269)</f>
        <v>48.372027999999993</v>
      </c>
      <c r="AG269" s="149">
        <f>'Capex &amp; Depr'!AO53</f>
        <v>50.457698000000008</v>
      </c>
      <c r="AH269" s="149">
        <f>'Capex &amp; Depr'!AP53</f>
        <v>51.495590999999997</v>
      </c>
      <c r="AI269" s="149">
        <f>'Capex &amp; Depr'!AQ53</f>
        <v>52.413693746724739</v>
      </c>
      <c r="AJ269" s="149">
        <f>'Capex &amp; Depr'!AR53</f>
        <v>53.36335807154709</v>
      </c>
      <c r="AK269" s="149">
        <f>'Capex &amp; Depr'!AS53</f>
        <v>54.209025790446795</v>
      </c>
      <c r="AL269" s="149">
        <f>'Capex &amp; Depr'!AT53</f>
        <v>55.180719191621598</v>
      </c>
      <c r="AM269" s="149">
        <f>'Capex &amp; Depr'!AU53</f>
        <v>56.181563394831635</v>
      </c>
      <c r="AN269" s="149">
        <f>'Capex &amp; Depr'!AV53</f>
        <v>57.212432924137978</v>
      </c>
      <c r="AO269" s="149">
        <f>'Capex &amp; Depr'!AW53</f>
        <v>58.274228539323524</v>
      </c>
      <c r="AP269" s="149">
        <f>'Capex &amp; Depr'!AX53</f>
        <v>59.367878022964625</v>
      </c>
      <c r="AQ269" s="149">
        <f>'Capex &amp; Depr'!AY53</f>
        <v>60.49433699111497</v>
      </c>
      <c r="AR269" s="149"/>
      <c r="AS269" s="149"/>
    </row>
    <row r="270" spans="1:45">
      <c r="A270" s="422">
        <f t="shared" si="189"/>
        <v>268</v>
      </c>
      <c r="B270" s="137" t="s">
        <v>147</v>
      </c>
      <c r="C270" s="149"/>
      <c r="D270" s="149"/>
      <c r="E270" s="149"/>
      <c r="F270" s="526"/>
      <c r="G270" s="149">
        <f>Debt!P34</f>
        <v>1.1038940000236034E-2</v>
      </c>
      <c r="H270" s="149">
        <f>Debt!Q34</f>
        <v>0</v>
      </c>
      <c r="I270" s="149">
        <f>Debt!R34</f>
        <v>0</v>
      </c>
      <c r="J270" s="149">
        <f>Debt!S34</f>
        <v>1.0749549999999886E-2</v>
      </c>
      <c r="K270" s="149">
        <f>Debt!T34</f>
        <v>0</v>
      </c>
      <c r="L270" s="149">
        <f>Debt!U34</f>
        <v>0</v>
      </c>
      <c r="M270" s="149">
        <f>Debt!V34</f>
        <v>1.1147510000000027E-2</v>
      </c>
      <c r="N270" s="149">
        <f>Debt!W34</f>
        <v>0</v>
      </c>
      <c r="O270" s="149">
        <f>Debt!X34</f>
        <v>0</v>
      </c>
      <c r="P270" s="149">
        <f>Debt!Y34</f>
        <v>1.1433969999999904E-2</v>
      </c>
      <c r="Q270" s="149">
        <f>Debt!Z34</f>
        <v>0</v>
      </c>
      <c r="R270" s="149">
        <f>Debt!AA34</f>
        <v>0</v>
      </c>
      <c r="S270" s="526">
        <f>SUM(G270:R270)</f>
        <v>4.4369970000235848E-2</v>
      </c>
      <c r="T270" s="149">
        <f>Debt!AC34</f>
        <v>1.1728270000000096E-2</v>
      </c>
      <c r="U270" s="149">
        <f>Debt!AD34</f>
        <v>0</v>
      </c>
      <c r="V270" s="149">
        <f>Debt!AE34</f>
        <v>0</v>
      </c>
      <c r="W270" s="149">
        <f>Debt!AF34</f>
        <v>1.1390720000000076E-2</v>
      </c>
      <c r="X270" s="149">
        <f>Debt!AG34</f>
        <v>0</v>
      </c>
      <c r="Y270" s="149">
        <f>Debt!AH34</f>
        <v>0</v>
      </c>
      <c r="Z270" s="149">
        <f>Debt!AI34</f>
        <v>1.1812399999999945E-2</v>
      </c>
      <c r="AA270" s="149">
        <f>Debt!AJ34</f>
        <v>0</v>
      </c>
      <c r="AB270" s="149">
        <f>Debt!AK34</f>
        <v>0</v>
      </c>
      <c r="AC270" s="149">
        <f>Debt!AL34</f>
        <v>1.2115960000000037E-2</v>
      </c>
      <c r="AD270" s="149">
        <f>Debt!AM34</f>
        <v>0</v>
      </c>
      <c r="AE270" s="149">
        <f>Debt!AN34</f>
        <v>0</v>
      </c>
      <c r="AF270" s="526">
        <f>SUM(T270:AE270)</f>
        <v>4.7047350000000154E-2</v>
      </c>
      <c r="AG270" s="149">
        <f>Debt!AP34</f>
        <v>4.9853580000000619E-2</v>
      </c>
      <c r="AH270" s="149">
        <f>Debt!AQ34</f>
        <v>5.315873999999976E-2</v>
      </c>
      <c r="AI270" s="149">
        <f>Debt!AR34</f>
        <v>5.58031500000018E-2</v>
      </c>
      <c r="AJ270" s="149">
        <f>Debt!AS34</f>
        <v>5.916038999999973E-2</v>
      </c>
      <c r="AK270" s="149">
        <f>Debt!AT34</f>
        <v>4.66682099999991E-2</v>
      </c>
      <c r="AL270" s="149">
        <f>Debt!AU34</f>
        <v>0</v>
      </c>
      <c r="AM270" s="149">
        <f>Debt!AV34</f>
        <v>0</v>
      </c>
      <c r="AN270" s="149">
        <f>Debt!AW34</f>
        <v>0</v>
      </c>
      <c r="AO270" s="149">
        <f>Debt!AX34</f>
        <v>0</v>
      </c>
      <c r="AP270" s="149">
        <f>Debt!AY34</f>
        <v>0</v>
      </c>
      <c r="AQ270" s="149">
        <f>Debt!AZ34</f>
        <v>0</v>
      </c>
      <c r="AR270" s="149"/>
      <c r="AS270" s="149"/>
    </row>
    <row r="271" spans="1:45">
      <c r="A271" s="422">
        <f t="shared" si="189"/>
        <v>269</v>
      </c>
      <c r="B271" s="137" t="s">
        <v>593</v>
      </c>
      <c r="C271" s="149"/>
      <c r="D271" s="149"/>
      <c r="E271" s="149"/>
      <c r="F271" s="526"/>
      <c r="G271" s="149">
        <f>Debt!P58</f>
        <v>0</v>
      </c>
      <c r="H271" s="149">
        <f>Debt!Q58</f>
        <v>0</v>
      </c>
      <c r="I271" s="149">
        <f>Debt!R58</f>
        <v>1.86360869</v>
      </c>
      <c r="J271" s="149">
        <f>Debt!S58</f>
        <v>0</v>
      </c>
      <c r="K271" s="149">
        <f>Debt!T58</f>
        <v>0</v>
      </c>
      <c r="L271" s="149">
        <f>Debt!U58</f>
        <v>1.91125743</v>
      </c>
      <c r="M271" s="149">
        <f>Debt!V58</f>
        <v>0</v>
      </c>
      <c r="N271" s="149">
        <f>Debt!W58</f>
        <v>0</v>
      </c>
      <c r="O271" s="149">
        <f>Debt!X58</f>
        <v>1.9601947100000001</v>
      </c>
      <c r="P271" s="149">
        <f>Debt!Y58</f>
        <v>0</v>
      </c>
      <c r="Q271" s="149">
        <f>Debt!Z58</f>
        <v>0</v>
      </c>
      <c r="R271" s="149">
        <f>Debt!AA58</f>
        <v>1.9888444199999999</v>
      </c>
      <c r="S271" s="526">
        <f>SUM(G271:R271)</f>
        <v>7.7239052499999996</v>
      </c>
      <c r="T271" s="149">
        <f>Debt!AC58</f>
        <v>0</v>
      </c>
      <c r="U271" s="149">
        <f>Debt!AD58</f>
        <v>0</v>
      </c>
      <c r="V271" s="149">
        <f>Debt!AE58</f>
        <v>1.9740452000000002</v>
      </c>
      <c r="W271" s="149">
        <f>Debt!AF58</f>
        <v>0</v>
      </c>
      <c r="X271" s="149">
        <f>Debt!AG58</f>
        <v>0</v>
      </c>
      <c r="Y271" s="149">
        <f>Debt!AH58</f>
        <v>2.0245175900000003</v>
      </c>
      <c r="Z271" s="149">
        <f>Debt!AI58</f>
        <v>0</v>
      </c>
      <c r="AA271" s="149">
        <f>Debt!AJ58</f>
        <v>0</v>
      </c>
      <c r="AB271" s="149">
        <f>Debt!AK58</f>
        <v>2.0763548700000003</v>
      </c>
      <c r="AC271" s="149">
        <f>Debt!AL58</f>
        <v>0</v>
      </c>
      <c r="AD271" s="149">
        <f>Debt!AM58</f>
        <v>0</v>
      </c>
      <c r="AE271" s="149">
        <f>Debt!AN58</f>
        <v>2.1067023599999999</v>
      </c>
      <c r="AF271" s="526">
        <f>SUM(T271:AE271)</f>
        <v>8.1816200200000004</v>
      </c>
      <c r="AG271" s="149">
        <f>Debt!AP58</f>
        <v>8.6664587300000022</v>
      </c>
      <c r="AH271" s="149">
        <f>Debt!AQ58</f>
        <v>9.1800322800000007</v>
      </c>
      <c r="AI271" s="149">
        <f>Debt!AR58</f>
        <v>9.7240328299999987</v>
      </c>
      <c r="AJ271" s="149">
        <f>Debt!AS58</f>
        <v>10.300274159999999</v>
      </c>
      <c r="AK271" s="149">
        <f>Debt!AT58</f>
        <v>10.910663260000002</v>
      </c>
      <c r="AL271" s="149">
        <f>Debt!AU58</f>
        <v>11.557228150000002</v>
      </c>
      <c r="AM271" s="149">
        <f>Debt!AV58</f>
        <v>12.242099259999998</v>
      </c>
      <c r="AN271" s="149">
        <f>Debt!AW58</f>
        <v>12.967559940000001</v>
      </c>
      <c r="AO271" s="149">
        <f>Debt!AX58</f>
        <v>13.736010889999999</v>
      </c>
      <c r="AP271" s="149">
        <f>Debt!AY58</f>
        <v>0</v>
      </c>
      <c r="AQ271" s="149">
        <f>Debt!AZ58</f>
        <v>0</v>
      </c>
      <c r="AR271" s="149"/>
      <c r="AS271" s="149"/>
    </row>
    <row r="272" spans="1:45">
      <c r="A272" s="422">
        <f t="shared" si="189"/>
        <v>270</v>
      </c>
      <c r="B272" s="137" t="s">
        <v>594</v>
      </c>
      <c r="C272" s="149"/>
      <c r="D272" s="149"/>
      <c r="E272" s="149"/>
      <c r="F272" s="526"/>
      <c r="G272" s="149">
        <f>-G246-G245+'Regulatory Charge'!M52+'Regulatory Charge'!M36+'Regulatory Charge'!M37+'Regulatory Charge'!M42+'Regulatory Charge'!M41+'Regulatory Charge'!M46+'Regulatory Charge'!M47</f>
        <v>-2.967278261537917</v>
      </c>
      <c r="H272" s="149">
        <f>-H246-H245+'Regulatory Charge'!N52+'Regulatory Charge'!N36+'Regulatory Charge'!N37+'Regulatory Charge'!N42+'Regulatory Charge'!N41+'Regulatory Charge'!N46+'Regulatory Charge'!N47</f>
        <v>-2.4780069385790275</v>
      </c>
      <c r="I272" s="149">
        <f>-I246-I245+'Regulatory Charge'!O52+'Regulatory Charge'!O36+'Regulatory Charge'!O37+'Regulatory Charge'!O42+'Regulatory Charge'!O41+'Regulatory Charge'!O46+'Regulatory Charge'!O47</f>
        <v>-2.1698424050336298</v>
      </c>
      <c r="J272" s="149">
        <f>-J246-J245+'Regulatory Charge'!P52+'Regulatory Charge'!P36+'Regulatory Charge'!P37+'Regulatory Charge'!P42+'Regulatory Charge'!P41+'Regulatory Charge'!P46+'Regulatory Charge'!P47</f>
        <v>-1.6750114138948031</v>
      </c>
      <c r="K272" s="149">
        <f>-K246-K245+'Regulatory Charge'!Q52+'Regulatory Charge'!Q36+'Regulatory Charge'!Q37+'Regulatory Charge'!Q42+'Regulatory Charge'!Q41+'Regulatory Charge'!Q46+'Regulatory Charge'!Q47</f>
        <v>-1.9373708959967362</v>
      </c>
      <c r="L272" s="149">
        <f>-L246-L245+'Regulatory Charge'!R52+'Regulatory Charge'!R36+'Regulatory Charge'!R37+'Regulatory Charge'!R42+'Regulatory Charge'!R41+'Regulatory Charge'!R46+'Regulatory Charge'!R47</f>
        <v>-2.7218989706271897</v>
      </c>
      <c r="M272" s="149">
        <f>-M246-M245+'Regulatory Charge'!S52+'Regulatory Charge'!S36+'Regulatory Charge'!S37+'Regulatory Charge'!S42+'Regulatory Charge'!S41+'Regulatory Charge'!S46+'Regulatory Charge'!S47</f>
        <v>-2.6710899304923776</v>
      </c>
      <c r="N272" s="149">
        <f>-N246-N245+'Regulatory Charge'!T52+'Regulatory Charge'!T36+'Regulatory Charge'!T37+'Regulatory Charge'!T42+'Regulatory Charge'!T41+'Regulatory Charge'!T46+'Regulatory Charge'!T47</f>
        <v>-7.3917022628763265</v>
      </c>
      <c r="O272" s="149">
        <f>-O246-O245+'Regulatory Charge'!U52+'Regulatory Charge'!U36+'Regulatory Charge'!U37+'Regulatory Charge'!U42+'Regulatory Charge'!U41+'Regulatory Charge'!U46+'Regulatory Charge'!U47</f>
        <v>-2.5087894283348997</v>
      </c>
      <c r="P272" s="149">
        <f>-P246-P245+'Regulatory Charge'!V52+'Regulatory Charge'!V36+'Regulatory Charge'!V37+'Regulatory Charge'!V42+'Regulatory Charge'!V41+'Regulatory Charge'!V46+'Regulatory Charge'!V47</f>
        <v>-2.1207811208939065</v>
      </c>
      <c r="Q272" s="149">
        <f>-Q246-Q245+'Regulatory Charge'!W52+'Regulatory Charge'!W36+'Regulatory Charge'!W37+'Regulatory Charge'!W42+'Regulatory Charge'!W41+'Regulatory Charge'!W46+'Regulatory Charge'!W47</f>
        <v>-2.3522159562460629</v>
      </c>
      <c r="R272" s="149">
        <f>-R246-R245+'Regulatory Charge'!X52+'Regulatory Charge'!X36+'Regulatory Charge'!X37+'Regulatory Charge'!X42+'Regulatory Charge'!X41+'Regulatory Charge'!X46+'Regulatory Charge'!X47</f>
        <v>-3.0599269517163905</v>
      </c>
      <c r="S272" s="526">
        <f>SUM(G272:R272)</f>
        <v>-34.053914536229264</v>
      </c>
      <c r="T272" s="149">
        <f>-T246-T245+'Regulatory Charge'!Z52+'Regulatory Charge'!Z36+'Regulatory Charge'!Z37+'Regulatory Charge'!Z42+'Regulatory Charge'!Z41+'Regulatory Charge'!Z46+'Regulatory Charge'!Z47</f>
        <v>-3.3197671896885912</v>
      </c>
      <c r="U272" s="149">
        <f>-U246-U245+'Regulatory Charge'!AA52+'Regulatory Charge'!AA36+'Regulatory Charge'!AA37+'Regulatory Charge'!AA42+'Regulatory Charge'!AA41+'Regulatory Charge'!AA46+'Regulatory Charge'!AA47</f>
        <v>-2.8943236490442303</v>
      </c>
      <c r="V272" s="149">
        <f>-V246-V245+'Regulatory Charge'!AB52+'Regulatory Charge'!AB36+'Regulatory Charge'!AB37+'Regulatory Charge'!AB42+'Regulatory Charge'!AB41+'Regulatory Charge'!AB46+'Regulatory Charge'!AB47</f>
        <v>-2.6569216234326571</v>
      </c>
      <c r="W272" s="149">
        <f>-W246-W245+'Regulatory Charge'!AC52+'Regulatory Charge'!AC36+'Regulatory Charge'!AC37+'Regulatory Charge'!AC42+'Regulatory Charge'!AC41+'Regulatory Charge'!AC46+'Regulatory Charge'!AC47</f>
        <v>-2.2404000755978788</v>
      </c>
      <c r="X272" s="149">
        <f>-X246-X245+'Regulatory Charge'!AD52+'Regulatory Charge'!AD36+'Regulatory Charge'!AD37+'Regulatory Charge'!AD42+'Regulatory Charge'!AD41+'Regulatory Charge'!AD46+'Regulatory Charge'!AD47</f>
        <v>-2.4826650085476003</v>
      </c>
      <c r="Y272" s="149">
        <f>-Y246-Y245+'Regulatory Charge'!AE52+'Regulatory Charge'!AE36+'Regulatory Charge'!AE37+'Regulatory Charge'!AE42+'Regulatory Charge'!AE41+'Regulatory Charge'!AE46+'Regulatory Charge'!AE47</f>
        <v>-3.1799544326594886</v>
      </c>
      <c r="Z272" s="149">
        <f>-Z246-Z245+'Regulatory Charge'!AF52+'Regulatory Charge'!AF36+'Regulatory Charge'!AF37+'Regulatory Charge'!AF42+'Regulatory Charge'!AF41+'Regulatory Charge'!AF46+'Regulatory Charge'!AF47</f>
        <v>-2.8807233341200571</v>
      </c>
      <c r="AA272" s="149">
        <f>-AA246-AA245+'Regulatory Charge'!AG52+'Regulatory Charge'!AG36+'Regulatory Charge'!AG37+'Regulatory Charge'!AG42+'Regulatory Charge'!AG41+'Regulatory Charge'!AG46+'Regulatory Charge'!AG47</f>
        <v>-3.03174390863528</v>
      </c>
      <c r="AB272" s="149">
        <f>-AB246-AB245+'Regulatory Charge'!AH52+'Regulatory Charge'!AH36+'Regulatory Charge'!AH37+'Regulatory Charge'!AH42+'Regulatory Charge'!AH41+'Regulatory Charge'!AH46+'Regulatory Charge'!AH47</f>
        <v>-2.4572240979486053</v>
      </c>
      <c r="AC272" s="149">
        <f>-AC246-AC245+'Regulatory Charge'!AI52+'Regulatory Charge'!AI36+'Regulatory Charge'!AI37+'Regulatory Charge'!AI42+'Regulatory Charge'!AI41+'Regulatory Charge'!AI46+'Regulatory Charge'!AI47</f>
        <v>-2.0252512229204647</v>
      </c>
      <c r="AD272" s="149">
        <f>-AD246-AD245+'Regulatory Charge'!AJ52+'Regulatory Charge'!AJ36+'Regulatory Charge'!AJ37+'Regulatory Charge'!AJ42+'Regulatory Charge'!AJ41+'Regulatory Charge'!AJ46+'Regulatory Charge'!AJ47</f>
        <v>-2.2206763928679658</v>
      </c>
      <c r="AE272" s="149">
        <f>-AE246-AE245+'Regulatory Charge'!AK52+'Regulatory Charge'!AK36+'Regulatory Charge'!AK37+'Regulatory Charge'!AK42+'Regulatory Charge'!AK41+'Regulatory Charge'!AK46+'Regulatory Charge'!AK47</f>
        <v>-2.8412226407506656</v>
      </c>
      <c r="AF272" s="526">
        <f>SUM(T272:AE272)</f>
        <v>-32.230873576213483</v>
      </c>
      <c r="AG272" s="149">
        <f>-AG246-AG245+'Regulatory Charge'!AM52+'Regulatory Charge'!AM36+'Regulatory Charge'!AM37+'Regulatory Charge'!AM42+'Regulatory Charge'!AM41+'Regulatory Charge'!AM46+'Regulatory Charge'!AM47</f>
        <v>-36.423520724084341</v>
      </c>
      <c r="AH272" s="149">
        <f>-AH246-AH245+'Regulatory Charge'!AN52+'Regulatory Charge'!AN36+'Regulatory Charge'!AN37+'Regulatory Charge'!AN42+'Regulatory Charge'!AN41+'Regulatory Charge'!AN46+'Regulatory Charge'!AN47</f>
        <v>-28.653414503237336</v>
      </c>
      <c r="AI272" s="149">
        <f>-AI246-AI245+'Regulatory Charge'!AO52+'Regulatory Charge'!AO36+'Regulatory Charge'!AO37+'Regulatory Charge'!AO42+'Regulatory Charge'!AO41+'Regulatory Charge'!AO46+'Regulatory Charge'!AO47</f>
        <v>-26.099661298041234</v>
      </c>
      <c r="AJ272" s="149">
        <f>-AJ246-AJ245+'Regulatory Charge'!AP52+'Regulatory Charge'!AP36+'Regulatory Charge'!AP37+'Regulatory Charge'!AP42+'Regulatory Charge'!AP41+'Regulatory Charge'!AP46+'Regulatory Charge'!AP47</f>
        <v>0.27619950178989283</v>
      </c>
      <c r="AK272" s="149">
        <f>-AK246-AK245+'Regulatory Charge'!AQ52+'Regulatory Charge'!AQ36+'Regulatory Charge'!AQ37+'Regulatory Charge'!AQ42+'Regulatory Charge'!AQ41+'Regulatory Charge'!AQ46+'Regulatory Charge'!AQ47</f>
        <v>1.1167352108607531E-3</v>
      </c>
      <c r="AL272" s="149">
        <f>-AL246-AL245+'Regulatory Charge'!AR52+'Regulatory Charge'!AR36+'Regulatory Charge'!AR37+'Regulatory Charge'!AR42+'Regulatory Charge'!AR41+'Regulatory Charge'!AR46+'Regulatory Charge'!AR47</f>
        <v>1.508806581833122E-2</v>
      </c>
      <c r="AM272" s="149">
        <f>-AM246-AM245+'Regulatory Charge'!AS52+'Regulatory Charge'!AS36+'Regulatory Charge'!AS37+'Regulatory Charge'!AS42+'Regulatory Charge'!AS41+'Regulatory Charge'!AS46+'Regulatory Charge'!AS47</f>
        <v>-0.35859041296635707</v>
      </c>
      <c r="AN272" s="149">
        <f>-AN246-AN245+'Regulatory Charge'!AT52+'Regulatory Charge'!AT36+'Regulatory Charge'!AT37+'Regulatory Charge'!AT42+'Regulatory Charge'!AT41+'Regulatory Charge'!AT46+'Regulatory Charge'!AT47</f>
        <v>2.6263639512578152E-3</v>
      </c>
      <c r="AO272" s="149">
        <f>-AO246-AO245+'Regulatory Charge'!AU52+'Regulatory Charge'!AU36+'Regulatory Charge'!AU37+'Regulatory Charge'!AU42+'Regulatory Charge'!AU41+'Regulatory Charge'!AU46+'Regulatory Charge'!AU47</f>
        <v>-1.4715935314413287E-3</v>
      </c>
      <c r="AP272" s="149">
        <f>-AP246-AP245+'Regulatory Charge'!AV52+'Regulatory Charge'!AV36+'Regulatory Charge'!AV37+'Regulatory Charge'!AV42+'Regulatory Charge'!AV41+'Regulatory Charge'!AV46+'Regulatory Charge'!AV47</f>
        <v>-0.36172224985790091</v>
      </c>
      <c r="AQ272" s="149">
        <f>-AQ246-AQ245+'Regulatory Charge'!AW52+'Regulatory Charge'!AW36+'Regulatory Charge'!AW37+'Regulatory Charge'!AW42+'Regulatory Charge'!AW41+'Regulatory Charge'!AW46+'Regulatory Charge'!AW47</f>
        <v>-1.0686403110240938E-2</v>
      </c>
      <c r="AR272" s="149"/>
      <c r="AS272" s="149"/>
    </row>
    <row r="273" spans="1:45">
      <c r="A273" s="422">
        <f t="shared" si="189"/>
        <v>271</v>
      </c>
      <c r="B273" s="137" t="s">
        <v>598</v>
      </c>
      <c r="C273" s="149"/>
      <c r="D273" s="149"/>
      <c r="E273" s="149"/>
      <c r="F273" s="526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526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526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</row>
    <row r="274" spans="1:45">
      <c r="A274" s="422">
        <f t="shared" si="189"/>
        <v>272</v>
      </c>
      <c r="B274" s="456" t="s">
        <v>153</v>
      </c>
      <c r="C274" s="149"/>
      <c r="D274" s="149"/>
      <c r="E274" s="149"/>
      <c r="F274" s="526"/>
      <c r="G274" s="149">
        <f>-G252</f>
        <v>0</v>
      </c>
      <c r="H274" s="149">
        <f t="shared" ref="H274:R274" si="191">-H252</f>
        <v>0.31505915395791817</v>
      </c>
      <c r="I274" s="149">
        <f t="shared" si="191"/>
        <v>-0.46246968630624963</v>
      </c>
      <c r="J274" s="149">
        <f t="shared" si="191"/>
        <v>-8.7499999999991473E-3</v>
      </c>
      <c r="K274" s="149">
        <f t="shared" si="191"/>
        <v>0.31927307000000127</v>
      </c>
      <c r="L274" s="149">
        <f t="shared" si="191"/>
        <v>0</v>
      </c>
      <c r="M274" s="149">
        <f t="shared" si="191"/>
        <v>0</v>
      </c>
      <c r="N274" s="149">
        <f t="shared" si="191"/>
        <v>0.32114334999999983</v>
      </c>
      <c r="O274" s="149">
        <f t="shared" si="191"/>
        <v>0</v>
      </c>
      <c r="P274" s="149">
        <f t="shared" si="191"/>
        <v>0</v>
      </c>
      <c r="Q274" s="149">
        <f t="shared" si="191"/>
        <v>0.3278707400000016</v>
      </c>
      <c r="R274" s="149">
        <f t="shared" si="191"/>
        <v>0</v>
      </c>
      <c r="S274" s="526">
        <f>SUM(G274:R274)</f>
        <v>0.81212662765167209</v>
      </c>
      <c r="T274" s="149">
        <f t="shared" ref="T274:AE274" si="192">-T252</f>
        <v>0</v>
      </c>
      <c r="U274" s="149">
        <f t="shared" si="192"/>
        <v>0.33225601000000182</v>
      </c>
      <c r="V274" s="149">
        <f t="shared" si="192"/>
        <v>-0.16148559367999837</v>
      </c>
      <c r="W274" s="149">
        <f t="shared" si="192"/>
        <v>0</v>
      </c>
      <c r="X274" s="149">
        <f t="shared" si="192"/>
        <v>0.33669994000000258</v>
      </c>
      <c r="Y274" s="149">
        <f t="shared" si="192"/>
        <v>0</v>
      </c>
      <c r="Z274" s="149">
        <f t="shared" si="192"/>
        <v>0</v>
      </c>
      <c r="AA274" s="149">
        <f t="shared" si="192"/>
        <v>0.34120329999999655</v>
      </c>
      <c r="AB274" s="149">
        <f t="shared" si="192"/>
        <v>0</v>
      </c>
      <c r="AC274" s="149">
        <f t="shared" si="192"/>
        <v>0</v>
      </c>
      <c r="AD274" s="149">
        <f t="shared" si="192"/>
        <v>0.34576689000000016</v>
      </c>
      <c r="AE274" s="149">
        <f t="shared" si="192"/>
        <v>0</v>
      </c>
      <c r="AF274" s="526">
        <f>SUM(T274:AE274)</f>
        <v>1.1944405463200027</v>
      </c>
      <c r="AG274" s="149">
        <f t="shared" ref="AG274:AP274" si="193">-AG252</f>
        <v>2.0282224503225024</v>
      </c>
      <c r="AH274" s="149">
        <f t="shared" si="193"/>
        <v>1.672792134025002</v>
      </c>
      <c r="AI274" s="149">
        <f t="shared" si="193"/>
        <v>0.69304663052124482</v>
      </c>
      <c r="AJ274" s="149">
        <f t="shared" si="193"/>
        <v>0.81315861656375432</v>
      </c>
      <c r="AK274" s="149">
        <f t="shared" si="193"/>
        <v>0.94009026927875539</v>
      </c>
      <c r="AL274" s="149">
        <f t="shared" si="193"/>
        <v>1.0744815939849985</v>
      </c>
      <c r="AM274" s="149">
        <f t="shared" si="193"/>
        <v>1.2167571661962526</v>
      </c>
      <c r="AN274" s="149">
        <f t="shared" si="193"/>
        <v>1.3671165989112453</v>
      </c>
      <c r="AO274" s="149">
        <f t="shared" si="193"/>
        <v>1.5261805094675012</v>
      </c>
      <c r="AP274" s="149">
        <f t="shared" si="193"/>
        <v>1.6943137658199987</v>
      </c>
      <c r="AQ274" s="149">
        <f t="shared" ref="AQ274:AQ275" si="194">-AQ252</f>
        <v>1.8715969655099975</v>
      </c>
      <c r="AR274" s="149"/>
      <c r="AS274" s="149"/>
    </row>
    <row r="275" spans="1:45">
      <c r="A275" s="422">
        <f t="shared" si="189"/>
        <v>273</v>
      </c>
      <c r="B275" s="456" t="s">
        <v>154</v>
      </c>
      <c r="C275" s="149"/>
      <c r="D275" s="149"/>
      <c r="E275" s="149"/>
      <c r="F275" s="526"/>
      <c r="G275" s="149">
        <f>-G253</f>
        <v>-6.7011482422333586</v>
      </c>
      <c r="H275" s="149">
        <f t="shared" ref="H275:R275" si="195">-H253</f>
        <v>5.102932573534865</v>
      </c>
      <c r="I275" s="149">
        <f t="shared" si="195"/>
        <v>-2.3758058749919755</v>
      </c>
      <c r="J275" s="149">
        <f t="shared" si="195"/>
        <v>4.923047149272648</v>
      </c>
      <c r="K275" s="149">
        <f t="shared" si="195"/>
        <v>-1.667246946303834</v>
      </c>
      <c r="L275" s="149">
        <f t="shared" si="195"/>
        <v>-1.866015976561016</v>
      </c>
      <c r="M275" s="149">
        <f t="shared" si="195"/>
        <v>-3.8427436165593605</v>
      </c>
      <c r="N275" s="149">
        <f t="shared" si="195"/>
        <v>1.1766549680541729</v>
      </c>
      <c r="O275" s="149">
        <f t="shared" si="195"/>
        <v>11.819183105175824</v>
      </c>
      <c r="P275" s="149">
        <f t="shared" si="195"/>
        <v>-0.35261161258546281</v>
      </c>
      <c r="Q275" s="149">
        <f t="shared" si="195"/>
        <v>0.11638009488073919</v>
      </c>
      <c r="R275" s="149">
        <f t="shared" si="195"/>
        <v>-3.8569278275097076</v>
      </c>
      <c r="S275" s="526">
        <f t="shared" ref="S275:S281" si="196">SUM(G275:R275)</f>
        <v>2.4756977941735343</v>
      </c>
      <c r="T275" s="149">
        <f t="shared" ref="T275:AE275" si="197">-T253</f>
        <v>-2.5469056098825931</v>
      </c>
      <c r="U275" s="149">
        <f t="shared" si="197"/>
        <v>4.5868179413653962</v>
      </c>
      <c r="V275" s="149">
        <f t="shared" si="197"/>
        <v>1.631861655776035</v>
      </c>
      <c r="W275" s="149">
        <f t="shared" si="197"/>
        <v>3.7579057657593538</v>
      </c>
      <c r="X275" s="149">
        <f t="shared" si="197"/>
        <v>-1.7851392654081337</v>
      </c>
      <c r="Y275" s="149">
        <f t="shared" si="197"/>
        <v>-4.0326637628107136</v>
      </c>
      <c r="Z275" s="149">
        <f t="shared" si="197"/>
        <v>-2.1165306376882356</v>
      </c>
      <c r="AA275" s="149">
        <f t="shared" si="197"/>
        <v>-0.71968244097111267</v>
      </c>
      <c r="AB275" s="149">
        <f t="shared" si="197"/>
        <v>4.0631861404385674</v>
      </c>
      <c r="AC275" s="149">
        <f t="shared" si="197"/>
        <v>-0.24759260162752383</v>
      </c>
      <c r="AD275" s="149">
        <f t="shared" si="197"/>
        <v>0.14629519911168387</v>
      </c>
      <c r="AE275" s="149">
        <f t="shared" si="197"/>
        <v>-3.8588806805625566</v>
      </c>
      <c r="AF275" s="526">
        <f t="shared" ref="AF275:AF281" si="198">SUM(T275:AE275)</f>
        <v>-1.1213282964998328</v>
      </c>
      <c r="AG275" s="149">
        <f t="shared" ref="AG275:AP275" si="199">-AG253</f>
        <v>1.288906839428904</v>
      </c>
      <c r="AH275" s="149">
        <f t="shared" si="199"/>
        <v>-1.3027298310893016</v>
      </c>
      <c r="AI275" s="149">
        <f t="shared" si="199"/>
        <v>-1.0297978061244564</v>
      </c>
      <c r="AJ275" s="149">
        <f t="shared" si="199"/>
        <v>-1.3667894594583032</v>
      </c>
      <c r="AK275" s="149">
        <f t="shared" si="199"/>
        <v>-13.200183130506772</v>
      </c>
      <c r="AL275" s="149">
        <f t="shared" si="199"/>
        <v>-4.1385667806597155</v>
      </c>
      <c r="AM275" s="149">
        <f t="shared" si="199"/>
        <v>-0.778009228811257</v>
      </c>
      <c r="AN275" s="149">
        <f t="shared" si="199"/>
        <v>-2.9032203510048618</v>
      </c>
      <c r="AO275" s="149">
        <f t="shared" si="199"/>
        <v>-0.96003185647988687</v>
      </c>
      <c r="AP275" s="149">
        <f t="shared" si="199"/>
        <v>-3.259916648513439</v>
      </c>
      <c r="AQ275" s="149">
        <f t="shared" si="194"/>
        <v>-2.4271937485071504</v>
      </c>
      <c r="AR275" s="149"/>
      <c r="AS275" s="149"/>
    </row>
    <row r="276" spans="1:45">
      <c r="A276" s="422">
        <f t="shared" si="189"/>
        <v>274</v>
      </c>
      <c r="B276" s="456" t="s">
        <v>148</v>
      </c>
      <c r="C276" s="149"/>
      <c r="D276" s="149"/>
      <c r="E276" s="149"/>
      <c r="F276" s="526"/>
      <c r="G276" s="149">
        <f>-G254-(G153-E153)</f>
        <v>-0.27149252101338206</v>
      </c>
      <c r="H276" s="149">
        <f>-H254-(H153-G153)</f>
        <v>-0.16989309190250523</v>
      </c>
      <c r="I276" s="149">
        <f t="shared" ref="I276:AQ276" si="200">-I254-(I153-H153)</f>
        <v>-0.13306646431152203</v>
      </c>
      <c r="J276" s="149">
        <f t="shared" si="200"/>
        <v>8.6880020388580448E-2</v>
      </c>
      <c r="K276" s="149">
        <f t="shared" si="200"/>
        <v>-3.0570495351156524E-3</v>
      </c>
      <c r="L276" s="149">
        <f t="shared" si="200"/>
        <v>-0.17649619041046805</v>
      </c>
      <c r="M276" s="149">
        <f t="shared" si="200"/>
        <v>-0.16924386906663003</v>
      </c>
      <c r="N276" s="149">
        <f t="shared" si="200"/>
        <v>-7.7560720775039727E-2</v>
      </c>
      <c r="O276" s="149">
        <f t="shared" si="200"/>
        <v>-0.35816977356543234</v>
      </c>
      <c r="P276" s="149">
        <f t="shared" si="200"/>
        <v>-0.27794023124766198</v>
      </c>
      <c r="Q276" s="149">
        <f t="shared" si="200"/>
        <v>-0.20224202840263317</v>
      </c>
      <c r="R276" s="149">
        <f t="shared" si="200"/>
        <v>-0.14729631111102748</v>
      </c>
      <c r="S276" s="526">
        <f t="shared" si="196"/>
        <v>-1.8995782309528373</v>
      </c>
      <c r="T276" s="149">
        <f>-T254-(T153-S153)</f>
        <v>-0.45045382770668496</v>
      </c>
      <c r="U276" s="149">
        <f>-U254-(U153-T153)</f>
        <v>-0.29914060209556226</v>
      </c>
      <c r="V276" s="149">
        <f t="shared" si="200"/>
        <v>-0.31282071661883393</v>
      </c>
      <c r="W276" s="149">
        <f t="shared" si="200"/>
        <v>-0.13001550969174858</v>
      </c>
      <c r="X276" s="149">
        <f t="shared" si="200"/>
        <v>-2.1634052373279644E-2</v>
      </c>
      <c r="Y276" s="149">
        <f t="shared" si="200"/>
        <v>-0.13195738509251598</v>
      </c>
      <c r="Z276" s="149">
        <f t="shared" si="200"/>
        <v>-0.11079346092520481</v>
      </c>
      <c r="AA276" s="149">
        <f t="shared" si="200"/>
        <v>-8.9335714310063707E-2</v>
      </c>
      <c r="AB276" s="149">
        <f t="shared" si="200"/>
        <v>-9.3960192820635058E-2</v>
      </c>
      <c r="AC276" s="149">
        <f t="shared" si="200"/>
        <v>-9.6701311303270643E-2</v>
      </c>
      <c r="AD276" s="149">
        <f t="shared" si="200"/>
        <v>-8.3212484214165272E-2</v>
      </c>
      <c r="AE276" s="149">
        <f t="shared" si="200"/>
        <v>-6.9185111676119959E-2</v>
      </c>
      <c r="AF276" s="526">
        <f t="shared" si="198"/>
        <v>-1.8892103688280848</v>
      </c>
      <c r="AG276" s="149">
        <f>-AG254-(AG153-AF153)</f>
        <v>-2.8316992417488578</v>
      </c>
      <c r="AH276" s="149">
        <f t="shared" si="200"/>
        <v>-1.5020634886426159</v>
      </c>
      <c r="AI276" s="149">
        <f t="shared" si="200"/>
        <v>-2.56675891097888</v>
      </c>
      <c r="AJ276" s="149">
        <f t="shared" si="200"/>
        <v>-2.1292354266236018</v>
      </c>
      <c r="AK276" s="149">
        <f t="shared" si="200"/>
        <v>-2.0716373893865914</v>
      </c>
      <c r="AL276" s="149">
        <f t="shared" si="200"/>
        <v>-2.9599870266964921</v>
      </c>
      <c r="AM276" s="149">
        <f t="shared" si="200"/>
        <v>-2.3393824636744363</v>
      </c>
      <c r="AN276" s="149">
        <f t="shared" si="200"/>
        <v>-2.8318526372544639</v>
      </c>
      <c r="AO276" s="149">
        <f t="shared" si="200"/>
        <v>-3.3909431054197725</v>
      </c>
      <c r="AP276" s="149">
        <f t="shared" si="200"/>
        <v>-2.2194168549666742</v>
      </c>
      <c r="AQ276" s="149">
        <f t="shared" si="200"/>
        <v>-5.4240386572918666</v>
      </c>
      <c r="AR276" s="149"/>
      <c r="AS276" s="149"/>
    </row>
    <row r="277" spans="1:45">
      <c r="A277" s="422">
        <f t="shared" si="189"/>
        <v>275</v>
      </c>
      <c r="B277" s="456" t="s">
        <v>481</v>
      </c>
      <c r="C277" s="149"/>
      <c r="D277" s="149"/>
      <c r="E277" s="149"/>
      <c r="F277" s="526"/>
      <c r="G277" s="149">
        <f>-G255+Debt!P134</f>
        <v>0.57791806921101285</v>
      </c>
      <c r="H277" s="149">
        <f>-H255+Debt!Q134</f>
        <v>0.31126139928736718</v>
      </c>
      <c r="I277" s="149">
        <f>-I255+Debt!R134</f>
        <v>0.31296929921101313</v>
      </c>
      <c r="J277" s="149">
        <f>-J255+Debt!S134</f>
        <v>0.31239999923646478</v>
      </c>
      <c r="K277" s="149">
        <f>-K255+Debt!T134</f>
        <v>0.31296918921101335</v>
      </c>
      <c r="L277" s="149">
        <f>-L255+Debt!U134</f>
        <v>0.29532099999999994</v>
      </c>
      <c r="M277" s="149">
        <f>-M255+Debt!V134</f>
        <v>0.29532099999999972</v>
      </c>
      <c r="N277" s="149">
        <f>-N255+Debt!W134</f>
        <v>0.29532099999999994</v>
      </c>
      <c r="O277" s="149">
        <f>-O255+Debt!X134</f>
        <v>0.29532099999999994</v>
      </c>
      <c r="P277" s="149">
        <f>-P255+Debt!Y134</f>
        <v>0.29532100000000006</v>
      </c>
      <c r="Q277" s="149">
        <f>-Q255+Debt!Z134</f>
        <v>0.29532099999999994</v>
      </c>
      <c r="R277" s="149">
        <f>-R255+Debt!AA134</f>
        <v>-3.6066900000000004</v>
      </c>
      <c r="S277" s="526">
        <f t="shared" si="196"/>
        <v>-7.2460438431294349E-3</v>
      </c>
      <c r="T277" s="149">
        <f>-T255+Debt!AC134</f>
        <v>0.32558900000000035</v>
      </c>
      <c r="U277" s="149">
        <f>-U255+Debt!AD134</f>
        <v>0.32512700000000017</v>
      </c>
      <c r="V277" s="149">
        <f>-V255+Debt!AE134</f>
        <v>0.32512700000000017</v>
      </c>
      <c r="W277" s="149">
        <f>-W255+Debt!AF134</f>
        <v>0.32512700000000017</v>
      </c>
      <c r="X277" s="149">
        <f>-X255+Debt!AG134</f>
        <v>0.32512700000000017</v>
      </c>
      <c r="Y277" s="149">
        <f>-Y255+Debt!AH134</f>
        <v>0.32512700000000017</v>
      </c>
      <c r="Z277" s="149">
        <f>-Z255+Debt!AI134</f>
        <v>0.32512699999999972</v>
      </c>
      <c r="AA277" s="149">
        <f>-AA255+Debt!AJ134</f>
        <v>0.32512699999999994</v>
      </c>
      <c r="AB277" s="149">
        <f>-AB255+Debt!AK134</f>
        <v>0.32512699999999994</v>
      </c>
      <c r="AC277" s="149">
        <f>-AC255+Debt!AL134</f>
        <v>0.32512700000000005</v>
      </c>
      <c r="AD277" s="149">
        <f>-AD255+Debt!AM134</f>
        <v>0.32512699999999994</v>
      </c>
      <c r="AE277" s="149">
        <f>-AE255+Debt!AN134</f>
        <v>-3.7718790000000011</v>
      </c>
      <c r="AF277" s="526">
        <f t="shared" si="198"/>
        <v>-0.19501999999999953</v>
      </c>
      <c r="AG277" s="149">
        <f>-AG255+Debt!AP134</f>
        <v>-0.20486100000000107</v>
      </c>
      <c r="AH277" s="149">
        <f>-AH255+Debt!AQ134</f>
        <v>-0.12905778000000012</v>
      </c>
      <c r="AI277" s="149">
        <f>-AI255+Debt!AR134</f>
        <v>-0.1329295133999997</v>
      </c>
      <c r="AJ277" s="149">
        <f>-AJ255+Debt!AS134</f>
        <v>-0.13691739880199982</v>
      </c>
      <c r="AK277" s="149">
        <f>-AK255+Debt!AT134</f>
        <v>-0.14102492076606143</v>
      </c>
      <c r="AL277" s="149">
        <f>-AL255+Debt!AU134</f>
        <v>-0.1452556683890398</v>
      </c>
      <c r="AM277" s="149">
        <f>-AM255+Debt!AV134</f>
        <v>-0.149613338440715</v>
      </c>
      <c r="AN277" s="149">
        <f>-AN255+Debt!AW134</f>
        <v>-0.15410173859393428</v>
      </c>
      <c r="AO277" s="149">
        <f>-AO255+Debt!AX134</f>
        <v>-0.15872479075175239</v>
      </c>
      <c r="AP277" s="149">
        <f>-AP255+Debt!AY134</f>
        <v>-0.16348653447430639</v>
      </c>
      <c r="AQ277" s="149">
        <f>-AQ255+Debt!AZ134</f>
        <v>-0.16839113050853349</v>
      </c>
      <c r="AR277" s="149"/>
      <c r="AS277" s="149"/>
    </row>
    <row r="278" spans="1:45">
      <c r="A278" s="422">
        <f t="shared" si="189"/>
        <v>276</v>
      </c>
      <c r="B278" s="456" t="s">
        <v>155</v>
      </c>
      <c r="C278" s="149"/>
      <c r="D278" s="149"/>
      <c r="E278" s="149"/>
      <c r="F278" s="526"/>
      <c r="G278" s="149">
        <f t="shared" ref="G278:R278" si="201">-G256</f>
        <v>0</v>
      </c>
      <c r="H278" s="149">
        <f t="shared" si="201"/>
        <v>0</v>
      </c>
      <c r="I278" s="149">
        <f t="shared" si="201"/>
        <v>0</v>
      </c>
      <c r="J278" s="149">
        <f t="shared" si="201"/>
        <v>0</v>
      </c>
      <c r="K278" s="149">
        <f t="shared" si="201"/>
        <v>0</v>
      </c>
      <c r="L278" s="149">
        <f t="shared" si="201"/>
        <v>0</v>
      </c>
      <c r="M278" s="149">
        <f t="shared" si="201"/>
        <v>0</v>
      </c>
      <c r="N278" s="149">
        <f t="shared" si="201"/>
        <v>0</v>
      </c>
      <c r="O278" s="149">
        <f t="shared" si="201"/>
        <v>0</v>
      </c>
      <c r="P278" s="149">
        <f t="shared" si="201"/>
        <v>0</v>
      </c>
      <c r="Q278" s="149">
        <f t="shared" si="201"/>
        <v>0</v>
      </c>
      <c r="R278" s="149">
        <f t="shared" si="201"/>
        <v>0</v>
      </c>
      <c r="S278" s="526">
        <f t="shared" si="196"/>
        <v>0</v>
      </c>
      <c r="T278" s="149">
        <f t="shared" ref="T278:AE278" si="202">-T256</f>
        <v>0</v>
      </c>
      <c r="U278" s="149">
        <f t="shared" si="202"/>
        <v>0</v>
      </c>
      <c r="V278" s="149">
        <f t="shared" si="202"/>
        <v>0</v>
      </c>
      <c r="W278" s="149">
        <f t="shared" si="202"/>
        <v>0</v>
      </c>
      <c r="X278" s="149">
        <f t="shared" si="202"/>
        <v>0</v>
      </c>
      <c r="Y278" s="149">
        <f t="shared" si="202"/>
        <v>0</v>
      </c>
      <c r="Z278" s="149">
        <f t="shared" si="202"/>
        <v>0</v>
      </c>
      <c r="AA278" s="149">
        <f t="shared" si="202"/>
        <v>0</v>
      </c>
      <c r="AB278" s="149">
        <f t="shared" si="202"/>
        <v>0</v>
      </c>
      <c r="AC278" s="149">
        <f t="shared" si="202"/>
        <v>0</v>
      </c>
      <c r="AD278" s="149">
        <f t="shared" si="202"/>
        <v>0</v>
      </c>
      <c r="AE278" s="149">
        <f t="shared" si="202"/>
        <v>0</v>
      </c>
      <c r="AF278" s="526">
        <f t="shared" si="198"/>
        <v>0</v>
      </c>
      <c r="AG278" s="149">
        <f t="shared" ref="AG278:AP278" si="203">-AG256</f>
        <v>0</v>
      </c>
      <c r="AH278" s="149">
        <f t="shared" si="203"/>
        <v>0</v>
      </c>
      <c r="AI278" s="149">
        <f t="shared" si="203"/>
        <v>0</v>
      </c>
      <c r="AJ278" s="149">
        <f t="shared" si="203"/>
        <v>0</v>
      </c>
      <c r="AK278" s="149">
        <f t="shared" si="203"/>
        <v>0</v>
      </c>
      <c r="AL278" s="149">
        <f t="shared" si="203"/>
        <v>0</v>
      </c>
      <c r="AM278" s="149">
        <f t="shared" si="203"/>
        <v>0</v>
      </c>
      <c r="AN278" s="149">
        <f t="shared" si="203"/>
        <v>0</v>
      </c>
      <c r="AO278" s="149">
        <f t="shared" si="203"/>
        <v>0</v>
      </c>
      <c r="AP278" s="149">
        <f t="shared" si="203"/>
        <v>0</v>
      </c>
      <c r="AQ278" s="149">
        <f>-AQ256</f>
        <v>0</v>
      </c>
      <c r="AR278" s="149"/>
      <c r="AS278" s="149"/>
    </row>
    <row r="279" spans="1:45">
      <c r="A279" s="422">
        <f t="shared" si="189"/>
        <v>277</v>
      </c>
      <c r="B279" s="456" t="s">
        <v>156</v>
      </c>
      <c r="C279" s="149"/>
      <c r="D279" s="149"/>
      <c r="E279" s="149"/>
      <c r="F279" s="526"/>
      <c r="G279" s="149">
        <f>-G257+(G175-E175)</f>
        <v>-4.6371805086843416</v>
      </c>
      <c r="H279" s="149">
        <f>-H257+(H175-G175)</f>
        <v>-1.4245047511308186</v>
      </c>
      <c r="I279" s="149">
        <f t="shared" ref="I279:R279" si="204">-I257+(I175-H175)</f>
        <v>3.6588272859815376</v>
      </c>
      <c r="J279" s="149">
        <f>-J257+(J175-I175)</f>
        <v>-0.65802546596786371</v>
      </c>
      <c r="K279" s="149">
        <f t="shared" si="204"/>
        <v>3.8430496184360692</v>
      </c>
      <c r="L279" s="149">
        <f t="shared" si="204"/>
        <v>-5.4813348414362615</v>
      </c>
      <c r="M279" s="149">
        <f t="shared" si="204"/>
        <v>0.75336249846141001</v>
      </c>
      <c r="N279" s="149">
        <f t="shared" si="204"/>
        <v>-0.65994967558460971</v>
      </c>
      <c r="O279" s="149">
        <f t="shared" si="204"/>
        <v>-5.4599568286018396</v>
      </c>
      <c r="P279" s="149">
        <f t="shared" si="204"/>
        <v>2.0196589722069973</v>
      </c>
      <c r="Q279" s="149">
        <f t="shared" si="204"/>
        <v>-2.5772406389770985</v>
      </c>
      <c r="R279" s="149">
        <f t="shared" si="204"/>
        <v>-2.1780848765451211</v>
      </c>
      <c r="S279" s="526">
        <f t="shared" si="196"/>
        <v>-12.80137921184194</v>
      </c>
      <c r="T279" s="149">
        <f>-T257+(T175-S175)</f>
        <v>3.1821774153275157</v>
      </c>
      <c r="U279" s="149">
        <f t="shared" ref="U279:AQ279" si="205">-U257+(U175-T175)</f>
        <v>-1.8125582994497975</v>
      </c>
      <c r="V279" s="149">
        <f t="shared" si="205"/>
        <v>4.1192207999055732</v>
      </c>
      <c r="W279" s="149">
        <f t="shared" si="205"/>
        <v>1.6801911680321098</v>
      </c>
      <c r="X279" s="149">
        <f t="shared" si="205"/>
        <v>-1.0655751380209892</v>
      </c>
      <c r="Y279" s="149">
        <f t="shared" si="205"/>
        <v>-3.0698880158676971</v>
      </c>
      <c r="Z279" s="149">
        <f t="shared" si="205"/>
        <v>-0.20478475546781993</v>
      </c>
      <c r="AA279" s="149">
        <f t="shared" si="205"/>
        <v>0.51354478304556039</v>
      </c>
      <c r="AB279" s="149">
        <f t="shared" si="205"/>
        <v>-0.72527914922534009</v>
      </c>
      <c r="AC279" s="149">
        <f t="shared" si="205"/>
        <v>1.9725744350070116</v>
      </c>
      <c r="AD279" s="149">
        <f t="shared" si="205"/>
        <v>-2.567441948589007</v>
      </c>
      <c r="AE279" s="149">
        <f t="shared" si="205"/>
        <v>-1.2972951870708656</v>
      </c>
      <c r="AF279" s="526">
        <f t="shared" si="198"/>
        <v>0.72488610762625427</v>
      </c>
      <c r="AG279" s="149">
        <f t="shared" si="205"/>
        <v>3.4126582713870093</v>
      </c>
      <c r="AH279" s="149">
        <f t="shared" si="205"/>
        <v>1.3593828885889536</v>
      </c>
      <c r="AI279" s="149">
        <f t="shared" si="205"/>
        <v>0.7982009637069396</v>
      </c>
      <c r="AJ279" s="149">
        <f t="shared" si="205"/>
        <v>0.84934639973930004</v>
      </c>
      <c r="AK279" s="149">
        <f t="shared" si="205"/>
        <v>9.1862504172943069</v>
      </c>
      <c r="AL279" s="149">
        <f t="shared" si="205"/>
        <v>32.020219549996142</v>
      </c>
      <c r="AM279" s="149">
        <f t="shared" si="205"/>
        <v>14.66083914474963</v>
      </c>
      <c r="AN279" s="149">
        <f t="shared" si="205"/>
        <v>4.0871526654650125</v>
      </c>
      <c r="AO279" s="149">
        <f t="shared" si="205"/>
        <v>-9.9544042493839342</v>
      </c>
      <c r="AP279" s="149">
        <f t="shared" si="205"/>
        <v>-8.2048442919087847</v>
      </c>
      <c r="AQ279" s="149">
        <f t="shared" si="205"/>
        <v>-5.4839656912273682</v>
      </c>
      <c r="AR279" s="149"/>
      <c r="AS279" s="149"/>
    </row>
    <row r="280" spans="1:45">
      <c r="A280" s="422">
        <f t="shared" si="189"/>
        <v>278</v>
      </c>
      <c r="B280" s="456" t="s">
        <v>157</v>
      </c>
      <c r="C280" s="149"/>
      <c r="D280" s="149"/>
      <c r="E280" s="149"/>
      <c r="F280" s="526"/>
      <c r="G280" s="149">
        <f t="shared" ref="G280:R280" si="206">-G258</f>
        <v>0.32430899999999996</v>
      </c>
      <c r="H280" s="149">
        <f t="shared" si="206"/>
        <v>0.32430899999999996</v>
      </c>
      <c r="I280" s="149">
        <f t="shared" si="206"/>
        <v>0.32430899999999996</v>
      </c>
      <c r="J280" s="149">
        <f t="shared" si="206"/>
        <v>0.32430900000000018</v>
      </c>
      <c r="K280" s="149">
        <f t="shared" si="206"/>
        <v>0.32430899999999996</v>
      </c>
      <c r="L280" s="149">
        <f t="shared" si="206"/>
        <v>0.32430899999999996</v>
      </c>
      <c r="M280" s="149">
        <f t="shared" si="206"/>
        <v>0.32430899999999996</v>
      </c>
      <c r="N280" s="149">
        <f t="shared" si="206"/>
        <v>-1.810867</v>
      </c>
      <c r="O280" s="149">
        <f t="shared" si="206"/>
        <v>0.32430899999999996</v>
      </c>
      <c r="P280" s="149">
        <f t="shared" si="206"/>
        <v>0.32430899999999996</v>
      </c>
      <c r="Q280" s="149">
        <f t="shared" si="206"/>
        <v>-0.24192900000000006</v>
      </c>
      <c r="R280" s="149">
        <f t="shared" si="206"/>
        <v>-0.2859029999999998</v>
      </c>
      <c r="S280" s="526">
        <f t="shared" si="196"/>
        <v>0.58008200000000021</v>
      </c>
      <c r="T280" s="149">
        <f t="shared" ref="T280:AE280" si="207">-T258</f>
        <v>-0.22945900000000008</v>
      </c>
      <c r="U280" s="149">
        <f t="shared" si="207"/>
        <v>0.35063</v>
      </c>
      <c r="V280" s="149">
        <f t="shared" si="207"/>
        <v>0.35063</v>
      </c>
      <c r="W280" s="149">
        <f t="shared" si="207"/>
        <v>0.35063000000000022</v>
      </c>
      <c r="X280" s="149">
        <f t="shared" si="207"/>
        <v>0.35062999999999978</v>
      </c>
      <c r="Y280" s="149">
        <f t="shared" si="207"/>
        <v>0.35062999999999978</v>
      </c>
      <c r="Z280" s="149">
        <f t="shared" si="207"/>
        <v>0.35062999999999978</v>
      </c>
      <c r="AA280" s="149">
        <f t="shared" si="207"/>
        <v>-1.9303860000000004</v>
      </c>
      <c r="AB280" s="149">
        <f t="shared" si="207"/>
        <v>0.35063</v>
      </c>
      <c r="AC280" s="149">
        <f t="shared" si="207"/>
        <v>0.35063</v>
      </c>
      <c r="AD280" s="149">
        <f t="shared" si="207"/>
        <v>-0.28630399999999989</v>
      </c>
      <c r="AE280" s="149">
        <f t="shared" si="207"/>
        <v>-0.20608200000000032</v>
      </c>
      <c r="AF280" s="526">
        <f t="shared" si="198"/>
        <v>0.15280899999999886</v>
      </c>
      <c r="AG280" s="149">
        <f t="shared" ref="AG280:AP280" si="208">-AG258</f>
        <v>-4.1305999999998733E-2</v>
      </c>
      <c r="AH280" s="149">
        <f t="shared" si="208"/>
        <v>4.1948999999999792E-2</v>
      </c>
      <c r="AI280" s="149">
        <f t="shared" si="208"/>
        <v>0</v>
      </c>
      <c r="AJ280" s="149">
        <f t="shared" si="208"/>
        <v>0</v>
      </c>
      <c r="AK280" s="149">
        <f t="shared" si="208"/>
        <v>0</v>
      </c>
      <c r="AL280" s="149">
        <f t="shared" si="208"/>
        <v>0</v>
      </c>
      <c r="AM280" s="149">
        <f t="shared" si="208"/>
        <v>0</v>
      </c>
      <c r="AN280" s="149">
        <f t="shared" si="208"/>
        <v>0</v>
      </c>
      <c r="AO280" s="149">
        <f t="shared" si="208"/>
        <v>0</v>
      </c>
      <c r="AP280" s="149">
        <f t="shared" si="208"/>
        <v>0</v>
      </c>
      <c r="AQ280" s="149">
        <f>-AQ258</f>
        <v>0</v>
      </c>
      <c r="AR280" s="149"/>
      <c r="AS280" s="149"/>
    </row>
    <row r="281" spans="1:45">
      <c r="A281" s="422">
        <f t="shared" si="189"/>
        <v>279</v>
      </c>
      <c r="B281" s="456" t="s">
        <v>158</v>
      </c>
      <c r="C281" s="149"/>
      <c r="D281" s="149"/>
      <c r="E281" s="149"/>
      <c r="F281" s="526"/>
      <c r="G281" s="156">
        <f>-G259+(G177-E177)+G111-SUM(Debt!P114:P115)-SUM(Debt!P121:P126)-Debt!P113+SUM('O&amp;M'!O9:O10)+'O&amp;M'!O186</f>
        <v>0.48787300873672879</v>
      </c>
      <c r="H281" s="156">
        <f>-H259+(H177-G177)+H111-SUM(Debt!Q114:Q115)-SUM(Debt!Q121:Q126)-Debt!Q113+SUM('O&amp;M'!P9:P10)+'O&amp;M'!P186</f>
        <v>-0.24018860758103874</v>
      </c>
      <c r="I281" s="156">
        <f>-I259+(I177-H177)+I111-SUM(Debt!R114:R115)-SUM(Debt!R121:R126)-Debt!R113+SUM('O&amp;M'!Q9:Q10)+'O&amp;M'!Q186</f>
        <v>-0.31362305504996973</v>
      </c>
      <c r="J281" s="156">
        <f>-J259+(J177-I177)+J111-SUM(Debt!S114:S115)-SUM(Debt!S121:S126)-Debt!S113+SUM('O&amp;M'!R9:R10)+'O&amp;M'!R186</f>
        <v>2.7701504240831656</v>
      </c>
      <c r="K281" s="156">
        <f>-K259+(K177-J177)+K111-SUM(Debt!T114:T115)-SUM(Debt!T121:T126)-Debt!T113+SUM('O&amp;M'!S9:S10)+'O&amp;M'!S186</f>
        <v>0.14353007888580441</v>
      </c>
      <c r="L281" s="156">
        <f>-L259+(L177-K177)+L111-SUM(Debt!U114:U115)-SUM(Debt!U121:U126)-Debt!U113+SUM('O&amp;M'!T9:T10)+'O&amp;M'!T186</f>
        <v>-2.0555131903892407</v>
      </c>
      <c r="M281" s="156">
        <f>-M259+(M177-L177)+M111-SUM(Debt!V114:V115)-SUM(Debt!V121:V126)-Debt!V113+SUM('O&amp;M'!U9:U10)+'O&amp;M'!U186</f>
        <v>0.3287885029234916</v>
      </c>
      <c r="N281" s="156">
        <f>-N259+(N177-M177)+N111-SUM(Debt!W114:W115)-SUM(Debt!W121:W126)-Debt!W113+SUM('O&amp;M'!V9:V10)+'O&amp;M'!V186</f>
        <v>0.18996489782120787</v>
      </c>
      <c r="O281" s="156">
        <f>-O259+(O177-N177)+O111-SUM(Debt!X114:X115)-SUM(Debt!X121:X126)-Debt!X113+SUM('O&amp;M'!W9:W10)+'O&amp;M'!W186</f>
        <v>-0.66617209387648346</v>
      </c>
      <c r="P281" s="156">
        <f>-P259+(P177-O177)+P111-SUM(Debt!Y114:Y115)-SUM(Debt!Y121:Y126)-Debt!Y113+SUM('O&amp;M'!X9:X10)+'O&amp;M'!X186</f>
        <v>2.82967253023368</v>
      </c>
      <c r="Q281" s="156">
        <f>-Q259+(Q177-P177)+Q111-SUM(Debt!Z114:Z115)-SUM(Debt!Z121:Z126)-Debt!Z113+SUM('O&amp;M'!Y9:Y10)+'O&amp;M'!Y186</f>
        <v>9.8573241535525699E-2</v>
      </c>
      <c r="R281" s="156">
        <f>-R259+(R177-Q177)+R111-SUM(Debt!AA114:AA115)-SUM(Debt!AA121:AA126)-Debt!AA113+SUM('O&amp;M'!Z9:Z10)+'O&amp;M'!Z186</f>
        <v>-2.5271381647615248</v>
      </c>
      <c r="S281" s="528">
        <f t="shared" si="196"/>
        <v>1.0459175725613465</v>
      </c>
      <c r="T281" s="156">
        <f>-T259+(T177-S177)+T111-SUM(Debt!AC114:AC115)-SUM(Debt!AC121:AC126)-Debt!AC113+SUM('O&amp;M'!AB9:AB10)+'O&amp;M'!AB186</f>
        <v>0.189668579671223</v>
      </c>
      <c r="U281" s="156">
        <f>-U259+(U177-T177)+U111-SUM(Debt!AD114:AD115)-SUM(Debt!AD121:AD126)-Debt!AD113+SUM('O&amp;M'!AC9:AC10)+'O&amp;M'!AC186</f>
        <v>-0.12102078855779751</v>
      </c>
      <c r="V281" s="156">
        <f>-V259+(V177-U177)+V111-SUM(Debt!AE114:AE115)-SUM(Debt!AE121:AE126)-Debt!AE113+SUM('O&amp;M'!AD9:AD10)+'O&amp;M'!AD186</f>
        <v>-0.69430110769174735</v>
      </c>
      <c r="W281" s="156">
        <f>-W259+(W177-V177)+W111-SUM(Debt!AF114:AF115)-SUM(Debt!AF121:AF126)-Debt!AF113+SUM('O&amp;M'!AE9:AE10)+'O&amp;M'!AE186</f>
        <v>2.6107860353869228</v>
      </c>
      <c r="X281" s="156">
        <f>-X259+(X177-W177)+X111-SUM(Debt!AG114:AG115)-SUM(Debt!AG121:AG126)-Debt!AG113+SUM('O&amp;M'!AF9:AF10)+'O&amp;M'!AF186</f>
        <v>2.9570115123046817E-2</v>
      </c>
      <c r="Y281" s="156">
        <f>-Y259+(Y177-X177)+Y111-SUM(Debt!AH114:AH115)-SUM(Debt!AH121:AH126)-Debt!AH113+SUM('O&amp;M'!AG9:AG10)+'O&amp;M'!AG186</f>
        <v>-2.9359301323153</v>
      </c>
      <c r="Z281" s="156">
        <f>-Z259+(Z177-Y177)+Z111-SUM(Debt!AI114:AI115)-SUM(Debt!AI121:AI126)-Debt!AI113+SUM('O&amp;M'!AH9:AH10)+'O&amp;M'!AH186</f>
        <v>8.5983273189628479E-2</v>
      </c>
      <c r="AA281" s="156">
        <f>-AA259+(AA177-Z177)+AA111-SUM(Debt!AJ114:AJ115)-SUM(Debt!AJ121:AJ126)-Debt!AJ113+SUM('O&amp;M'!AI9:AI10)+'O&amp;M'!AI186</f>
        <v>0.39402360066001402</v>
      </c>
      <c r="AB281" s="156">
        <f>-AB259+(AB177-AA177)+AB111-SUM(Debt!AK114:AK115)-SUM(Debt!AK121:AK126)-Debt!AK113+SUM('O&amp;M'!AJ9:AJ10)+'O&amp;M'!AJ186</f>
        <v>-0.90124015213930719</v>
      </c>
      <c r="AC281" s="156">
        <f>-AC259+(AC177-AB177)+AC111-SUM(Debt!AL114:AL115)-SUM(Debt!AL121:AL126)-Debt!AL113+SUM('O&amp;M'!AK9:AK10)+'O&amp;M'!AK186</f>
        <v>2.934119116615284</v>
      </c>
      <c r="AD281" s="156">
        <f>-AD259+(AD177-AC177)+AD111-SUM(Debt!AM114:AM115)-SUM(Debt!AM121:AM126)-Debt!AM113+SUM('O&amp;M'!AL9:AL10)+'O&amp;M'!AL186</f>
        <v>0.35606894397898969</v>
      </c>
      <c r="AE281" s="156">
        <f>-AE259+(AE177-AD177)+AE111-SUM(Debt!AN114:AN115)-SUM(Debt!AN121:AN126)-Debt!AN113+SUM('O&amp;M'!AM9:AM10)+'O&amp;M'!AM186</f>
        <v>-2.5721179527736053</v>
      </c>
      <c r="AF281" s="528">
        <f t="shared" si="198"/>
        <v>-0.62439046885264871</v>
      </c>
      <c r="AG281" s="156">
        <f>-AG259+(AG177-AF177)+AG111-SUM(Debt!AP114:AP115)-SUM(Debt!AP121:AP126)-Debt!AP113+SUM('O&amp;M'!AO9:AO10)+'O&amp;M'!AO186</f>
        <v>1.0867856656914707</v>
      </c>
      <c r="AH281" s="156">
        <f>-AH259+(AH177-AG177)+AH111-SUM(Debt!AQ114:AQ115)-SUM(Debt!AQ121:AQ126)-Debt!AQ113+SUM('O&amp;M'!AP9:AP10)+'O&amp;M'!AP186</f>
        <v>1.0515321277854668</v>
      </c>
      <c r="AI281" s="156">
        <f>-AI259+(AI177-AH177)+AI111-SUM(Debt!AR114:AR115)-SUM(Debt!AR121:AR126)-Debt!AR113+SUM('O&amp;M'!AQ9:AQ10)+'O&amp;M'!AQ186</f>
        <v>1.1069913831981644</v>
      </c>
      <c r="AJ281" s="156">
        <f>-AJ259+(AJ177-AI177)+AJ111-SUM(Debt!AS114:AS115)-SUM(Debt!AS121:AS126)-Debt!AS113+SUM('O&amp;M'!AR9:AR10)+'O&amp;M'!AR186</f>
        <v>1.1108956949946509</v>
      </c>
      <c r="AK281" s="156">
        <f>-AK259+(AK177-AJ177)+AK111-SUM(Debt!AT114:AT115)-SUM(Debt!AT121:AT126)-Debt!AT113+SUM('O&amp;M'!AS9:AS10)+'O&amp;M'!AS186</f>
        <v>0.96421321612069189</v>
      </c>
      <c r="AL281" s="156">
        <f>-AL259+(AL177-AK177)+AL111-SUM(Debt!AU114:AU115)-SUM(Debt!AU121:AU126)-Debt!AU113+SUM('O&amp;M'!AT9:AT10)+'O&amp;M'!AT186</f>
        <v>0.3678179333669741</v>
      </c>
      <c r="AM281" s="156">
        <f>-AM259+(AM177-AL177)+AM111-SUM(Debt!AV114:AV115)-SUM(Debt!AV121:AV126)-Debt!AV113+SUM('O&amp;M'!AU9:AU10)+'O&amp;M'!AU186</f>
        <v>1.0067792990722089</v>
      </c>
      <c r="AN281" s="156">
        <f>-AN259+(AN177-AM177)+AN111-SUM(Debt!AW114:AW115)-SUM(Debt!AW121:AW126)-Debt!AW113+SUM('O&amp;M'!AV9:AV10)+'O&amp;M'!AV186</f>
        <v>1.0110971715460702</v>
      </c>
      <c r="AO281" s="156">
        <f>-AO259+(AO177-AN177)+AO111-SUM(Debt!AX114:AX115)-SUM(Debt!AX121:AX126)-Debt!AX113+SUM('O&amp;M'!AW9:AW10)+'O&amp;M'!AW186</f>
        <v>1.0163037307638187</v>
      </c>
      <c r="AP281" s="156">
        <f>-AP259+(AP177-AO177)+AP111-SUM(Debt!AY114:AY115)-SUM(Debt!AY121:AY126)-Debt!AY113+SUM('O&amp;M'!AX9:AX10)+'O&amp;M'!AX186</f>
        <v>1.3118641024749007</v>
      </c>
      <c r="AQ281" s="156">
        <f>-AQ259+(AQ177-AP177)+AQ111-SUM(Debt!AZ114:AZ115)-SUM(Debt!AZ121:AZ126)-Debt!AZ113+SUM('O&amp;M'!AY9:AY10)+'O&amp;M'!AY186</f>
        <v>1.3163708887673002</v>
      </c>
      <c r="AR281" s="149"/>
      <c r="AS281" s="149"/>
    </row>
    <row r="282" spans="1:45">
      <c r="A282" s="422">
        <f t="shared" si="189"/>
        <v>280</v>
      </c>
      <c r="B282" s="457" t="s">
        <v>599</v>
      </c>
      <c r="C282" s="149"/>
      <c r="D282" s="149"/>
      <c r="E282" s="149"/>
      <c r="F282" s="526"/>
      <c r="G282" s="149">
        <f>SUM(G266:G281)</f>
        <v>-5.5571099461093496</v>
      </c>
      <c r="H282" s="149">
        <f t="shared" ref="H282:AQ282" si="209">SUM(H266:H281)</f>
        <v>7.2434491879447398</v>
      </c>
      <c r="I282" s="149">
        <f t="shared" si="209"/>
        <v>4.8844777866650322</v>
      </c>
      <c r="J282" s="149">
        <f t="shared" si="209"/>
        <v>6.4177561510076284</v>
      </c>
      <c r="K282" s="149">
        <f t="shared" si="209"/>
        <v>-0.7742036454829665</v>
      </c>
      <c r="L282" s="149">
        <f t="shared" si="209"/>
        <v>-5.1446347364029776</v>
      </c>
      <c r="M282" s="149">
        <f t="shared" si="209"/>
        <v>1.5469575695471043</v>
      </c>
      <c r="N282" s="149">
        <f t="shared" si="209"/>
        <v>-1.4388599218932168</v>
      </c>
      <c r="O282" s="149">
        <f t="shared" si="209"/>
        <v>9.1805967916256233</v>
      </c>
      <c r="P282" s="149">
        <f t="shared" si="209"/>
        <v>4.1570256154142475</v>
      </c>
      <c r="Q282" s="149">
        <f t="shared" si="209"/>
        <v>-0.21538690803408655</v>
      </c>
      <c r="R282" s="149">
        <f t="shared" si="209"/>
        <v>-5.768236665137727</v>
      </c>
      <c r="S282" s="526">
        <f t="shared" si="209"/>
        <v>14.531831279144058</v>
      </c>
      <c r="T282" s="149">
        <f t="shared" si="209"/>
        <v>6.2571721185238358</v>
      </c>
      <c r="U282" s="149">
        <f t="shared" si="209"/>
        <v>7.9594797176611971</v>
      </c>
      <c r="V282" s="149">
        <f t="shared" si="209"/>
        <v>9.1660052270465151</v>
      </c>
      <c r="W282" s="149">
        <f t="shared" si="209"/>
        <v>3.6685955403487607</v>
      </c>
      <c r="X282" s="149">
        <f t="shared" si="209"/>
        <v>-4.5569675753819103</v>
      </c>
      <c r="Y282" s="149">
        <f t="shared" si="209"/>
        <v>-4.7415821201140833</v>
      </c>
      <c r="Z282" s="149">
        <f t="shared" si="209"/>
        <v>3.1896324724093352</v>
      </c>
      <c r="AA282" s="149">
        <f t="shared" si="209"/>
        <v>3.4179563915247142</v>
      </c>
      <c r="AB282" s="149">
        <f t="shared" si="209"/>
        <v>7.3625421447211519</v>
      </c>
      <c r="AC282" s="149">
        <f t="shared" si="209"/>
        <v>5.5946888847799627</v>
      </c>
      <c r="AD282" s="149">
        <f t="shared" si="209"/>
        <v>1.2607605911028092</v>
      </c>
      <c r="AE282" s="149">
        <f t="shared" si="209"/>
        <v>-4.5416961986781494</v>
      </c>
      <c r="AF282" s="526">
        <f t="shared" si="209"/>
        <v>34.036587193944122</v>
      </c>
      <c r="AG282" s="149">
        <f t="shared" si="209"/>
        <v>38.895570618919429</v>
      </c>
      <c r="AH282" s="149">
        <f t="shared" si="209"/>
        <v>41.764695953476448</v>
      </c>
      <c r="AI282" s="149">
        <f t="shared" si="209"/>
        <v>41.514624356395181</v>
      </c>
      <c r="AJ282" s="149">
        <f t="shared" si="209"/>
        <v>70.30521315579081</v>
      </c>
      <c r="AK282" s="149">
        <f t="shared" si="209"/>
        <v>71.771220874568201</v>
      </c>
      <c r="AL282" s="149">
        <f t="shared" si="209"/>
        <v>103.36359851156696</v>
      </c>
      <c r="AM282" s="149">
        <f t="shared" si="209"/>
        <v>91.438243958184657</v>
      </c>
      <c r="AN282" s="149">
        <f t="shared" si="209"/>
        <v>80.10820635073452</v>
      </c>
      <c r="AO282" s="149">
        <f t="shared" si="209"/>
        <v>69.263769748298941</v>
      </c>
      <c r="AP282" s="149">
        <f t="shared" si="209"/>
        <v>60.09269141421106</v>
      </c>
      <c r="AQ282" s="149">
        <f t="shared" si="209"/>
        <v>61.690117259874889</v>
      </c>
      <c r="AR282" s="149"/>
      <c r="AS282" s="149"/>
    </row>
    <row r="283" spans="1:45">
      <c r="A283" s="422">
        <f t="shared" si="189"/>
        <v>281</v>
      </c>
      <c r="B283" s="137"/>
      <c r="C283" s="149"/>
      <c r="D283" s="149"/>
      <c r="E283" s="149"/>
      <c r="F283" s="526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526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526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</row>
    <row r="284" spans="1:45" ht="15.75">
      <c r="A284" s="422">
        <f t="shared" si="189"/>
        <v>282</v>
      </c>
      <c r="B284" s="455" t="s">
        <v>601</v>
      </c>
      <c r="C284" s="149"/>
      <c r="D284" s="149"/>
      <c r="E284" s="149"/>
      <c r="F284" s="526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526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526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</row>
    <row r="285" spans="1:45">
      <c r="A285" s="422">
        <f t="shared" si="189"/>
        <v>283</v>
      </c>
      <c r="B285" s="140" t="s">
        <v>602</v>
      </c>
      <c r="C285" s="149"/>
      <c r="D285" s="149"/>
      <c r="E285" s="149"/>
      <c r="F285" s="526"/>
      <c r="G285" s="149">
        <f>-'Stmts RUS'!G224</f>
        <v>-1.2200070000000001</v>
      </c>
      <c r="H285" s="149">
        <f>-'Stmts RUS'!H224</f>
        <v>-1.7038309999999999</v>
      </c>
      <c r="I285" s="149">
        <f>-'Stmts RUS'!I224</f>
        <v>-5.7467380000000006</v>
      </c>
      <c r="J285" s="149">
        <f>-'Stmts RUS'!J224</f>
        <v>-8.2680389999999999</v>
      </c>
      <c r="K285" s="149">
        <f>-'Stmts RUS'!K224</f>
        <v>-8.6923960000000005</v>
      </c>
      <c r="L285" s="149">
        <f>-'Stmts RUS'!L224</f>
        <v>-4.8571659999999994</v>
      </c>
      <c r="M285" s="149">
        <f>-'Stmts RUS'!M224</f>
        <v>-5.6476309999999987</v>
      </c>
      <c r="N285" s="149">
        <f>-'Stmts RUS'!N224</f>
        <v>-4.2898139999999998</v>
      </c>
      <c r="O285" s="149">
        <f>-'Stmts RUS'!O224</f>
        <v>-6.4700030000000002</v>
      </c>
      <c r="P285" s="149">
        <f>-'Stmts RUS'!P224</f>
        <v>-14.550303999999999</v>
      </c>
      <c r="Q285" s="149">
        <f>-'Stmts RUS'!Q224</f>
        <v>-9.9612429999999996</v>
      </c>
      <c r="R285" s="149">
        <f>-'Stmts RUS'!R224</f>
        <v>-7.7326379999999997</v>
      </c>
      <c r="S285" s="526">
        <f>SUM(G285:R285)</f>
        <v>-79.139809999999983</v>
      </c>
      <c r="T285" s="149">
        <f>-'Stmts RUS'!T224</f>
        <v>-6.635078</v>
      </c>
      <c r="U285" s="149">
        <f>-'Stmts RUS'!U224</f>
        <v>-5.8961049999999995</v>
      </c>
      <c r="V285" s="149">
        <f>-'Stmts RUS'!V224</f>
        <v>-9.2491280000000007</v>
      </c>
      <c r="W285" s="149">
        <f>-'Stmts RUS'!W224</f>
        <v>-19.952528999999998</v>
      </c>
      <c r="X285" s="149">
        <f>-'Stmts RUS'!X224</f>
        <v>-14.906747000000001</v>
      </c>
      <c r="Y285" s="149">
        <f>-'Stmts RUS'!Y224</f>
        <v>-4.2025810000000003</v>
      </c>
      <c r="Z285" s="149">
        <f>-'Stmts RUS'!Z224</f>
        <v>-1.6046609999999999</v>
      </c>
      <c r="AA285" s="149">
        <f>-'Stmts RUS'!AA224</f>
        <v>-3.61904</v>
      </c>
      <c r="AB285" s="149">
        <f>-'Stmts RUS'!AB224</f>
        <v>-3.7748440000000003</v>
      </c>
      <c r="AC285" s="149">
        <f>-'Stmts RUS'!AC224</f>
        <v>-4.32395</v>
      </c>
      <c r="AD285" s="149">
        <f>-'Stmts RUS'!AD224</f>
        <v>-0.20910099999999998</v>
      </c>
      <c r="AE285" s="149">
        <f>-'Stmts RUS'!AE224</f>
        <v>-0.129112</v>
      </c>
      <c r="AF285" s="526">
        <f>SUM(T285:AE285)</f>
        <v>-74.502876000000015</v>
      </c>
      <c r="AG285" s="149">
        <f>-'Stmts RUS'!AG224</f>
        <v>-47.614514999999997</v>
      </c>
      <c r="AH285" s="149">
        <f>-'Stmts RUS'!AH224</f>
        <v>-38.002017000000002</v>
      </c>
      <c r="AI285" s="149">
        <f>-'Stmts RUS'!AI224</f>
        <v>-39.142077509999993</v>
      </c>
      <c r="AJ285" s="149">
        <f>-'Stmts RUS'!AJ224</f>
        <v>-40.316339835300006</v>
      </c>
      <c r="AK285" s="149">
        <f>-'Stmts RUS'!AK224</f>
        <v>-52.58320374940233</v>
      </c>
      <c r="AL285" s="149">
        <f>-'Stmts RUS'!AL224</f>
        <v>-54.16069986188441</v>
      </c>
      <c r="AM285" s="149">
        <f>-'Stmts RUS'!AM224</f>
        <v>-55.785520857740934</v>
      </c>
      <c r="AN285" s="149">
        <f>-'Stmts RUS'!AN224</f>
        <v>-57.459086483473172</v>
      </c>
      <c r="AO285" s="149">
        <f>-'Stmts RUS'!AO224</f>
        <v>-59.182859077977355</v>
      </c>
      <c r="AP285" s="149">
        <f>-'Stmts RUS'!AP224</f>
        <v>-60.958344850316685</v>
      </c>
      <c r="AQ285" s="149">
        <f>-'Stmts RUS'!AQ224</f>
        <v>-62.78709519582619</v>
      </c>
      <c r="AR285" s="149"/>
      <c r="AS285" s="149"/>
    </row>
    <row r="286" spans="1:45">
      <c r="A286" s="422">
        <f t="shared" si="189"/>
        <v>284</v>
      </c>
      <c r="B286" s="140" t="s">
        <v>150</v>
      </c>
      <c r="C286" s="149"/>
      <c r="D286" s="149"/>
      <c r="E286" s="149"/>
      <c r="F286" s="526"/>
      <c r="G286" s="156">
        <f>+G246+G245-(G142-E142)</f>
        <v>2.4610744880694964</v>
      </c>
      <c r="H286" s="156">
        <f>+H246+H245-(H142-G142)</f>
        <v>2.0869343587828819</v>
      </c>
      <c r="I286" s="156">
        <f>+I246+I245-(I142-H142)</f>
        <v>1.8507413648930477</v>
      </c>
      <c r="J286" s="156">
        <f t="shared" ref="J286:AQ286" si="210">+J246+J245-(J142-I142)</f>
        <v>1.3524432821111509</v>
      </c>
      <c r="K286" s="156">
        <f t="shared" si="210"/>
        <v>1.5729337017281984</v>
      </c>
      <c r="L286" s="156">
        <f t="shared" si="210"/>
        <v>2.202419021021047</v>
      </c>
      <c r="M286" s="156">
        <f t="shared" si="210"/>
        <v>2.3558212708068615</v>
      </c>
      <c r="N286" s="156">
        <f t="shared" si="210"/>
        <v>2.5376236162694443</v>
      </c>
      <c r="O286" s="156">
        <f t="shared" si="210"/>
        <v>2.5571536295290827</v>
      </c>
      <c r="P286" s="156">
        <f t="shared" si="210"/>
        <v>2.1730159804173828</v>
      </c>
      <c r="Q286" s="156">
        <f t="shared" si="210"/>
        <v>2.4005399962635665</v>
      </c>
      <c r="R286" s="156">
        <f t="shared" si="210"/>
        <v>3.1072243134565323</v>
      </c>
      <c r="S286" s="528">
        <f>SUM(G286:R286)</f>
        <v>26.657925023348696</v>
      </c>
      <c r="T286" s="156">
        <f t="shared" si="210"/>
        <v>3.3624939707522925</v>
      </c>
      <c r="U286" s="156">
        <f t="shared" si="210"/>
        <v>2.9324957586172831</v>
      </c>
      <c r="V286" s="156">
        <f t="shared" si="210"/>
        <v>2.7021160380169187</v>
      </c>
      <c r="W286" s="156">
        <f t="shared" si="210"/>
        <v>2.2874961013596047</v>
      </c>
      <c r="X286" s="156">
        <f t="shared" si="210"/>
        <v>2.5297514044876381</v>
      </c>
      <c r="Y286" s="156">
        <f t="shared" si="210"/>
        <v>3.2217467660726706</v>
      </c>
      <c r="Z286" s="156">
        <f t="shared" si="210"/>
        <v>2.9234765428083591</v>
      </c>
      <c r="AA286" s="156">
        <f t="shared" si="210"/>
        <v>3.0747151269435213</v>
      </c>
      <c r="AB286" s="156">
        <f t="shared" si="210"/>
        <v>2.5957534537929323</v>
      </c>
      <c r="AC286" s="156">
        <f t="shared" si="210"/>
        <v>2.1593786880007024</v>
      </c>
      <c r="AD286" s="156">
        <f t="shared" si="210"/>
        <v>2.3593389463233336</v>
      </c>
      <c r="AE286" s="156">
        <f t="shared" si="210"/>
        <v>3.0039374054312109</v>
      </c>
      <c r="AF286" s="528">
        <f>SUM(T286:AE286)</f>
        <v>33.152700202606468</v>
      </c>
      <c r="AG286" s="156">
        <f t="shared" si="210"/>
        <v>33.394891694633912</v>
      </c>
      <c r="AH286" s="156">
        <f t="shared" si="210"/>
        <v>29.940444140710365</v>
      </c>
      <c r="AI286" s="156">
        <f t="shared" si="210"/>
        <v>26.898973862334032</v>
      </c>
      <c r="AJ286" s="156">
        <f t="shared" si="210"/>
        <v>-0.10661184964447301</v>
      </c>
      <c r="AK286" s="156">
        <f t="shared" si="210"/>
        <v>-0.1069316851934019</v>
      </c>
      <c r="AL286" s="156">
        <f t="shared" si="210"/>
        <v>-0.10725248024898093</v>
      </c>
      <c r="AM286" s="156">
        <f t="shared" si="210"/>
        <v>-0.1075742376897324</v>
      </c>
      <c r="AN286" s="156">
        <f t="shared" si="210"/>
        <v>-0.1078969604027975</v>
      </c>
      <c r="AO286" s="156">
        <f t="shared" si="210"/>
        <v>-0.10822065128400737</v>
      </c>
      <c r="AP286" s="156">
        <f t="shared" si="210"/>
        <v>-0.10854531323786176</v>
      </c>
      <c r="AQ286" s="156">
        <f t="shared" si="210"/>
        <v>-0.10887094917757167</v>
      </c>
      <c r="AR286" s="149"/>
      <c r="AS286" s="149"/>
    </row>
    <row r="287" spans="1:45">
      <c r="A287" s="422">
        <f t="shared" si="189"/>
        <v>285</v>
      </c>
      <c r="B287" s="457" t="s">
        <v>603</v>
      </c>
      <c r="C287" s="149"/>
      <c r="D287" s="149"/>
      <c r="E287" s="149"/>
      <c r="F287" s="526"/>
      <c r="G287" s="149">
        <f>SUM(G285:G286)</f>
        <v>1.2410674880694963</v>
      </c>
      <c r="H287" s="149">
        <f t="shared" ref="H287:AQ287" si="211">SUM(H285:H286)</f>
        <v>0.38310335878288204</v>
      </c>
      <c r="I287" s="149">
        <f t="shared" si="211"/>
        <v>-3.895996635106953</v>
      </c>
      <c r="J287" s="149">
        <f t="shared" si="211"/>
        <v>-6.9155957178888485</v>
      </c>
      <c r="K287" s="149">
        <f t="shared" si="211"/>
        <v>-7.1194622982718023</v>
      </c>
      <c r="L287" s="149">
        <f t="shared" si="211"/>
        <v>-2.6547469789789524</v>
      </c>
      <c r="M287" s="149">
        <f t="shared" si="211"/>
        <v>-3.2918097291931372</v>
      </c>
      <c r="N287" s="149">
        <f t="shared" si="211"/>
        <v>-1.7521903837305555</v>
      </c>
      <c r="O287" s="149">
        <f t="shared" si="211"/>
        <v>-3.9128493704709175</v>
      </c>
      <c r="P287" s="149">
        <f t="shared" si="211"/>
        <v>-12.377288019582616</v>
      </c>
      <c r="Q287" s="149">
        <f t="shared" si="211"/>
        <v>-7.5607030037364336</v>
      </c>
      <c r="R287" s="149">
        <f t="shared" si="211"/>
        <v>-4.6254136865434674</v>
      </c>
      <c r="S287" s="526">
        <f t="shared" si="211"/>
        <v>-52.481884976651287</v>
      </c>
      <c r="T287" s="149">
        <f t="shared" si="211"/>
        <v>-3.2725840292477075</v>
      </c>
      <c r="U287" s="149">
        <f t="shared" si="211"/>
        <v>-2.9636092413827164</v>
      </c>
      <c r="V287" s="149">
        <f t="shared" si="211"/>
        <v>-6.547011961983082</v>
      </c>
      <c r="W287" s="149">
        <f t="shared" si="211"/>
        <v>-17.665032898640394</v>
      </c>
      <c r="X287" s="149">
        <f t="shared" si="211"/>
        <v>-12.376995595512362</v>
      </c>
      <c r="Y287" s="149">
        <f t="shared" si="211"/>
        <v>-0.98083423392732971</v>
      </c>
      <c r="Z287" s="149">
        <f t="shared" si="211"/>
        <v>1.3188155428083592</v>
      </c>
      <c r="AA287" s="149">
        <f t="shared" si="211"/>
        <v>-0.5443248730564787</v>
      </c>
      <c r="AB287" s="149">
        <f t="shared" si="211"/>
        <v>-1.179090546207068</v>
      </c>
      <c r="AC287" s="149">
        <f t="shared" si="211"/>
        <v>-2.1645713119992975</v>
      </c>
      <c r="AD287" s="149">
        <f t="shared" si="211"/>
        <v>2.1502379463233336</v>
      </c>
      <c r="AE287" s="149">
        <f t="shared" si="211"/>
        <v>2.8748254054312108</v>
      </c>
      <c r="AF287" s="526">
        <f t="shared" si="211"/>
        <v>-41.350175797393547</v>
      </c>
      <c r="AG287" s="149">
        <f t="shared" si="211"/>
        <v>-14.219623305366085</v>
      </c>
      <c r="AH287" s="149">
        <f t="shared" si="211"/>
        <v>-8.0615728592896367</v>
      </c>
      <c r="AI287" s="149">
        <f t="shared" si="211"/>
        <v>-12.243103647665961</v>
      </c>
      <c r="AJ287" s="149">
        <f t="shared" si="211"/>
        <v>-40.422951684944479</v>
      </c>
      <c r="AK287" s="149">
        <f t="shared" si="211"/>
        <v>-52.690135434595732</v>
      </c>
      <c r="AL287" s="149">
        <f t="shared" si="211"/>
        <v>-54.267952342133391</v>
      </c>
      <c r="AM287" s="149">
        <f t="shared" si="211"/>
        <v>-55.893095095430667</v>
      </c>
      <c r="AN287" s="149">
        <f t="shared" si="211"/>
        <v>-57.566983443875969</v>
      </c>
      <c r="AO287" s="149">
        <f t="shared" si="211"/>
        <v>-59.291079729261362</v>
      </c>
      <c r="AP287" s="149">
        <f t="shared" si="211"/>
        <v>-61.066890163554547</v>
      </c>
      <c r="AQ287" s="149">
        <f t="shared" si="211"/>
        <v>-62.895966145003761</v>
      </c>
      <c r="AR287" s="149"/>
      <c r="AS287" s="149"/>
    </row>
    <row r="288" spans="1:45">
      <c r="A288" s="422">
        <f t="shared" si="189"/>
        <v>286</v>
      </c>
      <c r="B288" s="137"/>
      <c r="C288" s="149"/>
      <c r="D288" s="149"/>
      <c r="E288" s="149"/>
      <c r="F288" s="526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526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526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</row>
    <row r="289" spans="1:45" ht="15.75">
      <c r="A289" s="422">
        <f t="shared" si="189"/>
        <v>287</v>
      </c>
      <c r="B289" s="455" t="s">
        <v>604</v>
      </c>
      <c r="C289" s="149"/>
      <c r="D289" s="149"/>
      <c r="E289" s="149"/>
      <c r="F289" s="526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526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526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</row>
    <row r="290" spans="1:45">
      <c r="A290" s="422">
        <f t="shared" si="189"/>
        <v>288</v>
      </c>
      <c r="B290" s="140" t="s">
        <v>149</v>
      </c>
      <c r="C290" s="149"/>
      <c r="D290" s="149"/>
      <c r="E290" s="149"/>
      <c r="F290" s="526"/>
      <c r="G290" s="149">
        <f>-G231</f>
        <v>0</v>
      </c>
      <c r="H290" s="149">
        <f t="shared" ref="H290:AP290" si="212">-H231</f>
        <v>-3.8285292439579179</v>
      </c>
      <c r="I290" s="149">
        <f t="shared" si="212"/>
        <v>3.1915480000000001</v>
      </c>
      <c r="J290" s="149">
        <f t="shared" si="212"/>
        <v>0</v>
      </c>
      <c r="K290" s="149">
        <f t="shared" si="212"/>
        <v>-3.8595333700000003</v>
      </c>
      <c r="L290" s="149">
        <f t="shared" si="212"/>
        <v>7.6949539999999992</v>
      </c>
      <c r="M290" s="149">
        <f t="shared" si="212"/>
        <v>0</v>
      </c>
      <c r="N290" s="149">
        <f t="shared" si="212"/>
        <v>-3.0044479800000006</v>
      </c>
      <c r="O290" s="149">
        <f t="shared" si="212"/>
        <v>14.938104000000001</v>
      </c>
      <c r="P290" s="149">
        <f t="shared" si="212"/>
        <v>0</v>
      </c>
      <c r="Q290" s="149">
        <f t="shared" si="212"/>
        <v>-3.0295524099999995</v>
      </c>
      <c r="R290" s="149">
        <f t="shared" si="212"/>
        <v>-1.8840060000000001</v>
      </c>
      <c r="S290" s="526">
        <f>SUM(G290:R290)</f>
        <v>10.218536996042083</v>
      </c>
      <c r="T290" s="149">
        <f t="shared" si="212"/>
        <v>9</v>
      </c>
      <c r="U290" s="149">
        <f t="shared" si="212"/>
        <v>-3.0548756999999993</v>
      </c>
      <c r="V290" s="149">
        <f t="shared" si="212"/>
        <v>7.0936209999999997</v>
      </c>
      <c r="W290" s="149">
        <f t="shared" si="212"/>
        <v>0</v>
      </c>
      <c r="X290" s="149">
        <f t="shared" si="212"/>
        <v>-3.08041995</v>
      </c>
      <c r="Y290" s="149">
        <f t="shared" si="212"/>
        <v>2.1859830000000002</v>
      </c>
      <c r="Z290" s="149">
        <f t="shared" si="212"/>
        <v>0</v>
      </c>
      <c r="AA290" s="149">
        <f t="shared" si="212"/>
        <v>-3.1018647300000008</v>
      </c>
      <c r="AB290" s="149">
        <f t="shared" si="212"/>
        <v>1.6880760000000006</v>
      </c>
      <c r="AC290" s="149">
        <f t="shared" si="212"/>
        <v>0</v>
      </c>
      <c r="AD290" s="149">
        <f t="shared" si="212"/>
        <v>-3.1278234400000002</v>
      </c>
      <c r="AE290" s="149">
        <f t="shared" si="212"/>
        <v>-1.9751030000000001</v>
      </c>
      <c r="AF290" s="526">
        <f>SUM(T290:AE290)</f>
        <v>5.6275931800000007</v>
      </c>
      <c r="AG290" s="149">
        <f t="shared" si="212"/>
        <v>-22.902846010000001</v>
      </c>
      <c r="AH290" s="149">
        <f t="shared" si="212"/>
        <v>-25.221311457787145</v>
      </c>
      <c r="AI290" s="149">
        <f t="shared" si="212"/>
        <v>-26.252561599620762</v>
      </c>
      <c r="AJ290" s="149">
        <f t="shared" si="212"/>
        <v>-27.342434175909379</v>
      </c>
      <c r="AK290" s="149">
        <f t="shared" si="212"/>
        <v>-30.888791945786455</v>
      </c>
      <c r="AL290" s="149">
        <f t="shared" si="212"/>
        <v>-73.329009690060232</v>
      </c>
      <c r="AM290" s="149">
        <f t="shared" si="212"/>
        <v>-65.451012784862058</v>
      </c>
      <c r="AN290" s="149">
        <f t="shared" si="212"/>
        <v>-32.459805716307926</v>
      </c>
      <c r="AO290" s="149">
        <f t="shared" si="212"/>
        <v>166.05495494380284</v>
      </c>
      <c r="AP290" s="149">
        <f t="shared" si="212"/>
        <v>-35.508285738783094</v>
      </c>
      <c r="AQ290" s="149">
        <f>-AQ231</f>
        <v>-37.162457318646581</v>
      </c>
      <c r="AR290" s="149"/>
      <c r="AS290" s="149"/>
    </row>
    <row r="291" spans="1:45">
      <c r="A291" s="422">
        <f t="shared" si="189"/>
        <v>289</v>
      </c>
      <c r="B291" s="488" t="s">
        <v>159</v>
      </c>
      <c r="C291" s="149"/>
      <c r="D291" s="149"/>
      <c r="E291" s="149"/>
      <c r="F291" s="526"/>
      <c r="G291" s="149">
        <f>-G233</f>
        <v>0</v>
      </c>
      <c r="H291" s="149">
        <f t="shared" ref="H291:AP291" si="213">-H233</f>
        <v>-1.4</v>
      </c>
      <c r="I291" s="149">
        <f t="shared" si="213"/>
        <v>0</v>
      </c>
      <c r="J291" s="149">
        <f t="shared" si="213"/>
        <v>0</v>
      </c>
      <c r="K291" s="149">
        <f t="shared" si="213"/>
        <v>0</v>
      </c>
      <c r="L291" s="149">
        <f t="shared" si="213"/>
        <v>0</v>
      </c>
      <c r="M291" s="149">
        <f t="shared" si="213"/>
        <v>0</v>
      </c>
      <c r="N291" s="149">
        <f t="shared" si="213"/>
        <v>0</v>
      </c>
      <c r="O291" s="149">
        <f t="shared" si="213"/>
        <v>0</v>
      </c>
      <c r="P291" s="149">
        <f t="shared" si="213"/>
        <v>0</v>
      </c>
      <c r="Q291" s="149">
        <f t="shared" si="213"/>
        <v>0</v>
      </c>
      <c r="R291" s="149">
        <f t="shared" si="213"/>
        <v>-0.02</v>
      </c>
      <c r="S291" s="526">
        <f>SUM(G291:R291)</f>
        <v>-1.42</v>
      </c>
      <c r="T291" s="149">
        <f t="shared" si="213"/>
        <v>0</v>
      </c>
      <c r="U291" s="149">
        <f t="shared" si="213"/>
        <v>0</v>
      </c>
      <c r="V291" s="149">
        <f t="shared" si="213"/>
        <v>0</v>
      </c>
      <c r="W291" s="149">
        <f t="shared" si="213"/>
        <v>0</v>
      </c>
      <c r="X291" s="149">
        <f t="shared" si="213"/>
        <v>0</v>
      </c>
      <c r="Y291" s="149">
        <f t="shared" si="213"/>
        <v>0</v>
      </c>
      <c r="Z291" s="149">
        <f t="shared" si="213"/>
        <v>0</v>
      </c>
      <c r="AA291" s="149">
        <f t="shared" si="213"/>
        <v>0</v>
      </c>
      <c r="AB291" s="149">
        <f t="shared" si="213"/>
        <v>0</v>
      </c>
      <c r="AC291" s="149">
        <f t="shared" si="213"/>
        <v>0</v>
      </c>
      <c r="AD291" s="149">
        <f t="shared" si="213"/>
        <v>0</v>
      </c>
      <c r="AE291" s="149">
        <f t="shared" si="213"/>
        <v>-0.02</v>
      </c>
      <c r="AF291" s="526">
        <f>SUM(T291:AE291)</f>
        <v>-0.02</v>
      </c>
      <c r="AG291" s="149">
        <f t="shared" si="213"/>
        <v>-0.02</v>
      </c>
      <c r="AH291" s="149">
        <f t="shared" si="213"/>
        <v>0</v>
      </c>
      <c r="AI291" s="149">
        <f t="shared" si="213"/>
        <v>0</v>
      </c>
      <c r="AJ291" s="149">
        <f t="shared" si="213"/>
        <v>0</v>
      </c>
      <c r="AK291" s="149">
        <f t="shared" si="213"/>
        <v>0</v>
      </c>
      <c r="AL291" s="149">
        <f t="shared" si="213"/>
        <v>0</v>
      </c>
      <c r="AM291" s="149">
        <f t="shared" si="213"/>
        <v>0</v>
      </c>
      <c r="AN291" s="149">
        <f t="shared" si="213"/>
        <v>0</v>
      </c>
      <c r="AO291" s="149">
        <f t="shared" si="213"/>
        <v>-5.7918933448999992</v>
      </c>
      <c r="AP291" s="149">
        <f t="shared" si="213"/>
        <v>0</v>
      </c>
      <c r="AQ291" s="149">
        <f t="shared" ref="AQ291:AQ292" si="214">-AQ233</f>
        <v>0</v>
      </c>
      <c r="AR291" s="149"/>
      <c r="AS291" s="149"/>
    </row>
    <row r="292" spans="1:45">
      <c r="A292" s="422">
        <f t="shared" si="189"/>
        <v>290</v>
      </c>
      <c r="B292" s="140" t="s">
        <v>127</v>
      </c>
      <c r="C292" s="149"/>
      <c r="D292" s="149"/>
      <c r="E292" s="149"/>
      <c r="F292" s="526"/>
      <c r="G292" s="156">
        <f>-G234</f>
        <v>0</v>
      </c>
      <c r="H292" s="156">
        <f t="shared" ref="H292:AP292" si="215">-H234</f>
        <v>0</v>
      </c>
      <c r="I292" s="156">
        <f t="shared" si="215"/>
        <v>0</v>
      </c>
      <c r="J292" s="156">
        <f t="shared" si="215"/>
        <v>0</v>
      </c>
      <c r="K292" s="156">
        <f t="shared" si="215"/>
        <v>0</v>
      </c>
      <c r="L292" s="156">
        <f t="shared" si="215"/>
        <v>0</v>
      </c>
      <c r="M292" s="156">
        <f t="shared" si="215"/>
        <v>0</v>
      </c>
      <c r="N292" s="156">
        <f t="shared" si="215"/>
        <v>0</v>
      </c>
      <c r="O292" s="156">
        <f t="shared" si="215"/>
        <v>0</v>
      </c>
      <c r="P292" s="156">
        <f t="shared" si="215"/>
        <v>0</v>
      </c>
      <c r="Q292" s="156">
        <f t="shared" si="215"/>
        <v>0</v>
      </c>
      <c r="R292" s="156">
        <f t="shared" si="215"/>
        <v>0</v>
      </c>
      <c r="S292" s="528">
        <f>SUM(G292:R292)</f>
        <v>0</v>
      </c>
      <c r="T292" s="156">
        <f t="shared" si="215"/>
        <v>0</v>
      </c>
      <c r="U292" s="156">
        <f t="shared" si="215"/>
        <v>0</v>
      </c>
      <c r="V292" s="156">
        <f t="shared" si="215"/>
        <v>0</v>
      </c>
      <c r="W292" s="156">
        <f t="shared" si="215"/>
        <v>0</v>
      </c>
      <c r="X292" s="156">
        <f t="shared" si="215"/>
        <v>0</v>
      </c>
      <c r="Y292" s="156">
        <f t="shared" si="215"/>
        <v>0</v>
      </c>
      <c r="Z292" s="156">
        <f t="shared" si="215"/>
        <v>-0.125</v>
      </c>
      <c r="AA292" s="156">
        <f t="shared" si="215"/>
        <v>0</v>
      </c>
      <c r="AB292" s="156">
        <f t="shared" si="215"/>
        <v>0</v>
      </c>
      <c r="AC292" s="156">
        <f t="shared" si="215"/>
        <v>0</v>
      </c>
      <c r="AD292" s="156">
        <f t="shared" si="215"/>
        <v>0</v>
      </c>
      <c r="AE292" s="156">
        <f t="shared" si="215"/>
        <v>0</v>
      </c>
      <c r="AF292" s="528">
        <f>SUM(T292:AE292)</f>
        <v>-0.125</v>
      </c>
      <c r="AG292" s="156">
        <f t="shared" si="215"/>
        <v>0</v>
      </c>
      <c r="AH292" s="156">
        <f t="shared" si="215"/>
        <v>0</v>
      </c>
      <c r="AI292" s="156">
        <f t="shared" si="215"/>
        <v>-0.2</v>
      </c>
      <c r="AJ292" s="156">
        <f t="shared" si="215"/>
        <v>0</v>
      </c>
      <c r="AK292" s="156">
        <f t="shared" si="215"/>
        <v>-0.125</v>
      </c>
      <c r="AL292" s="156">
        <f t="shared" si="215"/>
        <v>0</v>
      </c>
      <c r="AM292" s="156">
        <f t="shared" si="215"/>
        <v>0</v>
      </c>
      <c r="AN292" s="156">
        <f t="shared" si="215"/>
        <v>-0.2</v>
      </c>
      <c r="AO292" s="156">
        <f t="shared" si="215"/>
        <v>0</v>
      </c>
      <c r="AP292" s="156">
        <f t="shared" si="215"/>
        <v>-0.125</v>
      </c>
      <c r="AQ292" s="156">
        <f t="shared" si="214"/>
        <v>0</v>
      </c>
      <c r="AR292" s="149"/>
      <c r="AS292" s="149"/>
    </row>
    <row r="293" spans="1:45">
      <c r="A293" s="422">
        <f t="shared" si="189"/>
        <v>291</v>
      </c>
      <c r="B293" s="456" t="s">
        <v>605</v>
      </c>
      <c r="C293" s="149"/>
      <c r="D293" s="149"/>
      <c r="E293" s="149"/>
      <c r="F293" s="526"/>
      <c r="G293" s="149">
        <f>SUM(G290:G292)</f>
        <v>0</v>
      </c>
      <c r="H293" s="149">
        <f t="shared" ref="H293:R293" si="216">SUM(H290:H292)</f>
        <v>-5.2285292439579178</v>
      </c>
      <c r="I293" s="149">
        <f t="shared" si="216"/>
        <v>3.1915480000000001</v>
      </c>
      <c r="J293" s="149">
        <f t="shared" si="216"/>
        <v>0</v>
      </c>
      <c r="K293" s="149">
        <f t="shared" si="216"/>
        <v>-3.8595333700000003</v>
      </c>
      <c r="L293" s="149">
        <f t="shared" si="216"/>
        <v>7.6949539999999992</v>
      </c>
      <c r="M293" s="149">
        <f t="shared" si="216"/>
        <v>0</v>
      </c>
      <c r="N293" s="149">
        <f t="shared" si="216"/>
        <v>-3.0044479800000006</v>
      </c>
      <c r="O293" s="149">
        <f t="shared" si="216"/>
        <v>14.938104000000001</v>
      </c>
      <c r="P293" s="149">
        <f t="shared" si="216"/>
        <v>0</v>
      </c>
      <c r="Q293" s="149">
        <f t="shared" si="216"/>
        <v>-3.0295524099999995</v>
      </c>
      <c r="R293" s="149">
        <f t="shared" si="216"/>
        <v>-1.9040060000000001</v>
      </c>
      <c r="S293" s="526">
        <f>SUM(S290:S292)</f>
        <v>8.7985369960420829</v>
      </c>
      <c r="T293" s="149">
        <f>SUM(T290:T292)</f>
        <v>9</v>
      </c>
      <c r="U293" s="149">
        <f t="shared" ref="U293:AE293" si="217">SUM(U290:U292)</f>
        <v>-3.0548756999999993</v>
      </c>
      <c r="V293" s="149">
        <f t="shared" si="217"/>
        <v>7.0936209999999997</v>
      </c>
      <c r="W293" s="149">
        <f t="shared" si="217"/>
        <v>0</v>
      </c>
      <c r="X293" s="149">
        <f t="shared" si="217"/>
        <v>-3.08041995</v>
      </c>
      <c r="Y293" s="149">
        <f t="shared" si="217"/>
        <v>2.1859830000000002</v>
      </c>
      <c r="Z293" s="149">
        <f t="shared" si="217"/>
        <v>-0.125</v>
      </c>
      <c r="AA293" s="149">
        <f t="shared" si="217"/>
        <v>-3.1018647300000008</v>
      </c>
      <c r="AB293" s="149">
        <f t="shared" si="217"/>
        <v>1.6880760000000006</v>
      </c>
      <c r="AC293" s="149">
        <f t="shared" si="217"/>
        <v>0</v>
      </c>
      <c r="AD293" s="149">
        <f t="shared" si="217"/>
        <v>-3.1278234400000002</v>
      </c>
      <c r="AE293" s="149">
        <f t="shared" si="217"/>
        <v>-1.9951030000000001</v>
      </c>
      <c r="AF293" s="526">
        <f>SUM(AF290:AF292)</f>
        <v>5.4825931800000012</v>
      </c>
      <c r="AG293" s="149">
        <f>SUM(AG290:AG292)</f>
        <v>-22.922846010000001</v>
      </c>
      <c r="AH293" s="149">
        <f t="shared" ref="AH293:AQ293" si="218">SUM(AH290:AH292)</f>
        <v>-25.221311457787145</v>
      </c>
      <c r="AI293" s="149">
        <f t="shared" si="218"/>
        <v>-26.452561599620761</v>
      </c>
      <c r="AJ293" s="149">
        <f t="shared" si="218"/>
        <v>-27.342434175909379</v>
      </c>
      <c r="AK293" s="149">
        <f t="shared" si="218"/>
        <v>-31.013791945786455</v>
      </c>
      <c r="AL293" s="149">
        <f t="shared" si="218"/>
        <v>-73.329009690060232</v>
      </c>
      <c r="AM293" s="149">
        <f t="shared" si="218"/>
        <v>-65.451012784862058</v>
      </c>
      <c r="AN293" s="149">
        <f t="shared" si="218"/>
        <v>-32.659805716307929</v>
      </c>
      <c r="AO293" s="149">
        <f t="shared" si="218"/>
        <v>160.26306159890285</v>
      </c>
      <c r="AP293" s="149">
        <f t="shared" si="218"/>
        <v>-35.633285738783094</v>
      </c>
      <c r="AQ293" s="149">
        <f t="shared" si="218"/>
        <v>-37.162457318646581</v>
      </c>
      <c r="AR293" s="149"/>
      <c r="AS293" s="149"/>
    </row>
    <row r="294" spans="1:45">
      <c r="A294" s="422">
        <f t="shared" si="189"/>
        <v>292</v>
      </c>
      <c r="B294" s="137"/>
      <c r="C294" s="149"/>
      <c r="D294" s="149"/>
      <c r="E294" s="149"/>
      <c r="F294" s="526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526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526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</row>
    <row r="295" spans="1:45">
      <c r="A295" s="422">
        <f t="shared" si="189"/>
        <v>293</v>
      </c>
      <c r="B295" s="456" t="s">
        <v>606</v>
      </c>
      <c r="C295" s="149"/>
      <c r="D295" s="149"/>
      <c r="E295" s="149"/>
      <c r="F295" s="526"/>
      <c r="G295" s="149">
        <f>G282+G287+G293</f>
        <v>-4.3160424580398535</v>
      </c>
      <c r="H295" s="149">
        <f t="shared" ref="H295:AP295" si="219">H282+H287+H293</f>
        <v>2.3980233027697038</v>
      </c>
      <c r="I295" s="149">
        <f t="shared" si="219"/>
        <v>4.1800291515580792</v>
      </c>
      <c r="J295" s="149">
        <f t="shared" si="219"/>
        <v>-0.49783956688122011</v>
      </c>
      <c r="K295" s="149">
        <f t="shared" si="219"/>
        <v>-11.75319931375477</v>
      </c>
      <c r="L295" s="149">
        <f t="shared" si="219"/>
        <v>-0.10442771538193085</v>
      </c>
      <c r="M295" s="149">
        <f t="shared" si="219"/>
        <v>-1.7448521596460329</v>
      </c>
      <c r="N295" s="149">
        <f t="shared" si="219"/>
        <v>-6.1954982856237724</v>
      </c>
      <c r="O295" s="149">
        <f t="shared" si="219"/>
        <v>20.205851421154705</v>
      </c>
      <c r="P295" s="149">
        <f t="shared" si="219"/>
        <v>-8.2202624041683698</v>
      </c>
      <c r="Q295" s="149">
        <f t="shared" si="219"/>
        <v>-10.80564232177052</v>
      </c>
      <c r="R295" s="149">
        <f t="shared" si="219"/>
        <v>-12.297656351681196</v>
      </c>
      <c r="S295" s="526">
        <f t="shared" si="219"/>
        <v>-29.151516701465148</v>
      </c>
      <c r="T295" s="149">
        <f t="shared" si="219"/>
        <v>11.984588089276128</v>
      </c>
      <c r="U295" s="149">
        <f t="shared" si="219"/>
        <v>1.9409947762784814</v>
      </c>
      <c r="V295" s="149">
        <f t="shared" si="219"/>
        <v>9.7126142650634328</v>
      </c>
      <c r="W295" s="149">
        <f t="shared" si="219"/>
        <v>-13.996437358291633</v>
      </c>
      <c r="X295" s="149">
        <f t="shared" si="219"/>
        <v>-20.014383120894273</v>
      </c>
      <c r="Y295" s="149">
        <f t="shared" si="219"/>
        <v>-3.5364333540414128</v>
      </c>
      <c r="Z295" s="149">
        <f t="shared" si="219"/>
        <v>4.3834480152176942</v>
      </c>
      <c r="AA295" s="149">
        <f t="shared" si="219"/>
        <v>-0.22823321153176535</v>
      </c>
      <c r="AB295" s="149">
        <f t="shared" si="219"/>
        <v>7.8715275985140849</v>
      </c>
      <c r="AC295" s="149">
        <f t="shared" si="219"/>
        <v>3.4301175727806652</v>
      </c>
      <c r="AD295" s="149">
        <f t="shared" si="219"/>
        <v>0.28317509742614266</v>
      </c>
      <c r="AE295" s="149">
        <f t="shared" si="219"/>
        <v>-3.6619737932469389</v>
      </c>
      <c r="AF295" s="526">
        <f t="shared" si="219"/>
        <v>-1.8309954234494237</v>
      </c>
      <c r="AG295" s="149">
        <f t="shared" si="219"/>
        <v>1.7531013035533434</v>
      </c>
      <c r="AH295" s="149">
        <f t="shared" si="219"/>
        <v>8.4818116363996623</v>
      </c>
      <c r="AI295" s="149">
        <f t="shared" si="219"/>
        <v>2.8189591091084587</v>
      </c>
      <c r="AJ295" s="149">
        <f t="shared" si="219"/>
        <v>2.539827294936952</v>
      </c>
      <c r="AK295" s="149">
        <f t="shared" si="219"/>
        <v>-11.932706505813986</v>
      </c>
      <c r="AL295" s="149">
        <f t="shared" si="219"/>
        <v>-24.233363520626661</v>
      </c>
      <c r="AM295" s="149">
        <f t="shared" si="219"/>
        <v>-29.905863922108068</v>
      </c>
      <c r="AN295" s="149">
        <f t="shared" si="219"/>
        <v>-10.118582809449379</v>
      </c>
      <c r="AO295" s="149">
        <f t="shared" si="219"/>
        <v>170.23575161794042</v>
      </c>
      <c r="AP295" s="149">
        <f t="shared" si="219"/>
        <v>-36.60748448812658</v>
      </c>
      <c r="AQ295" s="149">
        <f>AQ282+AQ287+AQ293</f>
        <v>-38.368306203775454</v>
      </c>
      <c r="AR295" s="149"/>
      <c r="AS295" s="149"/>
    </row>
    <row r="296" spans="1:45">
      <c r="A296" s="422">
        <f t="shared" si="189"/>
        <v>294</v>
      </c>
      <c r="B296" s="137"/>
      <c r="C296" s="149"/>
      <c r="D296" s="149"/>
      <c r="E296" s="149"/>
      <c r="F296" s="526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526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526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</row>
    <row r="297" spans="1:45" ht="15.75">
      <c r="A297" s="422">
        <f t="shared" si="189"/>
        <v>295</v>
      </c>
      <c r="B297" s="455" t="s">
        <v>151</v>
      </c>
      <c r="C297" s="149"/>
      <c r="D297" s="149"/>
      <c r="E297" s="149"/>
      <c r="F297" s="526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530">
        <f>E250</f>
        <v>110.17274751000001</v>
      </c>
      <c r="T297" s="299"/>
      <c r="U297" s="299"/>
      <c r="V297" s="299"/>
      <c r="W297" s="299"/>
      <c r="X297" s="299"/>
      <c r="Y297" s="299"/>
      <c r="Z297" s="299"/>
      <c r="AA297" s="299"/>
      <c r="AB297" s="299"/>
      <c r="AC297" s="299"/>
      <c r="AD297" s="299"/>
      <c r="AE297" s="299"/>
      <c r="AF297" s="530">
        <f>S250</f>
        <v>81.021230808534881</v>
      </c>
      <c r="AG297" s="299">
        <f>AF250</f>
        <v>79.190235385085487</v>
      </c>
      <c r="AH297" s="299">
        <f t="shared" ref="AH297:AQ297" si="220">AG250</f>
        <v>80.943336688638738</v>
      </c>
      <c r="AI297" s="299">
        <f t="shared" si="220"/>
        <v>89.425148325038535</v>
      </c>
      <c r="AJ297" s="299">
        <f t="shared" si="220"/>
        <v>92.244107434146798</v>
      </c>
      <c r="AK297" s="299">
        <f t="shared" si="220"/>
        <v>94.783934729083825</v>
      </c>
      <c r="AL297" s="299">
        <f t="shared" si="220"/>
        <v>82.851228223269999</v>
      </c>
      <c r="AM297" s="299">
        <f t="shared" si="220"/>
        <v>58.617864702643253</v>
      </c>
      <c r="AN297" s="299">
        <f t="shared" si="220"/>
        <v>28.712000780535043</v>
      </c>
      <c r="AO297" s="299">
        <f t="shared" si="220"/>
        <v>18.593417971085465</v>
      </c>
      <c r="AP297" s="299">
        <f t="shared" si="220"/>
        <v>188.82916958902601</v>
      </c>
      <c r="AQ297" s="299">
        <f t="shared" si="220"/>
        <v>152.22168510089946</v>
      </c>
      <c r="AR297" s="299"/>
      <c r="AS297" s="299"/>
    </row>
    <row r="298" spans="1:45" ht="15.75">
      <c r="A298" s="422">
        <f t="shared" si="189"/>
        <v>296</v>
      </c>
      <c r="B298" s="455" t="s">
        <v>152</v>
      </c>
      <c r="C298" s="149"/>
      <c r="D298" s="149"/>
      <c r="E298" s="149"/>
      <c r="F298" s="526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530">
        <f>S297+S295</f>
        <v>81.021230808534852</v>
      </c>
      <c r="T298" s="299"/>
      <c r="U298" s="299"/>
      <c r="V298" s="299"/>
      <c r="W298" s="299"/>
      <c r="X298" s="299"/>
      <c r="Y298" s="299"/>
      <c r="Z298" s="299"/>
      <c r="AA298" s="299"/>
      <c r="AB298" s="299"/>
      <c r="AC298" s="299"/>
      <c r="AD298" s="299"/>
      <c r="AE298" s="299"/>
      <c r="AF298" s="530">
        <f>AF297+AF295</f>
        <v>79.190235385085458</v>
      </c>
      <c r="AG298" s="299">
        <f>AG297+AG295</f>
        <v>80.943336688638823</v>
      </c>
      <c r="AH298" s="299">
        <f t="shared" ref="AH298:AQ298" si="221">AH297+AH295</f>
        <v>89.425148325038407</v>
      </c>
      <c r="AI298" s="299">
        <f t="shared" si="221"/>
        <v>92.244107434146997</v>
      </c>
      <c r="AJ298" s="299">
        <f t="shared" si="221"/>
        <v>94.783934729083754</v>
      </c>
      <c r="AK298" s="299">
        <f t="shared" si="221"/>
        <v>82.851228223269842</v>
      </c>
      <c r="AL298" s="299">
        <f t="shared" si="221"/>
        <v>58.617864702643338</v>
      </c>
      <c r="AM298" s="299">
        <f t="shared" si="221"/>
        <v>28.712000780535185</v>
      </c>
      <c r="AN298" s="299">
        <f t="shared" si="221"/>
        <v>18.593417971085664</v>
      </c>
      <c r="AO298" s="299">
        <f t="shared" si="221"/>
        <v>188.82916958902589</v>
      </c>
      <c r="AP298" s="299">
        <f t="shared" si="221"/>
        <v>152.22168510089944</v>
      </c>
      <c r="AQ298" s="299">
        <f t="shared" si="221"/>
        <v>113.853378897124</v>
      </c>
      <c r="AR298" s="299"/>
      <c r="AS298" s="299"/>
    </row>
    <row r="299" spans="1:45">
      <c r="A299" s="422">
        <f t="shared" si="189"/>
        <v>297</v>
      </c>
      <c r="B299" s="137"/>
      <c r="C299" s="149"/>
      <c r="D299" s="149"/>
      <c r="E299" s="149"/>
      <c r="F299" s="526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526"/>
      <c r="T299" s="437"/>
      <c r="U299" s="437"/>
      <c r="V299" s="437"/>
      <c r="W299" s="437"/>
      <c r="X299" s="437"/>
      <c r="Y299" s="437"/>
      <c r="Z299" s="437"/>
      <c r="AA299" s="437"/>
      <c r="AB299" s="437"/>
      <c r="AC299" s="437"/>
      <c r="AD299" s="437"/>
      <c r="AE299" s="437"/>
      <c r="AF299" s="526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</row>
    <row r="300" spans="1:45">
      <c r="A300" s="422">
        <f t="shared" si="189"/>
        <v>298</v>
      </c>
      <c r="B300" s="459" t="s">
        <v>400</v>
      </c>
      <c r="C300" s="149"/>
      <c r="D300" s="149"/>
      <c r="E300" s="149"/>
      <c r="F300" s="526"/>
      <c r="G300" s="437">
        <f>G295-G250+E250</f>
        <v>0</v>
      </c>
      <c r="H300" s="437">
        <f>H295-H250+G250</f>
        <v>0</v>
      </c>
      <c r="I300" s="437">
        <f t="shared" ref="I300:AE300" si="222">I295-I250+H250</f>
        <v>0</v>
      </c>
      <c r="J300" s="437">
        <f t="shared" si="222"/>
        <v>0</v>
      </c>
      <c r="K300" s="437">
        <f t="shared" si="222"/>
        <v>0</v>
      </c>
      <c r="L300" s="437">
        <f t="shared" si="222"/>
        <v>0</v>
      </c>
      <c r="M300" s="437">
        <f t="shared" si="222"/>
        <v>0</v>
      </c>
      <c r="N300" s="437">
        <f t="shared" si="222"/>
        <v>0</v>
      </c>
      <c r="O300" s="437">
        <f t="shared" si="222"/>
        <v>0</v>
      </c>
      <c r="P300" s="437">
        <f t="shared" si="222"/>
        <v>0</v>
      </c>
      <c r="Q300" s="437">
        <f t="shared" si="222"/>
        <v>0</v>
      </c>
      <c r="R300" s="437">
        <f t="shared" si="222"/>
        <v>0</v>
      </c>
      <c r="S300" s="534">
        <f>S250-S298</f>
        <v>0</v>
      </c>
      <c r="T300" s="342">
        <f>T295-T250+S250</f>
        <v>0</v>
      </c>
      <c r="U300" s="342">
        <f t="shared" si="222"/>
        <v>0</v>
      </c>
      <c r="V300" s="342">
        <f t="shared" si="222"/>
        <v>0</v>
      </c>
      <c r="W300" s="342">
        <f t="shared" si="222"/>
        <v>0</v>
      </c>
      <c r="X300" s="342">
        <f t="shared" si="222"/>
        <v>0</v>
      </c>
      <c r="Y300" s="342">
        <f t="shared" si="222"/>
        <v>0</v>
      </c>
      <c r="Z300" s="342">
        <f t="shared" si="222"/>
        <v>0</v>
      </c>
      <c r="AA300" s="342">
        <f t="shared" si="222"/>
        <v>0</v>
      </c>
      <c r="AB300" s="342">
        <f t="shared" si="222"/>
        <v>0</v>
      </c>
      <c r="AC300" s="342">
        <f t="shared" si="222"/>
        <v>0</v>
      </c>
      <c r="AD300" s="342">
        <f t="shared" si="222"/>
        <v>0</v>
      </c>
      <c r="AE300" s="342">
        <f t="shared" si="222"/>
        <v>0</v>
      </c>
      <c r="AF300" s="534">
        <f>AF250-AF298</f>
        <v>0</v>
      </c>
      <c r="AG300" s="342">
        <f t="shared" ref="AG300:AP300" si="223">AG250-AG298</f>
        <v>0</v>
      </c>
      <c r="AH300" s="342">
        <f t="shared" si="223"/>
        <v>1.2789769243681803E-13</v>
      </c>
      <c r="AI300" s="342">
        <f t="shared" si="223"/>
        <v>-1.9895196601282805E-13</v>
      </c>
      <c r="AJ300" s="342">
        <f t="shared" si="223"/>
        <v>0</v>
      </c>
      <c r="AK300" s="342">
        <f t="shared" si="223"/>
        <v>1.5631940186722204E-13</v>
      </c>
      <c r="AL300" s="342">
        <f t="shared" si="223"/>
        <v>-8.5265128291212022E-14</v>
      </c>
      <c r="AM300" s="342">
        <f t="shared" si="223"/>
        <v>-1.4210854715202004E-13</v>
      </c>
      <c r="AN300" s="342">
        <f t="shared" si="223"/>
        <v>-1.9895196601282805E-13</v>
      </c>
      <c r="AO300" s="342">
        <f t="shared" si="223"/>
        <v>0</v>
      </c>
      <c r="AP300" s="342">
        <f t="shared" si="223"/>
        <v>0</v>
      </c>
      <c r="AQ300" s="342">
        <f>AQ250-AQ298</f>
        <v>-1.4210854715202004E-13</v>
      </c>
      <c r="AR300" s="342"/>
      <c r="AS300" s="342"/>
    </row>
    <row r="301" spans="1:45" ht="15.75">
      <c r="A301" s="422">
        <f t="shared" si="189"/>
        <v>299</v>
      </c>
      <c r="B301" s="115" t="s">
        <v>588</v>
      </c>
      <c r="C301" s="149"/>
      <c r="D301" s="149"/>
      <c r="E301" s="149"/>
      <c r="F301" s="526"/>
      <c r="G301" s="458"/>
      <c r="H301" s="458"/>
      <c r="I301" s="458"/>
      <c r="J301" s="458"/>
      <c r="K301" s="458"/>
      <c r="L301" s="458"/>
      <c r="M301" s="458"/>
      <c r="N301" s="458"/>
      <c r="O301" s="458"/>
      <c r="P301" s="458"/>
      <c r="Q301" s="458"/>
      <c r="R301" s="458"/>
      <c r="S301" s="535"/>
      <c r="T301" s="458"/>
      <c r="U301" s="458"/>
      <c r="V301" s="458"/>
      <c r="W301" s="458"/>
      <c r="X301" s="458"/>
      <c r="Y301" s="458"/>
      <c r="Z301" s="458"/>
      <c r="AA301" s="458"/>
      <c r="AB301" s="458"/>
      <c r="AC301" s="458"/>
      <c r="AD301" s="458"/>
      <c r="AE301" s="458"/>
      <c r="AF301" s="535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</row>
    <row r="302" spans="1:45" ht="15.75">
      <c r="A302" s="422">
        <f t="shared" si="189"/>
        <v>300</v>
      </c>
      <c r="B302" s="118"/>
      <c r="C302" s="149"/>
      <c r="D302" s="149"/>
      <c r="E302" s="149"/>
      <c r="F302" s="526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526"/>
      <c r="T302" s="149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149"/>
      <c r="AF302" s="526"/>
      <c r="AG302" s="149"/>
      <c r="AH302" s="149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</row>
    <row r="303" spans="1:45">
      <c r="A303" s="422">
        <f t="shared" si="189"/>
        <v>301</v>
      </c>
      <c r="B303" s="143" t="s">
        <v>328</v>
      </c>
      <c r="C303" s="149"/>
      <c r="D303" s="149"/>
      <c r="E303" s="149"/>
      <c r="F303" s="526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526"/>
      <c r="T303" s="149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149"/>
      <c r="AF303" s="526"/>
      <c r="AG303" s="149"/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</row>
    <row r="304" spans="1:45">
      <c r="A304" s="422">
        <f t="shared" si="189"/>
        <v>302</v>
      </c>
      <c r="B304" s="144" t="s">
        <v>174</v>
      </c>
      <c r="C304" s="149"/>
      <c r="D304" s="149"/>
      <c r="E304" s="149">
        <f>13.73423529-1.45762845</f>
        <v>12.276606840000001</v>
      </c>
      <c r="F304" s="526"/>
      <c r="G304" s="149">
        <f>G127-Rates!M104</f>
        <v>3.9063415694116728</v>
      </c>
      <c r="H304" s="149">
        <f>H127-Rates!N104</f>
        <v>1.7842724503579801</v>
      </c>
      <c r="I304" s="149">
        <f>I127-Rates!O104</f>
        <v>0.45753099716582879</v>
      </c>
      <c r="J304" s="149">
        <f>J127-Rates!P104</f>
        <v>-3.3998531121105633</v>
      </c>
      <c r="K304" s="149">
        <f>K127-Rates!Q104</f>
        <v>-5.8573687101801681</v>
      </c>
      <c r="L304" s="149">
        <f>L127-Rates!R104</f>
        <v>0.86520400302119904</v>
      </c>
      <c r="M304" s="149">
        <f>M127-Rates!S104</f>
        <v>2.7485524742805718</v>
      </c>
      <c r="N304" s="149">
        <f>N127-Rates!T104</f>
        <v>2.7426875214673796</v>
      </c>
      <c r="O304" s="149">
        <f>O127-Rates!U104</f>
        <v>-0.14420289917154466</v>
      </c>
      <c r="P304" s="149">
        <f>P127-Rates!V104</f>
        <v>-2.4970378922993977</v>
      </c>
      <c r="Q304" s="149">
        <f>Q127-Rates!W104</f>
        <v>0.38498363917544204</v>
      </c>
      <c r="R304" s="149">
        <f>R127-Rates!X104</f>
        <v>3.9652310465060441</v>
      </c>
      <c r="S304" s="526">
        <f>S127-Rates!Y104</f>
        <v>4.9563410876243665</v>
      </c>
      <c r="T304" s="149">
        <f>T127-Rates!Z104</f>
        <v>5.1542174808029637</v>
      </c>
      <c r="U304" s="149">
        <f>U127-Rates!AA104</f>
        <v>3.5472211054431866</v>
      </c>
      <c r="V304" s="149">
        <f>V127-Rates!AB104</f>
        <v>0.64358061278814249</v>
      </c>
      <c r="W304" s="149">
        <f>W127-Rates!AC104</f>
        <v>-6.650488563539998</v>
      </c>
      <c r="X304" s="149">
        <f>X127-Rates!AD104</f>
        <v>-4.2200341661549565</v>
      </c>
      <c r="Y304" s="149">
        <f>Y127-Rates!AE104</f>
        <v>1.9088050186316321</v>
      </c>
      <c r="Z304" s="149">
        <f>Z127-Rates!AF104</f>
        <v>3.7245219874210251</v>
      </c>
      <c r="AA304" s="149">
        <f>AA127-Rates!AG104</f>
        <v>3.6062467717356013</v>
      </c>
      <c r="AB304" s="149">
        <f>AB127-Rates!AH104</f>
        <v>0.58511372641647175</v>
      </c>
      <c r="AC304" s="149">
        <f>AC127-Rates!AI104</f>
        <v>-1.777628490991074</v>
      </c>
      <c r="AD304" s="149">
        <f>AD127-Rates!AJ104</f>
        <v>1.0901283836832727</v>
      </c>
      <c r="AE304" s="149">
        <f>AE127-Rates!AK104</f>
        <v>3.8128950141556635</v>
      </c>
      <c r="AF304" s="526">
        <f>AF127-Rates!AL104</f>
        <v>11.424578880391895</v>
      </c>
      <c r="AG304" s="149">
        <f>AG127-Rates!AM104</f>
        <v>11.406374047922721</v>
      </c>
      <c r="AH304" s="149">
        <f>AH127-Rates!AN104</f>
        <v>8.4975233860462787</v>
      </c>
      <c r="AI304" s="149">
        <f>AI127-Rates!AO104</f>
        <v>6.5520031807886649</v>
      </c>
      <c r="AJ304" s="149">
        <f>AJ127-Rates!AP104</f>
        <v>7.1657626060400208</v>
      </c>
      <c r="AK304" s="149">
        <f>AK127-Rates!AQ104</f>
        <v>10.926038416876215</v>
      </c>
      <c r="AL304" s="149">
        <f>AL127-Rates!AR104</f>
        <v>10.391853502524167</v>
      </c>
      <c r="AM304" s="149">
        <f>AM127-Rates!AS104</f>
        <v>9.7558011372276834</v>
      </c>
      <c r="AN304" s="149">
        <f>AN127-Rates!AT104</f>
        <v>9.3493954135762216</v>
      </c>
      <c r="AO304" s="149">
        <f>AO127-Rates!AU104</f>
        <v>9.1766216743108533</v>
      </c>
      <c r="AP304" s="149">
        <f>AP127-Rates!AV104</f>
        <v>11.928022102672639</v>
      </c>
      <c r="AQ304" s="149">
        <f>AQ127-Rates!AW104</f>
        <v>11.522088045127777</v>
      </c>
      <c r="AR304" s="149"/>
      <c r="AS304" s="149"/>
    </row>
    <row r="305" spans="1:45">
      <c r="A305" s="422">
        <f t="shared" si="189"/>
        <v>303</v>
      </c>
      <c r="B305" s="142" t="s">
        <v>19</v>
      </c>
      <c r="C305" s="149"/>
      <c r="D305" s="149"/>
      <c r="E305" s="149">
        <v>46.19539949</v>
      </c>
      <c r="F305" s="526"/>
      <c r="G305" s="149">
        <f>G110+Rates!M104</f>
        <v>3.801779070814082</v>
      </c>
      <c r="H305" s="149">
        <f>H110+Rates!N104</f>
        <v>3.4943951115753671</v>
      </c>
      <c r="I305" s="149">
        <f>I110+Rates!O104</f>
        <v>3.9287821486613619</v>
      </c>
      <c r="J305" s="149">
        <f>J110+Rates!P104</f>
        <v>3.83665864991969</v>
      </c>
      <c r="K305" s="149">
        <f>K110+Rates!Q104</f>
        <v>3.9440452341408143</v>
      </c>
      <c r="L305" s="149">
        <f>L110+Rates!R104</f>
        <v>3.8024176742278777</v>
      </c>
      <c r="M305" s="149">
        <f>M110+Rates!S104</f>
        <v>3.9362067521730828</v>
      </c>
      <c r="N305" s="149">
        <f>N110+Rates!T104</f>
        <v>3.9362085321730831</v>
      </c>
      <c r="O305" s="149">
        <f>O110+Rates!U104</f>
        <v>3.8212760943723696</v>
      </c>
      <c r="P305" s="149">
        <f>P110+Rates!V104</f>
        <v>3.9734602275230535</v>
      </c>
      <c r="Q305" s="149">
        <f>Q110+Rates!W104</f>
        <v>3.8654261019066158</v>
      </c>
      <c r="R305" s="149">
        <f>R110+Rates!X104</f>
        <v>3.9650209604738875</v>
      </c>
      <c r="S305" s="526">
        <f>S110+Rates!Y104</f>
        <v>46.305676557961284</v>
      </c>
      <c r="T305" s="149">
        <f>T110+Rates!Z104</f>
        <v>3.9097754603369017</v>
      </c>
      <c r="U305" s="149">
        <f>U110+Rates!AA104</f>
        <v>3.6642238723916956</v>
      </c>
      <c r="V305" s="149">
        <f>V110+Rates!AB104</f>
        <v>3.9823145892786194</v>
      </c>
      <c r="W305" s="149">
        <f>W110+Rates!AC104</f>
        <v>3.8982678284567012</v>
      </c>
      <c r="X305" s="149">
        <f>X110+Rates!AD104</f>
        <v>4.0079655861279342</v>
      </c>
      <c r="Y305" s="149">
        <f>Y110+Rates!AE104</f>
        <v>3.8807800374799095</v>
      </c>
      <c r="Z305" s="149">
        <f>Z110+Rates!AF104</f>
        <v>4.0073893833703202</v>
      </c>
      <c r="AA305" s="149">
        <f>AA110+Rates!AG104</f>
        <v>4.0073912733703203</v>
      </c>
      <c r="AB305" s="149">
        <f>AB110+Rates!AH104</f>
        <v>3.8897148599820222</v>
      </c>
      <c r="AC305" s="149">
        <f>AC110+Rates!AI104</f>
        <v>4.0110692558724326</v>
      </c>
      <c r="AD305" s="149">
        <f>AD110+Rates!AJ104</f>
        <v>3.9016498424477755</v>
      </c>
      <c r="AE305" s="149">
        <f>AE110+Rates!AK104</f>
        <v>4.0023426518211815</v>
      </c>
      <c r="AF305" s="526">
        <f>AF110+Rates!AL104</f>
        <v>47.162884640935815</v>
      </c>
      <c r="AG305" s="149">
        <f>AG110+Rates!AM104</f>
        <v>47.086316568922427</v>
      </c>
      <c r="AH305" s="149">
        <f>AH110+Rates!AN104</f>
        <v>46.728476173825342</v>
      </c>
      <c r="AI305" s="149">
        <f>AI110+Rates!AO104</f>
        <v>46.187527526229218</v>
      </c>
      <c r="AJ305" s="149">
        <f>AJ110+Rates!AP104</f>
        <v>45.672031402321018</v>
      </c>
      <c r="AK305" s="149">
        <f>AK110+Rates!AQ104</f>
        <v>45.079611382012061</v>
      </c>
      <c r="AL305" s="149">
        <f>AL110+Rates!AR104</f>
        <v>42.852504259480142</v>
      </c>
      <c r="AM305" s="149">
        <f>AM110+Rates!AS104</f>
        <v>40.200945414741241</v>
      </c>
      <c r="AN305" s="149">
        <f>AN110+Rates!AT104</f>
        <v>38.506243554889551</v>
      </c>
      <c r="AO305" s="149">
        <f>AO110+Rates!AU104</f>
        <v>37.78500426261197</v>
      </c>
      <c r="AP305" s="149">
        <f>AP110+Rates!AV104</f>
        <v>49.247819955978557</v>
      </c>
      <c r="AQ305" s="149">
        <f>AQ110+Rates!AW104</f>
        <v>47.555071233125901</v>
      </c>
      <c r="AR305" s="149"/>
      <c r="AS305" s="149"/>
    </row>
    <row r="306" spans="1:45">
      <c r="A306" s="422">
        <f t="shared" si="189"/>
        <v>304</v>
      </c>
      <c r="B306" s="142" t="s">
        <v>329</v>
      </c>
      <c r="C306" s="149"/>
      <c r="D306" s="149"/>
      <c r="E306" s="149">
        <v>0</v>
      </c>
      <c r="F306" s="526"/>
      <c r="G306" s="149">
        <f>Rates!M24*G57*(G7+G8)</f>
        <v>0</v>
      </c>
      <c r="H306" s="149">
        <f>Rates!N24*H57*(H7+H8)</f>
        <v>0</v>
      </c>
      <c r="I306" s="149">
        <f>Rates!O24*I57*(I7+I8)</f>
        <v>0</v>
      </c>
      <c r="J306" s="149">
        <f>Rates!P24*J57*(J7+J8)</f>
        <v>0</v>
      </c>
      <c r="K306" s="149">
        <f>Rates!Q24*K57*(K7+K8)</f>
        <v>0</v>
      </c>
      <c r="L306" s="149">
        <f>Rates!R24*L57*(L7+L8)</f>
        <v>0</v>
      </c>
      <c r="M306" s="149">
        <f>Rates!S24*M57*(M7+M8)</f>
        <v>0</v>
      </c>
      <c r="N306" s="149">
        <f>Rates!T24*N57*(N7+N8)</f>
        <v>0</v>
      </c>
      <c r="O306" s="149">
        <f>Rates!U24*O57*(O7+O8)</f>
        <v>0</v>
      </c>
      <c r="P306" s="149">
        <f>Rates!V24*P57*(P7+P8)</f>
        <v>0</v>
      </c>
      <c r="Q306" s="149">
        <f>Rates!W24*Q57*(Q7+Q8)</f>
        <v>0</v>
      </c>
      <c r="R306" s="149">
        <f>Rates!X24*R57*(R7+R8)</f>
        <v>0</v>
      </c>
      <c r="S306" s="526">
        <f>SUM(G306:R306)</f>
        <v>0</v>
      </c>
      <c r="T306" s="149">
        <f>Rates!Z24*T57*(T7+T8)</f>
        <v>0</v>
      </c>
      <c r="U306" s="149">
        <f>Rates!AA24*U57*(U7+U8)</f>
        <v>0</v>
      </c>
      <c r="V306" s="149">
        <f>Rates!AB24*V57*(V7+V8)</f>
        <v>0</v>
      </c>
      <c r="W306" s="149">
        <f>Rates!AC24*W57*(W7+W8)</f>
        <v>0</v>
      </c>
      <c r="X306" s="149">
        <f>Rates!AD24*X57*(X7+X8)</f>
        <v>0</v>
      </c>
      <c r="Y306" s="149">
        <f>Rates!AE24*Y57*(Y7+Y8)</f>
        <v>0</v>
      </c>
      <c r="Z306" s="149">
        <f>Rates!AF24*Z57*(Z7+Z8)</f>
        <v>0</v>
      </c>
      <c r="AA306" s="149">
        <f>Rates!AG24*AA57*(AA7+AA8)</f>
        <v>0</v>
      </c>
      <c r="AB306" s="149">
        <f>Rates!AH24*AB57*(AB7+AB8)</f>
        <v>0</v>
      </c>
      <c r="AC306" s="149">
        <f>Rates!AI24*AC57*(AC7+AC8)</f>
        <v>0</v>
      </c>
      <c r="AD306" s="149">
        <f>Rates!AJ24*AD57*(AD7+AD8)</f>
        <v>0</v>
      </c>
      <c r="AE306" s="149">
        <f>Rates!AK24*AE57*(AE7+AE8)</f>
        <v>0</v>
      </c>
      <c r="AF306" s="526">
        <f>SUM(T306:AE306)</f>
        <v>0</v>
      </c>
      <c r="AG306" s="149">
        <f>Rates!AM24*AG57*(AG7+AG8)</f>
        <v>0</v>
      </c>
      <c r="AH306" s="149">
        <f>Rates!AN24*AH57*(AH7+AH8)</f>
        <v>0</v>
      </c>
      <c r="AI306" s="149">
        <f>Rates!AO24*AI57*(AI7+AI8)</f>
        <v>0</v>
      </c>
      <c r="AJ306" s="149">
        <f>Rates!AP24*AJ57*(AJ7+AJ8)</f>
        <v>0</v>
      </c>
      <c r="AK306" s="149">
        <f>Rates!AQ24*AK57*(AK7+AK8)</f>
        <v>0</v>
      </c>
      <c r="AL306" s="149">
        <f>Rates!AR24*AL57*(AL7+AL8)</f>
        <v>0</v>
      </c>
      <c r="AM306" s="149">
        <f>Rates!AS24*AM57*(AM7+AM8)</f>
        <v>0</v>
      </c>
      <c r="AN306" s="149">
        <f>Rates!AT24*AN57*(AN7+AN8)</f>
        <v>0</v>
      </c>
      <c r="AO306" s="149">
        <f>Rates!AU24*AO57*(AO7+AO8)</f>
        <v>0</v>
      </c>
      <c r="AP306" s="149">
        <f>Rates!AV24*AP57*(AP7+AP8)</f>
        <v>0</v>
      </c>
      <c r="AQ306" s="149">
        <f>Rates!AW24*AQ57*(AQ7+AQ8)</f>
        <v>0</v>
      </c>
      <c r="AR306" s="149"/>
      <c r="AS306" s="149"/>
    </row>
    <row r="307" spans="1:45">
      <c r="A307" s="422">
        <f t="shared" si="189"/>
        <v>305</v>
      </c>
      <c r="B307" s="142" t="s">
        <v>330</v>
      </c>
      <c r="C307" s="149"/>
      <c r="D307" s="149"/>
      <c r="E307" s="149">
        <v>0</v>
      </c>
      <c r="F307" s="526"/>
      <c r="G307" s="149">
        <f>IF(Rates!$Y$125&gt;0,-G306,0)</f>
        <v>0</v>
      </c>
      <c r="H307" s="149">
        <f>IF(Rates!$Y$125&gt;0,-H306,0)</f>
        <v>0</v>
      </c>
      <c r="I307" s="149">
        <f>IF(Rates!$Y$125&gt;0,-I306,0)</f>
        <v>0</v>
      </c>
      <c r="J307" s="149">
        <f>IF(Rates!$Y$125&gt;0,-J306,0)</f>
        <v>0</v>
      </c>
      <c r="K307" s="149">
        <f>IF(Rates!$Y$125&gt;0,-K306,0)</f>
        <v>0</v>
      </c>
      <c r="L307" s="149">
        <f>IF(Rates!$Y$125&gt;0,-L306,0)</f>
        <v>0</v>
      </c>
      <c r="M307" s="149">
        <f>IF(Rates!$Y$125&gt;0,-M306,0)</f>
        <v>0</v>
      </c>
      <c r="N307" s="149">
        <f>IF(Rates!$Y$125&gt;0,-N306,0)</f>
        <v>0</v>
      </c>
      <c r="O307" s="149">
        <f>IF(Rates!$Y$125&gt;0,-O306,0)</f>
        <v>0</v>
      </c>
      <c r="P307" s="149">
        <f>IF(Rates!$Y$125&gt;0,-P306,0)</f>
        <v>0</v>
      </c>
      <c r="Q307" s="149">
        <f>IF(Rates!$Y$125&gt;0,-Q306,0)</f>
        <v>0</v>
      </c>
      <c r="R307" s="149">
        <f>IF(Rates!$Y$125&gt;0,-R306,0)</f>
        <v>0</v>
      </c>
      <c r="S307" s="526">
        <f>SUM(G307:R307)</f>
        <v>0</v>
      </c>
      <c r="T307" s="149">
        <f>IF(Rates!$AL$125&gt;0,-T306,0)</f>
        <v>0</v>
      </c>
      <c r="U307" s="149">
        <f>IF(Rates!$AL$125&gt;0,-U306,0)</f>
        <v>0</v>
      </c>
      <c r="V307" s="149">
        <f>IF(Rates!$AL$125&gt;0,-V306,0)</f>
        <v>0</v>
      </c>
      <c r="W307" s="149">
        <f>IF(Rates!$AL$125&gt;0,-W306,0)</f>
        <v>0</v>
      </c>
      <c r="X307" s="149">
        <f>IF(Rates!$AL$125&gt;0,-X306,0)</f>
        <v>0</v>
      </c>
      <c r="Y307" s="149">
        <f>IF(Rates!$AL$125&gt;0,-Y306,0)</f>
        <v>0</v>
      </c>
      <c r="Z307" s="149">
        <f>IF(Rates!$AL$125&gt;0,-Z306,0)</f>
        <v>0</v>
      </c>
      <c r="AA307" s="149">
        <f>IF(Rates!$AL$125&gt;0,-AA306,0)</f>
        <v>0</v>
      </c>
      <c r="AB307" s="149">
        <f>IF(Rates!$AL$125&gt;0,-AB306,0)</f>
        <v>0</v>
      </c>
      <c r="AC307" s="149">
        <f>IF(Rates!$AL$125&gt;0,-AC306,0)</f>
        <v>0</v>
      </c>
      <c r="AD307" s="149">
        <f>IF(Rates!$AL$125&gt;0,-AD306,0)</f>
        <v>0</v>
      </c>
      <c r="AE307" s="149">
        <f>IF(Rates!$AL$125&gt;0,-AE306,0)</f>
        <v>0</v>
      </c>
      <c r="AF307" s="526">
        <f>SUM(T307:AE307)</f>
        <v>0</v>
      </c>
      <c r="AG307" s="149">
        <f>IF(Rates!AM125&gt;0,-AG306,0)</f>
        <v>0</v>
      </c>
      <c r="AH307" s="149">
        <f>IF(Rates!AN125&gt;0,-AH306,0)</f>
        <v>0</v>
      </c>
      <c r="AI307" s="149">
        <f>IF(Rates!AO125&gt;0,-AI306,0)</f>
        <v>0</v>
      </c>
      <c r="AJ307" s="149">
        <f>IF(Rates!AP125&gt;0,-AJ306,0)</f>
        <v>0</v>
      </c>
      <c r="AK307" s="149">
        <f>IF(Rates!AQ125&gt;0,-AK306,0)</f>
        <v>0</v>
      </c>
      <c r="AL307" s="149">
        <f>IF(Rates!AR125&gt;0,-AL306,0)</f>
        <v>0</v>
      </c>
      <c r="AM307" s="149">
        <f>IF(Rates!AS125&gt;0,-AM306,0)</f>
        <v>0</v>
      </c>
      <c r="AN307" s="149">
        <f>IF(Rates!AT125&gt;0,-AN306,0)</f>
        <v>0</v>
      </c>
      <c r="AO307" s="149">
        <f>IF(Rates!AU125&gt;0,-AO306,0)</f>
        <v>0</v>
      </c>
      <c r="AP307" s="149">
        <f>IF(Rates!AV125&gt;0,-AP306,0)</f>
        <v>0</v>
      </c>
      <c r="AQ307" s="149">
        <f>IF(Rates!AW125&gt;0,-AQ306,0)</f>
        <v>0</v>
      </c>
      <c r="AR307" s="149"/>
      <c r="AS307" s="149"/>
    </row>
    <row r="308" spans="1:45" ht="13.15" customHeight="1">
      <c r="A308" s="422">
        <f t="shared" si="189"/>
        <v>306</v>
      </c>
      <c r="B308" s="142" t="s">
        <v>176</v>
      </c>
      <c r="C308" s="156"/>
      <c r="D308" s="156"/>
      <c r="E308" s="156">
        <v>-1.18971096</v>
      </c>
      <c r="F308" s="528"/>
      <c r="G308" s="156">
        <f>-Interest!M10</f>
        <v>-8.9200249162191773E-3</v>
      </c>
      <c r="H308" s="156">
        <f>-Interest!N10</f>
        <v>-8.0588495261724995E-3</v>
      </c>
      <c r="I308" s="156">
        <f>-Interest!O10</f>
        <v>-8.924351040392171E-3</v>
      </c>
      <c r="J308" s="156">
        <f>-Interest!P10</f>
        <v>-8.6386692736806873E-3</v>
      </c>
      <c r="K308" s="156">
        <f>-Interest!Q10</f>
        <v>-8.9288260017324692E-3</v>
      </c>
      <c r="L308" s="156">
        <f>-Interest!R10</f>
        <v>-8.6430009848444886E-3</v>
      </c>
      <c r="M308" s="156">
        <f>-Interest!S10</f>
        <v>-8.9333032069646677E-3</v>
      </c>
      <c r="N308" s="156">
        <f>-Interest!T10</f>
        <v>-8.9355793636721938E-3</v>
      </c>
      <c r="O308" s="156">
        <f>-Interest!U10</f>
        <v>-8.6495381616115939E-3</v>
      </c>
      <c r="P308" s="156">
        <f>-Interest!V10</f>
        <v>-8.940059955260829E-3</v>
      </c>
      <c r="Q308" s="156">
        <f>-Interest!W10</f>
        <v>-8.653875322791096E-3</v>
      </c>
      <c r="R308" s="156">
        <f>-Interest!X10</f>
        <v>-8.9445427935645524E-3</v>
      </c>
      <c r="S308" s="528">
        <f>-Interest!Y10</f>
        <v>-0.10517062054690642</v>
      </c>
      <c r="T308" s="156">
        <f>-Interest!Z10</f>
        <v>-8.9468218140571591E-3</v>
      </c>
      <c r="U308" s="156">
        <f>-Interest!AA10</f>
        <v>-8.0830593427899233E-3</v>
      </c>
      <c r="V308" s="156">
        <f>-Interest!AB10</f>
        <v>-8.9511609344615044E-3</v>
      </c>
      <c r="W308" s="156">
        <f>-Interest!AC10</f>
        <v>-8.6646209431162722E-3</v>
      </c>
      <c r="X308" s="156">
        <f>-Interest!AD10</f>
        <v>-8.9556493391590806E-3</v>
      </c>
      <c r="Y308" s="156">
        <f>-Interest!AE10</f>
        <v>-8.6689656672954644E-3</v>
      </c>
      <c r="Z308" s="156">
        <f>-Interest!AF10</f>
        <v>-8.9601399944894897E-3</v>
      </c>
      <c r="AA308" s="156">
        <f>-Interest!AG10</f>
        <v>-8.9624229890634313E-3</v>
      </c>
      <c r="AB308" s="156">
        <f>-Interest!AH10</f>
        <v>-8.675522482579235E-3</v>
      </c>
      <c r="AC308" s="156">
        <f>-Interest!AI10</f>
        <v>-8.9669170409233286E-3</v>
      </c>
      <c r="AD308" s="156">
        <f>-Interest!AJ10</f>
        <v>-8.679872673146672E-3</v>
      </c>
      <c r="AE308" s="156">
        <f>-Interest!AK10</f>
        <v>-8.9714133462477346E-3</v>
      </c>
      <c r="AF308" s="528">
        <f>-Interest!AL10</f>
        <v>-0.10548656656732928</v>
      </c>
      <c r="AG308" s="156">
        <f>-Interest!AM10</f>
        <v>-0.10565807138134271</v>
      </c>
      <c r="AH308" s="156">
        <f>-Interest!AN10</f>
        <v>-0.10597504559548673</v>
      </c>
      <c r="AI308" s="156">
        <f>-Interest!AO10</f>
        <v>-0.10629297073227319</v>
      </c>
      <c r="AJ308" s="156">
        <f>-Interest!AP10</f>
        <v>-0.10661184964447003</v>
      </c>
      <c r="AK308" s="156">
        <f>-Interest!AQ10</f>
        <v>-0.10693168519340344</v>
      </c>
      <c r="AL308" s="156">
        <f>-Interest!AR10</f>
        <v>-0.10725248024898365</v>
      </c>
      <c r="AM308" s="156">
        <f>-Interest!AS10</f>
        <v>-0.1075742376897306</v>
      </c>
      <c r="AN308" s="156">
        <f>-Interest!AT10</f>
        <v>-0.10789696040279979</v>
      </c>
      <c r="AO308" s="156">
        <f>-Interest!AU10</f>
        <v>-0.10822065128400818</v>
      </c>
      <c r="AP308" s="156">
        <f>-Interest!AV10</f>
        <v>-0.10854531323786021</v>
      </c>
      <c r="AQ308" s="156">
        <f>-Interest!AW10</f>
        <v>-0.10887094917757378</v>
      </c>
      <c r="AR308" s="149"/>
      <c r="AS308" s="149"/>
    </row>
    <row r="309" spans="1:45" ht="13.15" customHeight="1">
      <c r="A309" s="422">
        <f t="shared" si="189"/>
        <v>307</v>
      </c>
      <c r="B309" s="144" t="s">
        <v>131</v>
      </c>
      <c r="C309" s="149"/>
      <c r="D309" s="149"/>
      <c r="E309" s="149">
        <f t="shared" ref="E309:R309" si="224">SUM(E304:E308)</f>
        <v>57.28229537</v>
      </c>
      <c r="F309" s="526"/>
      <c r="G309" s="149">
        <f t="shared" si="224"/>
        <v>7.6992006153095351</v>
      </c>
      <c r="H309" s="149">
        <f t="shared" si="224"/>
        <v>5.2706087124071752</v>
      </c>
      <c r="I309" s="149">
        <f t="shared" si="224"/>
        <v>4.3773887947867989</v>
      </c>
      <c r="J309" s="149">
        <f t="shared" si="224"/>
        <v>0.428166868535446</v>
      </c>
      <c r="K309" s="149">
        <f t="shared" si="224"/>
        <v>-1.9222523020410862</v>
      </c>
      <c r="L309" s="149">
        <f t="shared" si="224"/>
        <v>4.6589786762642325</v>
      </c>
      <c r="M309" s="149">
        <f t="shared" si="224"/>
        <v>6.6758259232466903</v>
      </c>
      <c r="N309" s="149">
        <f t="shared" si="224"/>
        <v>6.6699604742767908</v>
      </c>
      <c r="O309" s="149">
        <f t="shared" si="224"/>
        <v>3.6684236570392135</v>
      </c>
      <c r="P309" s="149">
        <f t="shared" si="224"/>
        <v>1.4674822752683949</v>
      </c>
      <c r="Q309" s="149">
        <f t="shared" si="224"/>
        <v>4.2417558657592673</v>
      </c>
      <c r="R309" s="149">
        <f t="shared" si="224"/>
        <v>7.9213074641863672</v>
      </c>
      <c r="S309" s="526">
        <f t="shared" ref="S309:AE309" si="225">SUM(S304:S308)</f>
        <v>51.156847025038743</v>
      </c>
      <c r="T309" s="149">
        <f t="shared" si="225"/>
        <v>9.0550461193258087</v>
      </c>
      <c r="U309" s="149">
        <f t="shared" si="225"/>
        <v>7.2033619184920914</v>
      </c>
      <c r="V309" s="149">
        <f t="shared" si="225"/>
        <v>4.6169440411322995</v>
      </c>
      <c r="W309" s="149">
        <f t="shared" si="225"/>
        <v>-2.7608853560264133</v>
      </c>
      <c r="X309" s="149">
        <f t="shared" si="225"/>
        <v>-0.22102422936618141</v>
      </c>
      <c r="Y309" s="149">
        <f t="shared" si="225"/>
        <v>5.7809160904442463</v>
      </c>
      <c r="Z309" s="149">
        <f t="shared" si="225"/>
        <v>7.7229512307968555</v>
      </c>
      <c r="AA309" s="149">
        <f t="shared" si="225"/>
        <v>7.6046756221168579</v>
      </c>
      <c r="AB309" s="149">
        <f t="shared" si="225"/>
        <v>4.4661530639159146</v>
      </c>
      <c r="AC309" s="149">
        <f t="shared" si="225"/>
        <v>2.2244738478404353</v>
      </c>
      <c r="AD309" s="149">
        <f t="shared" si="225"/>
        <v>4.9830983534579012</v>
      </c>
      <c r="AE309" s="149">
        <f t="shared" si="225"/>
        <v>7.8062662526305973</v>
      </c>
      <c r="AF309" s="526">
        <f>SUM(AF304:AF308)</f>
        <v>58.481976954760377</v>
      </c>
      <c r="AG309" s="149">
        <f t="shared" ref="AG309:AQ309" si="226">SUM(AG304:AG308)</f>
        <v>58.387032545463811</v>
      </c>
      <c r="AH309" s="149">
        <f t="shared" si="226"/>
        <v>55.120024514276139</v>
      </c>
      <c r="AI309" s="149">
        <f t="shared" si="226"/>
        <v>52.633237736285608</v>
      </c>
      <c r="AJ309" s="149">
        <f t="shared" si="226"/>
        <v>52.731182158716564</v>
      </c>
      <c r="AK309" s="149">
        <f t="shared" si="226"/>
        <v>55.898718113694876</v>
      </c>
      <c r="AL309" s="149">
        <f t="shared" si="226"/>
        <v>53.137105281755332</v>
      </c>
      <c r="AM309" s="149">
        <f t="shared" si="226"/>
        <v>49.849172314279194</v>
      </c>
      <c r="AN309" s="149">
        <f t="shared" si="226"/>
        <v>47.747742008062971</v>
      </c>
      <c r="AO309" s="149">
        <f t="shared" si="226"/>
        <v>46.853405285638814</v>
      </c>
      <c r="AP309" s="149">
        <f t="shared" si="226"/>
        <v>61.067296745413337</v>
      </c>
      <c r="AQ309" s="149">
        <f t="shared" si="226"/>
        <v>58.968288329076103</v>
      </c>
      <c r="AR309" s="149"/>
      <c r="AS309" s="149"/>
    </row>
    <row r="310" spans="1:45">
      <c r="A310" s="422">
        <f t="shared" si="189"/>
        <v>308</v>
      </c>
      <c r="B310" s="144" t="s">
        <v>177</v>
      </c>
      <c r="C310" s="156"/>
      <c r="D310" s="156"/>
      <c r="E310" s="156"/>
      <c r="F310" s="528"/>
      <c r="G310" s="156">
        <v>0</v>
      </c>
      <c r="H310" s="156">
        <v>0</v>
      </c>
      <c r="I310" s="156">
        <v>0</v>
      </c>
      <c r="J310" s="156">
        <v>0</v>
      </c>
      <c r="K310" s="156">
        <v>0</v>
      </c>
      <c r="L310" s="156">
        <v>0</v>
      </c>
      <c r="M310" s="156">
        <v>0</v>
      </c>
      <c r="N310" s="156">
        <v>0</v>
      </c>
      <c r="O310" s="156">
        <v>0</v>
      </c>
      <c r="P310" s="156">
        <v>0</v>
      </c>
      <c r="Q310" s="156">
        <v>0</v>
      </c>
      <c r="R310" s="156">
        <v>0</v>
      </c>
      <c r="S310" s="528">
        <v>0</v>
      </c>
      <c r="T310" s="156">
        <v>0</v>
      </c>
      <c r="U310" s="156">
        <v>0</v>
      </c>
      <c r="V310" s="156">
        <v>0</v>
      </c>
      <c r="W310" s="156">
        <v>0</v>
      </c>
      <c r="X310" s="156">
        <v>0</v>
      </c>
      <c r="Y310" s="156">
        <v>0</v>
      </c>
      <c r="Z310" s="156">
        <v>0</v>
      </c>
      <c r="AA310" s="156">
        <v>0</v>
      </c>
      <c r="AB310" s="156">
        <v>0</v>
      </c>
      <c r="AC310" s="156">
        <v>0</v>
      </c>
      <c r="AD310" s="156">
        <v>0</v>
      </c>
      <c r="AE310" s="156">
        <v>0</v>
      </c>
      <c r="AF310" s="528">
        <v>0</v>
      </c>
      <c r="AG310" s="156">
        <v>0</v>
      </c>
      <c r="AH310" s="156">
        <v>0</v>
      </c>
      <c r="AI310" s="156">
        <v>0</v>
      </c>
      <c r="AJ310" s="156">
        <v>0</v>
      </c>
      <c r="AK310" s="156">
        <v>0</v>
      </c>
      <c r="AL310" s="156">
        <v>0</v>
      </c>
      <c r="AM310" s="156">
        <v>0</v>
      </c>
      <c r="AN310" s="156">
        <v>0</v>
      </c>
      <c r="AO310" s="156">
        <v>0</v>
      </c>
      <c r="AP310" s="156">
        <v>0</v>
      </c>
      <c r="AQ310" s="156">
        <v>0</v>
      </c>
      <c r="AR310" s="149"/>
      <c r="AS310" s="149"/>
    </row>
    <row r="311" spans="1:45">
      <c r="A311" s="422">
        <f t="shared" si="189"/>
        <v>309</v>
      </c>
      <c r="B311" s="145" t="s">
        <v>131</v>
      </c>
      <c r="C311" s="149"/>
      <c r="D311" s="149"/>
      <c r="E311" s="149">
        <f t="shared" ref="E311:R311" si="227">SUM(E309:E310)</f>
        <v>57.28229537</v>
      </c>
      <c r="F311" s="526"/>
      <c r="G311" s="149">
        <f t="shared" si="227"/>
        <v>7.6992006153095351</v>
      </c>
      <c r="H311" s="149">
        <f t="shared" si="227"/>
        <v>5.2706087124071752</v>
      </c>
      <c r="I311" s="149">
        <f t="shared" si="227"/>
        <v>4.3773887947867989</v>
      </c>
      <c r="J311" s="149">
        <f t="shared" si="227"/>
        <v>0.428166868535446</v>
      </c>
      <c r="K311" s="149">
        <f t="shared" si="227"/>
        <v>-1.9222523020410862</v>
      </c>
      <c r="L311" s="149">
        <f t="shared" si="227"/>
        <v>4.6589786762642325</v>
      </c>
      <c r="M311" s="149">
        <f t="shared" si="227"/>
        <v>6.6758259232466903</v>
      </c>
      <c r="N311" s="149">
        <f t="shared" si="227"/>
        <v>6.6699604742767908</v>
      </c>
      <c r="O311" s="149">
        <f t="shared" si="227"/>
        <v>3.6684236570392135</v>
      </c>
      <c r="P311" s="149">
        <f t="shared" si="227"/>
        <v>1.4674822752683949</v>
      </c>
      <c r="Q311" s="149">
        <f t="shared" si="227"/>
        <v>4.2417558657592673</v>
      </c>
      <c r="R311" s="149">
        <f t="shared" si="227"/>
        <v>7.9213074641863672</v>
      </c>
      <c r="S311" s="526">
        <f t="shared" ref="S311:AE311" si="228">SUM(S309:S310)</f>
        <v>51.156847025038743</v>
      </c>
      <c r="T311" s="149">
        <f t="shared" si="228"/>
        <v>9.0550461193258087</v>
      </c>
      <c r="U311" s="149">
        <f t="shared" si="228"/>
        <v>7.2033619184920914</v>
      </c>
      <c r="V311" s="149">
        <f t="shared" si="228"/>
        <v>4.6169440411322995</v>
      </c>
      <c r="W311" s="149">
        <f t="shared" si="228"/>
        <v>-2.7608853560264133</v>
      </c>
      <c r="X311" s="149">
        <f t="shared" si="228"/>
        <v>-0.22102422936618141</v>
      </c>
      <c r="Y311" s="149">
        <f t="shared" si="228"/>
        <v>5.7809160904442463</v>
      </c>
      <c r="Z311" s="149">
        <f t="shared" si="228"/>
        <v>7.7229512307968555</v>
      </c>
      <c r="AA311" s="149">
        <f t="shared" si="228"/>
        <v>7.6046756221168579</v>
      </c>
      <c r="AB311" s="149">
        <f t="shared" si="228"/>
        <v>4.4661530639159146</v>
      </c>
      <c r="AC311" s="149">
        <f t="shared" si="228"/>
        <v>2.2244738478404353</v>
      </c>
      <c r="AD311" s="149">
        <f t="shared" si="228"/>
        <v>4.9830983534579012</v>
      </c>
      <c r="AE311" s="149">
        <f t="shared" si="228"/>
        <v>7.8062662526305973</v>
      </c>
      <c r="AF311" s="526">
        <f>SUM(AF309:AF310)</f>
        <v>58.481976954760377</v>
      </c>
      <c r="AG311" s="149">
        <f t="shared" ref="AG311:AQ311" si="229">SUM(AG309:AG310)</f>
        <v>58.387032545463811</v>
      </c>
      <c r="AH311" s="149">
        <f t="shared" si="229"/>
        <v>55.120024514276139</v>
      </c>
      <c r="AI311" s="149">
        <f t="shared" si="229"/>
        <v>52.633237736285608</v>
      </c>
      <c r="AJ311" s="149">
        <f t="shared" si="229"/>
        <v>52.731182158716564</v>
      </c>
      <c r="AK311" s="149">
        <f t="shared" si="229"/>
        <v>55.898718113694876</v>
      </c>
      <c r="AL311" s="149">
        <f t="shared" si="229"/>
        <v>53.137105281755332</v>
      </c>
      <c r="AM311" s="149">
        <f t="shared" si="229"/>
        <v>49.849172314279194</v>
      </c>
      <c r="AN311" s="149">
        <f t="shared" si="229"/>
        <v>47.747742008062971</v>
      </c>
      <c r="AO311" s="149">
        <f t="shared" si="229"/>
        <v>46.853405285638814</v>
      </c>
      <c r="AP311" s="149">
        <f t="shared" si="229"/>
        <v>61.067296745413337</v>
      </c>
      <c r="AQ311" s="149">
        <f t="shared" si="229"/>
        <v>58.968288329076103</v>
      </c>
      <c r="AR311" s="149"/>
      <c r="AS311" s="149"/>
    </row>
    <row r="312" spans="1:45">
      <c r="A312" s="422">
        <f t="shared" si="189"/>
        <v>310</v>
      </c>
      <c r="B312" s="146" t="s">
        <v>178</v>
      </c>
      <c r="C312" s="149"/>
      <c r="D312" s="149"/>
      <c r="E312" s="149"/>
      <c r="F312" s="526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526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526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</row>
    <row r="313" spans="1:45">
      <c r="A313" s="422">
        <f t="shared" si="189"/>
        <v>311</v>
      </c>
      <c r="B313" s="142" t="s">
        <v>172</v>
      </c>
      <c r="C313" s="149"/>
      <c r="D313" s="149"/>
      <c r="E313" s="149">
        <f>E305</f>
        <v>46.19539949</v>
      </c>
      <c r="F313" s="526"/>
      <c r="G313" s="149">
        <f t="shared" ref="G313:R313" si="230">G305</f>
        <v>3.801779070814082</v>
      </c>
      <c r="H313" s="149">
        <f t="shared" si="230"/>
        <v>3.4943951115753671</v>
      </c>
      <c r="I313" s="149">
        <f t="shared" si="230"/>
        <v>3.9287821486613619</v>
      </c>
      <c r="J313" s="149">
        <f t="shared" si="230"/>
        <v>3.83665864991969</v>
      </c>
      <c r="K313" s="149">
        <f t="shared" si="230"/>
        <v>3.9440452341408143</v>
      </c>
      <c r="L313" s="149">
        <f t="shared" si="230"/>
        <v>3.8024176742278777</v>
      </c>
      <c r="M313" s="149">
        <f t="shared" si="230"/>
        <v>3.9362067521730828</v>
      </c>
      <c r="N313" s="149">
        <f t="shared" si="230"/>
        <v>3.9362085321730831</v>
      </c>
      <c r="O313" s="149">
        <f t="shared" si="230"/>
        <v>3.8212760943723696</v>
      </c>
      <c r="P313" s="149">
        <f t="shared" si="230"/>
        <v>3.9734602275230535</v>
      </c>
      <c r="Q313" s="149">
        <f t="shared" si="230"/>
        <v>3.8654261019066158</v>
      </c>
      <c r="R313" s="149">
        <f t="shared" si="230"/>
        <v>3.9650209604738875</v>
      </c>
      <c r="S313" s="526">
        <f>S305</f>
        <v>46.305676557961284</v>
      </c>
      <c r="T313" s="149">
        <f t="shared" ref="T313:AE313" si="231">T305</f>
        <v>3.9097754603369017</v>
      </c>
      <c r="U313" s="149">
        <f t="shared" si="231"/>
        <v>3.6642238723916956</v>
      </c>
      <c r="V313" s="149">
        <f t="shared" si="231"/>
        <v>3.9823145892786194</v>
      </c>
      <c r="W313" s="149">
        <f t="shared" si="231"/>
        <v>3.8982678284567012</v>
      </c>
      <c r="X313" s="149">
        <f t="shared" si="231"/>
        <v>4.0079655861279342</v>
      </c>
      <c r="Y313" s="149">
        <f t="shared" si="231"/>
        <v>3.8807800374799095</v>
      </c>
      <c r="Z313" s="149">
        <f t="shared" si="231"/>
        <v>4.0073893833703202</v>
      </c>
      <c r="AA313" s="149">
        <f t="shared" si="231"/>
        <v>4.0073912733703203</v>
      </c>
      <c r="AB313" s="149">
        <f t="shared" si="231"/>
        <v>3.8897148599820222</v>
      </c>
      <c r="AC313" s="149">
        <f t="shared" si="231"/>
        <v>4.0110692558724326</v>
      </c>
      <c r="AD313" s="149">
        <f t="shared" si="231"/>
        <v>3.9016498424477755</v>
      </c>
      <c r="AE313" s="149">
        <f t="shared" si="231"/>
        <v>4.0023426518211815</v>
      </c>
      <c r="AF313" s="526">
        <f>AF305</f>
        <v>47.162884640935815</v>
      </c>
      <c r="AG313" s="149">
        <f t="shared" ref="AG313:AP313" si="232">AG305</f>
        <v>47.086316568922427</v>
      </c>
      <c r="AH313" s="149">
        <f t="shared" si="232"/>
        <v>46.728476173825342</v>
      </c>
      <c r="AI313" s="149">
        <f t="shared" si="232"/>
        <v>46.187527526229218</v>
      </c>
      <c r="AJ313" s="149">
        <f t="shared" si="232"/>
        <v>45.672031402321018</v>
      </c>
      <c r="AK313" s="149">
        <f t="shared" si="232"/>
        <v>45.079611382012061</v>
      </c>
      <c r="AL313" s="149">
        <f t="shared" si="232"/>
        <v>42.852504259480142</v>
      </c>
      <c r="AM313" s="149">
        <f t="shared" si="232"/>
        <v>40.200945414741241</v>
      </c>
      <c r="AN313" s="149">
        <f t="shared" si="232"/>
        <v>38.506243554889551</v>
      </c>
      <c r="AO313" s="149">
        <f t="shared" si="232"/>
        <v>37.78500426261197</v>
      </c>
      <c r="AP313" s="149">
        <f t="shared" si="232"/>
        <v>49.247819955978557</v>
      </c>
      <c r="AQ313" s="149">
        <f>AQ305</f>
        <v>47.555071233125901</v>
      </c>
      <c r="AR313" s="149"/>
      <c r="AS313" s="149"/>
    </row>
    <row r="314" spans="1:45">
      <c r="A314" s="422">
        <f t="shared" si="189"/>
        <v>312</v>
      </c>
      <c r="B314" s="144" t="s">
        <v>177</v>
      </c>
      <c r="C314" s="156"/>
      <c r="D314" s="156"/>
      <c r="E314" s="156">
        <v>0</v>
      </c>
      <c r="F314" s="528"/>
      <c r="G314" s="156">
        <f t="shared" ref="G314:R314" si="233">G310</f>
        <v>0</v>
      </c>
      <c r="H314" s="156">
        <f t="shared" si="233"/>
        <v>0</v>
      </c>
      <c r="I314" s="156">
        <f t="shared" si="233"/>
        <v>0</v>
      </c>
      <c r="J314" s="156">
        <f t="shared" si="233"/>
        <v>0</v>
      </c>
      <c r="K314" s="156">
        <f t="shared" si="233"/>
        <v>0</v>
      </c>
      <c r="L314" s="156">
        <f t="shared" si="233"/>
        <v>0</v>
      </c>
      <c r="M314" s="156">
        <f t="shared" si="233"/>
        <v>0</v>
      </c>
      <c r="N314" s="156">
        <f t="shared" si="233"/>
        <v>0</v>
      </c>
      <c r="O314" s="156">
        <f t="shared" si="233"/>
        <v>0</v>
      </c>
      <c r="P314" s="156">
        <f t="shared" si="233"/>
        <v>0</v>
      </c>
      <c r="Q314" s="156">
        <f t="shared" si="233"/>
        <v>0</v>
      </c>
      <c r="R314" s="156">
        <f t="shared" si="233"/>
        <v>0</v>
      </c>
      <c r="S314" s="528">
        <f>S310</f>
        <v>0</v>
      </c>
      <c r="T314" s="156">
        <f t="shared" ref="T314:AE314" si="234">T310</f>
        <v>0</v>
      </c>
      <c r="U314" s="156">
        <f t="shared" si="234"/>
        <v>0</v>
      </c>
      <c r="V314" s="156">
        <f t="shared" si="234"/>
        <v>0</v>
      </c>
      <c r="W314" s="156">
        <f t="shared" si="234"/>
        <v>0</v>
      </c>
      <c r="X314" s="156">
        <f t="shared" si="234"/>
        <v>0</v>
      </c>
      <c r="Y314" s="156">
        <f t="shared" si="234"/>
        <v>0</v>
      </c>
      <c r="Z314" s="156">
        <f t="shared" si="234"/>
        <v>0</v>
      </c>
      <c r="AA314" s="156">
        <f t="shared" si="234"/>
        <v>0</v>
      </c>
      <c r="AB314" s="156">
        <f t="shared" si="234"/>
        <v>0</v>
      </c>
      <c r="AC314" s="156">
        <f t="shared" si="234"/>
        <v>0</v>
      </c>
      <c r="AD314" s="156">
        <f t="shared" si="234"/>
        <v>0</v>
      </c>
      <c r="AE314" s="156">
        <f t="shared" si="234"/>
        <v>0</v>
      </c>
      <c r="AF314" s="528">
        <f>AF310</f>
        <v>0</v>
      </c>
      <c r="AG314" s="156">
        <f t="shared" ref="AG314:AP314" si="235">AG310</f>
        <v>0</v>
      </c>
      <c r="AH314" s="156">
        <f t="shared" si="235"/>
        <v>0</v>
      </c>
      <c r="AI314" s="156">
        <f t="shared" si="235"/>
        <v>0</v>
      </c>
      <c r="AJ314" s="156">
        <f t="shared" si="235"/>
        <v>0</v>
      </c>
      <c r="AK314" s="156">
        <f t="shared" si="235"/>
        <v>0</v>
      </c>
      <c r="AL314" s="156">
        <f t="shared" si="235"/>
        <v>0</v>
      </c>
      <c r="AM314" s="156">
        <f t="shared" si="235"/>
        <v>0</v>
      </c>
      <c r="AN314" s="156">
        <f t="shared" si="235"/>
        <v>0</v>
      </c>
      <c r="AO314" s="156">
        <f t="shared" si="235"/>
        <v>0</v>
      </c>
      <c r="AP314" s="156">
        <f t="shared" si="235"/>
        <v>0</v>
      </c>
      <c r="AQ314" s="156">
        <f>AQ310</f>
        <v>0</v>
      </c>
      <c r="AR314" s="149"/>
      <c r="AS314" s="149"/>
    </row>
    <row r="315" spans="1:45">
      <c r="A315" s="422">
        <f t="shared" si="189"/>
        <v>313</v>
      </c>
      <c r="B315" s="145" t="s">
        <v>131</v>
      </c>
      <c r="C315" s="149"/>
      <c r="D315" s="149"/>
      <c r="E315" s="149">
        <f t="shared" ref="E315:AE315" si="236">SUM(E313:E314)</f>
        <v>46.19539949</v>
      </c>
      <c r="F315" s="526"/>
      <c r="G315" s="149">
        <f t="shared" si="236"/>
        <v>3.801779070814082</v>
      </c>
      <c r="H315" s="149">
        <f t="shared" si="236"/>
        <v>3.4943951115753671</v>
      </c>
      <c r="I315" s="149">
        <f t="shared" si="236"/>
        <v>3.9287821486613619</v>
      </c>
      <c r="J315" s="149">
        <f t="shared" si="236"/>
        <v>3.83665864991969</v>
      </c>
      <c r="K315" s="149">
        <f t="shared" si="236"/>
        <v>3.9440452341408143</v>
      </c>
      <c r="L315" s="149">
        <f t="shared" si="236"/>
        <v>3.8024176742278777</v>
      </c>
      <c r="M315" s="149">
        <f t="shared" si="236"/>
        <v>3.9362067521730828</v>
      </c>
      <c r="N315" s="149">
        <f t="shared" si="236"/>
        <v>3.9362085321730831</v>
      </c>
      <c r="O315" s="149">
        <f t="shared" si="236"/>
        <v>3.8212760943723696</v>
      </c>
      <c r="P315" s="149">
        <f t="shared" si="236"/>
        <v>3.9734602275230535</v>
      </c>
      <c r="Q315" s="149">
        <f t="shared" si="236"/>
        <v>3.8654261019066158</v>
      </c>
      <c r="R315" s="149">
        <f t="shared" si="236"/>
        <v>3.9650209604738875</v>
      </c>
      <c r="S315" s="526">
        <f t="shared" si="236"/>
        <v>46.305676557961284</v>
      </c>
      <c r="T315" s="149">
        <f t="shared" si="236"/>
        <v>3.9097754603369017</v>
      </c>
      <c r="U315" s="149">
        <f t="shared" si="236"/>
        <v>3.6642238723916956</v>
      </c>
      <c r="V315" s="149">
        <f t="shared" si="236"/>
        <v>3.9823145892786194</v>
      </c>
      <c r="W315" s="149">
        <f t="shared" si="236"/>
        <v>3.8982678284567012</v>
      </c>
      <c r="X315" s="149">
        <f t="shared" si="236"/>
        <v>4.0079655861279342</v>
      </c>
      <c r="Y315" s="149">
        <f t="shared" si="236"/>
        <v>3.8807800374799095</v>
      </c>
      <c r="Z315" s="149">
        <f t="shared" si="236"/>
        <v>4.0073893833703202</v>
      </c>
      <c r="AA315" s="149">
        <f t="shared" si="236"/>
        <v>4.0073912733703203</v>
      </c>
      <c r="AB315" s="149">
        <f t="shared" si="236"/>
        <v>3.8897148599820222</v>
      </c>
      <c r="AC315" s="149">
        <f t="shared" si="236"/>
        <v>4.0110692558724326</v>
      </c>
      <c r="AD315" s="149">
        <f t="shared" si="236"/>
        <v>3.9016498424477755</v>
      </c>
      <c r="AE315" s="149">
        <f t="shared" si="236"/>
        <v>4.0023426518211815</v>
      </c>
      <c r="AF315" s="526">
        <f t="shared" ref="AF315:AQ315" si="237">SUM(AF313:AF314)</f>
        <v>47.162884640935815</v>
      </c>
      <c r="AG315" s="149">
        <f t="shared" si="237"/>
        <v>47.086316568922427</v>
      </c>
      <c r="AH315" s="149">
        <f t="shared" si="237"/>
        <v>46.728476173825342</v>
      </c>
      <c r="AI315" s="149">
        <f t="shared" si="237"/>
        <v>46.187527526229218</v>
      </c>
      <c r="AJ315" s="149">
        <f t="shared" si="237"/>
        <v>45.672031402321018</v>
      </c>
      <c r="AK315" s="149">
        <f t="shared" si="237"/>
        <v>45.079611382012061</v>
      </c>
      <c r="AL315" s="149">
        <f t="shared" si="237"/>
        <v>42.852504259480142</v>
      </c>
      <c r="AM315" s="149">
        <f t="shared" si="237"/>
        <v>40.200945414741241</v>
      </c>
      <c r="AN315" s="149">
        <f t="shared" si="237"/>
        <v>38.506243554889551</v>
      </c>
      <c r="AO315" s="149">
        <f t="shared" si="237"/>
        <v>37.78500426261197</v>
      </c>
      <c r="AP315" s="149">
        <f t="shared" si="237"/>
        <v>49.247819955978557</v>
      </c>
      <c r="AQ315" s="149">
        <f t="shared" si="237"/>
        <v>47.555071233125901</v>
      </c>
      <c r="AR315" s="149"/>
      <c r="AS315" s="149"/>
    </row>
    <row r="316" spans="1:45">
      <c r="A316" s="422">
        <f t="shared" si="189"/>
        <v>314</v>
      </c>
      <c r="B316" s="145"/>
      <c r="C316" s="149"/>
      <c r="D316" s="149"/>
      <c r="E316" s="149"/>
      <c r="F316" s="526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526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526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</row>
    <row r="317" spans="1:45" ht="15.75">
      <c r="A317" s="422">
        <f t="shared" si="189"/>
        <v>315</v>
      </c>
      <c r="B317" s="147" t="s">
        <v>328</v>
      </c>
      <c r="C317" s="164"/>
      <c r="D317" s="164"/>
      <c r="E317" s="164">
        <f t="shared" ref="E317:R317" si="238">E311/E315</f>
        <v>1.2400000000519533</v>
      </c>
      <c r="F317" s="536"/>
      <c r="G317" s="164">
        <f t="shared" si="238"/>
        <v>2.0251572939668194</v>
      </c>
      <c r="H317" s="164">
        <f t="shared" si="238"/>
        <v>1.5083035959351041</v>
      </c>
      <c r="I317" s="164">
        <f t="shared" si="238"/>
        <v>1.1141846580315706</v>
      </c>
      <c r="J317" s="164">
        <f t="shared" si="238"/>
        <v>0.11159889570692157</v>
      </c>
      <c r="K317" s="164">
        <f t="shared" si="238"/>
        <v>-0.48738089649720684</v>
      </c>
      <c r="L317" s="164">
        <f t="shared" si="238"/>
        <v>1.225267468074845</v>
      </c>
      <c r="M317" s="164">
        <f t="shared" si="238"/>
        <v>1.6960048959727869</v>
      </c>
      <c r="N317" s="164">
        <f t="shared" si="238"/>
        <v>1.6945140024363676</v>
      </c>
      <c r="O317" s="164">
        <f t="shared" si="238"/>
        <v>0.9599996353159973</v>
      </c>
      <c r="P317" s="164">
        <f t="shared" si="238"/>
        <v>0.36932099259571127</v>
      </c>
      <c r="Q317" s="164">
        <f t="shared" si="238"/>
        <v>1.0973578989563473</v>
      </c>
      <c r="R317" s="164">
        <f t="shared" si="238"/>
        <v>1.9977971221719937</v>
      </c>
      <c r="S317" s="536">
        <f>S311/S315</f>
        <v>1.1047640554610016</v>
      </c>
      <c r="T317" s="164">
        <f t="shared" ref="T317:AE317" si="239">T311/T315</f>
        <v>2.3160015737951212</v>
      </c>
      <c r="U317" s="164">
        <f t="shared" si="239"/>
        <v>1.9658629410626993</v>
      </c>
      <c r="V317" s="164">
        <f t="shared" si="239"/>
        <v>1.1593619583852719</v>
      </c>
      <c r="W317" s="164">
        <f t="shared" si="239"/>
        <v>-0.70823388169289281</v>
      </c>
      <c r="X317" s="164">
        <f t="shared" si="239"/>
        <v>-5.5146239311827841E-2</v>
      </c>
      <c r="Y317" s="164">
        <f t="shared" si="239"/>
        <v>1.4896273518759497</v>
      </c>
      <c r="Z317" s="164">
        <f t="shared" si="239"/>
        <v>1.92717764409049</v>
      </c>
      <c r="AA317" s="164">
        <f t="shared" si="239"/>
        <v>1.8976623701935469</v>
      </c>
      <c r="AB317" s="164">
        <f t="shared" si="239"/>
        <v>1.1481954911051133</v>
      </c>
      <c r="AC317" s="164">
        <f t="shared" si="239"/>
        <v>0.55458375458954734</v>
      </c>
      <c r="AD317" s="164">
        <f t="shared" si="239"/>
        <v>1.2771772339087348</v>
      </c>
      <c r="AE317" s="164">
        <f t="shared" si="239"/>
        <v>1.95042427191448</v>
      </c>
      <c r="AF317" s="536">
        <f>AF311/AF315</f>
        <v>1.2399999999999993</v>
      </c>
      <c r="AG317" s="164">
        <f t="shared" ref="AG317:AP317" si="240">AG311/AG315</f>
        <v>1.24</v>
      </c>
      <c r="AH317" s="164">
        <f t="shared" si="240"/>
        <v>1.1795810398189546</v>
      </c>
      <c r="AI317" s="164">
        <f t="shared" si="240"/>
        <v>1.1395552123112882</v>
      </c>
      <c r="AJ317" s="164">
        <f t="shared" si="240"/>
        <v>1.1545617862759834</v>
      </c>
      <c r="AK317" s="164">
        <f t="shared" si="240"/>
        <v>1.2399999999999982</v>
      </c>
      <c r="AL317" s="164">
        <f t="shared" si="240"/>
        <v>1.2399999999999989</v>
      </c>
      <c r="AM317" s="164">
        <f t="shared" si="240"/>
        <v>1.2400000000000013</v>
      </c>
      <c r="AN317" s="164">
        <f t="shared" si="240"/>
        <v>1.2399999999999982</v>
      </c>
      <c r="AO317" s="164">
        <f t="shared" si="240"/>
        <v>1.2399999999999993</v>
      </c>
      <c r="AP317" s="164">
        <f t="shared" si="240"/>
        <v>1.2399999999999984</v>
      </c>
      <c r="AQ317" s="164">
        <f>AQ311/AQ315</f>
        <v>1.2399999999999998</v>
      </c>
      <c r="AR317" s="164"/>
      <c r="AS317" s="164"/>
    </row>
    <row r="318" spans="1:45">
      <c r="A318" s="422">
        <f t="shared" si="189"/>
        <v>316</v>
      </c>
      <c r="B318" s="147"/>
      <c r="C318" s="149"/>
      <c r="D318" s="149"/>
      <c r="E318" s="149"/>
      <c r="F318" s="526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526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526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</row>
    <row r="319" spans="1:45">
      <c r="A319" s="422">
        <f t="shared" si="189"/>
        <v>317</v>
      </c>
      <c r="B319" s="143" t="s">
        <v>331</v>
      </c>
      <c r="C319" s="149"/>
      <c r="D319" s="149"/>
      <c r="E319" s="149"/>
      <c r="F319" s="526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526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526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</row>
    <row r="320" spans="1:45">
      <c r="A320" s="422">
        <f t="shared" si="189"/>
        <v>318</v>
      </c>
      <c r="B320" s="144" t="s">
        <v>174</v>
      </c>
      <c r="C320" s="149"/>
      <c r="D320" s="149"/>
      <c r="E320" s="149">
        <f>E127</f>
        <v>11.277090979999951</v>
      </c>
      <c r="F320" s="526"/>
      <c r="G320" s="149">
        <f>G127</f>
        <v>3.9063415694116728</v>
      </c>
      <c r="H320" s="149">
        <f t="shared" ref="H320:AP320" si="241">H127</f>
        <v>1.7842724503579801</v>
      </c>
      <c r="I320" s="149">
        <f t="shared" si="241"/>
        <v>0.45753099716582879</v>
      </c>
      <c r="J320" s="149">
        <f t="shared" si="241"/>
        <v>-3.3998531121105633</v>
      </c>
      <c r="K320" s="149">
        <f t="shared" si="241"/>
        <v>-5.8573687101801681</v>
      </c>
      <c r="L320" s="149">
        <f t="shared" si="241"/>
        <v>0.86520400302119904</v>
      </c>
      <c r="M320" s="149">
        <f t="shared" si="241"/>
        <v>2.7485524742805718</v>
      </c>
      <c r="N320" s="149">
        <f t="shared" si="241"/>
        <v>2.7426875214673796</v>
      </c>
      <c r="O320" s="149">
        <f t="shared" si="241"/>
        <v>-0.14420289917154466</v>
      </c>
      <c r="P320" s="149">
        <f t="shared" si="241"/>
        <v>-2.4970378922993977</v>
      </c>
      <c r="Q320" s="149">
        <f t="shared" si="241"/>
        <v>0.38498363917544204</v>
      </c>
      <c r="R320" s="149">
        <f t="shared" si="241"/>
        <v>3.9652310465060441</v>
      </c>
      <c r="S320" s="526">
        <f t="shared" si="241"/>
        <v>4.9563410876243665</v>
      </c>
      <c r="T320" s="149">
        <f t="shared" si="241"/>
        <v>5.1542174808029637</v>
      </c>
      <c r="U320" s="149">
        <f t="shared" si="241"/>
        <v>3.5472211054431866</v>
      </c>
      <c r="V320" s="149">
        <f t="shared" si="241"/>
        <v>0.64358061278814249</v>
      </c>
      <c r="W320" s="149">
        <f t="shared" si="241"/>
        <v>-6.650488563539998</v>
      </c>
      <c r="X320" s="149">
        <f t="shared" si="241"/>
        <v>-4.2200341661549565</v>
      </c>
      <c r="Y320" s="149">
        <f t="shared" si="241"/>
        <v>1.9088050186316321</v>
      </c>
      <c r="Z320" s="149">
        <f t="shared" si="241"/>
        <v>3.7245219874210251</v>
      </c>
      <c r="AA320" s="149">
        <f t="shared" si="241"/>
        <v>3.6062467717356013</v>
      </c>
      <c r="AB320" s="149">
        <f t="shared" si="241"/>
        <v>0.58511372641647175</v>
      </c>
      <c r="AC320" s="149">
        <f t="shared" si="241"/>
        <v>-1.777628490991074</v>
      </c>
      <c r="AD320" s="149">
        <f t="shared" si="241"/>
        <v>1.0901283836832727</v>
      </c>
      <c r="AE320" s="149">
        <f t="shared" si="241"/>
        <v>3.8128950141556635</v>
      </c>
      <c r="AF320" s="526">
        <f t="shared" si="241"/>
        <v>11.424578880391895</v>
      </c>
      <c r="AG320" s="149">
        <f t="shared" si="241"/>
        <v>11.406374047922721</v>
      </c>
      <c r="AH320" s="149">
        <f t="shared" si="241"/>
        <v>8.4975233860462787</v>
      </c>
      <c r="AI320" s="149">
        <f t="shared" si="241"/>
        <v>6.5520031807886649</v>
      </c>
      <c r="AJ320" s="149">
        <f t="shared" si="241"/>
        <v>7.1657626060400208</v>
      </c>
      <c r="AK320" s="149">
        <f>AK127</f>
        <v>10.926038416876215</v>
      </c>
      <c r="AL320" s="149">
        <f t="shared" si="241"/>
        <v>10.391853502524167</v>
      </c>
      <c r="AM320" s="149">
        <f t="shared" si="241"/>
        <v>9.7558011372276834</v>
      </c>
      <c r="AN320" s="149">
        <f t="shared" si="241"/>
        <v>9.3493954135762216</v>
      </c>
      <c r="AO320" s="149">
        <f t="shared" si="241"/>
        <v>9.1766216743108533</v>
      </c>
      <c r="AP320" s="149">
        <f t="shared" si="241"/>
        <v>11.928022102672639</v>
      </c>
      <c r="AQ320" s="149">
        <f>AQ127</f>
        <v>11.522088045127777</v>
      </c>
      <c r="AR320" s="149"/>
      <c r="AS320" s="149"/>
    </row>
    <row r="321" spans="1:45">
      <c r="A321" s="422">
        <f t="shared" si="189"/>
        <v>319</v>
      </c>
      <c r="B321" s="142" t="s">
        <v>19</v>
      </c>
      <c r="C321" s="149"/>
      <c r="D321" s="149"/>
      <c r="E321" s="149">
        <f>E110</f>
        <v>45.032787470000002</v>
      </c>
      <c r="F321" s="526"/>
      <c r="G321" s="149">
        <f>G110</f>
        <v>3.801779070814082</v>
      </c>
      <c r="H321" s="149">
        <f t="shared" ref="H321:AP321" si="242">H110</f>
        <v>3.4943951115753671</v>
      </c>
      <c r="I321" s="149">
        <f t="shared" si="242"/>
        <v>3.9287821486613619</v>
      </c>
      <c r="J321" s="149">
        <f t="shared" si="242"/>
        <v>3.83665864991969</v>
      </c>
      <c r="K321" s="149">
        <f t="shared" si="242"/>
        <v>3.9440452341408143</v>
      </c>
      <c r="L321" s="149">
        <f t="shared" si="242"/>
        <v>3.8024176742278777</v>
      </c>
      <c r="M321" s="149">
        <f t="shared" si="242"/>
        <v>3.9362067521730828</v>
      </c>
      <c r="N321" s="149">
        <f t="shared" si="242"/>
        <v>3.9362085321730831</v>
      </c>
      <c r="O321" s="149">
        <f t="shared" si="242"/>
        <v>3.8212760943723696</v>
      </c>
      <c r="P321" s="149">
        <f t="shared" si="242"/>
        <v>3.9734602275230535</v>
      </c>
      <c r="Q321" s="149">
        <f t="shared" si="242"/>
        <v>3.8654261019066158</v>
      </c>
      <c r="R321" s="149">
        <f t="shared" si="242"/>
        <v>3.9650209604738875</v>
      </c>
      <c r="S321" s="526">
        <f>S110</f>
        <v>46.305676557961284</v>
      </c>
      <c r="T321" s="149">
        <f t="shared" si="242"/>
        <v>3.9097754603369017</v>
      </c>
      <c r="U321" s="149">
        <f t="shared" si="242"/>
        <v>3.6642238723916956</v>
      </c>
      <c r="V321" s="149">
        <f t="shared" si="242"/>
        <v>3.9823145892786194</v>
      </c>
      <c r="W321" s="149">
        <f t="shared" si="242"/>
        <v>3.8982678284567012</v>
      </c>
      <c r="X321" s="149">
        <f t="shared" si="242"/>
        <v>4.0079655861279342</v>
      </c>
      <c r="Y321" s="149">
        <f t="shared" si="242"/>
        <v>3.8807800374799095</v>
      </c>
      <c r="Z321" s="149">
        <f t="shared" si="242"/>
        <v>4.0073893833703202</v>
      </c>
      <c r="AA321" s="149">
        <f t="shared" si="242"/>
        <v>4.0073912733703203</v>
      </c>
      <c r="AB321" s="149">
        <f t="shared" si="242"/>
        <v>3.8897148599820222</v>
      </c>
      <c r="AC321" s="149">
        <f t="shared" si="242"/>
        <v>4.0110692558724326</v>
      </c>
      <c r="AD321" s="149">
        <f t="shared" si="242"/>
        <v>3.9016498424477755</v>
      </c>
      <c r="AE321" s="149">
        <f t="shared" si="242"/>
        <v>4.0023426518211815</v>
      </c>
      <c r="AF321" s="526">
        <f t="shared" si="242"/>
        <v>47.162884640935815</v>
      </c>
      <c r="AG321" s="149">
        <f t="shared" si="242"/>
        <v>47.086316568922427</v>
      </c>
      <c r="AH321" s="149">
        <f t="shared" si="242"/>
        <v>46.728476173825342</v>
      </c>
      <c r="AI321" s="149">
        <f t="shared" si="242"/>
        <v>46.187527526229218</v>
      </c>
      <c r="AJ321" s="149">
        <f t="shared" si="242"/>
        <v>45.672031402321018</v>
      </c>
      <c r="AK321" s="149">
        <f t="shared" si="242"/>
        <v>45.079611382012061</v>
      </c>
      <c r="AL321" s="149">
        <f t="shared" si="242"/>
        <v>42.852504259480142</v>
      </c>
      <c r="AM321" s="149">
        <f t="shared" si="242"/>
        <v>40.200945414741241</v>
      </c>
      <c r="AN321" s="149">
        <f t="shared" si="242"/>
        <v>38.506243554889551</v>
      </c>
      <c r="AO321" s="149">
        <f t="shared" si="242"/>
        <v>37.78500426261197</v>
      </c>
      <c r="AP321" s="149">
        <f t="shared" si="242"/>
        <v>49.247819955978557</v>
      </c>
      <c r="AQ321" s="149">
        <f>AQ110</f>
        <v>47.555071233125901</v>
      </c>
      <c r="AR321" s="149"/>
      <c r="AS321" s="149"/>
    </row>
    <row r="322" spans="1:45">
      <c r="A322" s="422">
        <f t="shared" si="189"/>
        <v>320</v>
      </c>
      <c r="B322" s="142" t="s">
        <v>332</v>
      </c>
      <c r="C322" s="156"/>
      <c r="D322" s="156"/>
      <c r="E322" s="156"/>
      <c r="F322" s="528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528"/>
      <c r="T322" s="156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F322" s="528"/>
      <c r="AG322" s="156"/>
      <c r="AH322" s="156"/>
      <c r="AI322" s="156"/>
      <c r="AJ322" s="156"/>
      <c r="AK322" s="156"/>
      <c r="AL322" s="156"/>
      <c r="AM322" s="156"/>
      <c r="AN322" s="156"/>
      <c r="AO322" s="156"/>
      <c r="AP322" s="156"/>
      <c r="AQ322" s="156"/>
      <c r="AR322" s="149"/>
      <c r="AS322" s="149"/>
    </row>
    <row r="323" spans="1:45">
      <c r="A323" s="422">
        <f t="shared" si="189"/>
        <v>321</v>
      </c>
      <c r="B323" s="144" t="s">
        <v>131</v>
      </c>
      <c r="C323" s="149"/>
      <c r="D323" s="149"/>
      <c r="E323" s="149">
        <f t="shared" ref="E323:S323" si="243">SUM(E320:E322)</f>
        <v>56.309878449999957</v>
      </c>
      <c r="F323" s="526"/>
      <c r="G323" s="149">
        <f t="shared" si="243"/>
        <v>7.7081206402257543</v>
      </c>
      <c r="H323" s="149">
        <f t="shared" si="243"/>
        <v>5.2786675619333474</v>
      </c>
      <c r="I323" s="149">
        <f t="shared" si="243"/>
        <v>4.3863131458271907</v>
      </c>
      <c r="J323" s="149">
        <f t="shared" si="243"/>
        <v>0.43680553780912668</v>
      </c>
      <c r="K323" s="149">
        <f t="shared" si="243"/>
        <v>-1.9133234760393538</v>
      </c>
      <c r="L323" s="149">
        <f t="shared" si="243"/>
        <v>4.6676216772490768</v>
      </c>
      <c r="M323" s="149">
        <f t="shared" si="243"/>
        <v>6.6847592264536546</v>
      </c>
      <c r="N323" s="149">
        <f t="shared" si="243"/>
        <v>6.6788960536404627</v>
      </c>
      <c r="O323" s="149">
        <f t="shared" si="243"/>
        <v>3.6770731952008249</v>
      </c>
      <c r="P323" s="149">
        <f t="shared" si="243"/>
        <v>1.4764223352236558</v>
      </c>
      <c r="Q323" s="149">
        <f t="shared" si="243"/>
        <v>4.2504097410820583</v>
      </c>
      <c r="R323" s="149">
        <f t="shared" si="243"/>
        <v>7.9302520069799316</v>
      </c>
      <c r="S323" s="526">
        <f t="shared" si="243"/>
        <v>51.262017645585651</v>
      </c>
      <c r="T323" s="149">
        <f t="shared" ref="T323:AE323" si="244">SUM(T320:T322)</f>
        <v>9.0639929411398654</v>
      </c>
      <c r="U323" s="149">
        <f t="shared" si="244"/>
        <v>7.2114449778348817</v>
      </c>
      <c r="V323" s="149">
        <f t="shared" si="244"/>
        <v>4.6258952020667614</v>
      </c>
      <c r="W323" s="149">
        <f t="shared" si="244"/>
        <v>-2.7522207350832968</v>
      </c>
      <c r="X323" s="149">
        <f t="shared" si="244"/>
        <v>-0.21206858002702234</v>
      </c>
      <c r="Y323" s="149">
        <f t="shared" si="244"/>
        <v>5.7895850561115418</v>
      </c>
      <c r="Z323" s="149">
        <f t="shared" si="244"/>
        <v>7.7319113707913454</v>
      </c>
      <c r="AA323" s="149">
        <f t="shared" si="244"/>
        <v>7.6136380451059216</v>
      </c>
      <c r="AB323" s="149">
        <f t="shared" si="244"/>
        <v>4.4748285863984938</v>
      </c>
      <c r="AC323" s="149">
        <f t="shared" si="244"/>
        <v>2.2334407648813586</v>
      </c>
      <c r="AD323" s="149">
        <f t="shared" si="244"/>
        <v>4.9917782261310482</v>
      </c>
      <c r="AE323" s="149">
        <f t="shared" si="244"/>
        <v>7.815237665976845</v>
      </c>
      <c r="AF323" s="526">
        <f t="shared" ref="AF323:AQ323" si="245">SUM(AF320:AF322)</f>
        <v>58.587463521327706</v>
      </c>
      <c r="AG323" s="149">
        <f t="shared" si="245"/>
        <v>58.492690616845152</v>
      </c>
      <c r="AH323" s="149">
        <f t="shared" si="245"/>
        <v>55.225999559871624</v>
      </c>
      <c r="AI323" s="149">
        <f t="shared" si="245"/>
        <v>52.739530707017884</v>
      </c>
      <c r="AJ323" s="149">
        <f t="shared" si="245"/>
        <v>52.837794008361037</v>
      </c>
      <c r="AK323" s="149">
        <f t="shared" si="245"/>
        <v>56.005649798888278</v>
      </c>
      <c r="AL323" s="149">
        <f t="shared" si="245"/>
        <v>53.244357762004313</v>
      </c>
      <c r="AM323" s="149">
        <f t="shared" si="245"/>
        <v>49.956746551968926</v>
      </c>
      <c r="AN323" s="149">
        <f t="shared" si="245"/>
        <v>47.855638968465769</v>
      </c>
      <c r="AO323" s="149">
        <f t="shared" si="245"/>
        <v>46.961625936922822</v>
      </c>
      <c r="AP323" s="149">
        <f t="shared" si="245"/>
        <v>61.175842058651199</v>
      </c>
      <c r="AQ323" s="149">
        <f t="shared" si="245"/>
        <v>59.077159278253674</v>
      </c>
      <c r="AR323" s="149"/>
      <c r="AS323" s="149"/>
    </row>
    <row r="324" spans="1:45">
      <c r="A324" s="422">
        <f t="shared" si="189"/>
        <v>322</v>
      </c>
      <c r="B324" s="144" t="s">
        <v>177</v>
      </c>
      <c r="C324" s="156"/>
      <c r="D324" s="156"/>
      <c r="E324" s="156">
        <f>E310</f>
        <v>0</v>
      </c>
      <c r="F324" s="528"/>
      <c r="G324" s="156">
        <f t="shared" ref="G324:R324" si="246">G310</f>
        <v>0</v>
      </c>
      <c r="H324" s="156">
        <f t="shared" si="246"/>
        <v>0</v>
      </c>
      <c r="I324" s="156">
        <f t="shared" si="246"/>
        <v>0</v>
      </c>
      <c r="J324" s="156">
        <f t="shared" si="246"/>
        <v>0</v>
      </c>
      <c r="K324" s="156">
        <f t="shared" si="246"/>
        <v>0</v>
      </c>
      <c r="L324" s="156">
        <f t="shared" si="246"/>
        <v>0</v>
      </c>
      <c r="M324" s="156">
        <f t="shared" si="246"/>
        <v>0</v>
      </c>
      <c r="N324" s="156">
        <f t="shared" si="246"/>
        <v>0</v>
      </c>
      <c r="O324" s="156">
        <f t="shared" si="246"/>
        <v>0</v>
      </c>
      <c r="P324" s="156">
        <f t="shared" si="246"/>
        <v>0</v>
      </c>
      <c r="Q324" s="156">
        <f t="shared" si="246"/>
        <v>0</v>
      </c>
      <c r="R324" s="156">
        <f t="shared" si="246"/>
        <v>0</v>
      </c>
      <c r="S324" s="528">
        <f>S310</f>
        <v>0</v>
      </c>
      <c r="T324" s="156">
        <f t="shared" ref="T324:AP324" si="247">T310</f>
        <v>0</v>
      </c>
      <c r="U324" s="156">
        <f t="shared" si="247"/>
        <v>0</v>
      </c>
      <c r="V324" s="156">
        <f t="shared" si="247"/>
        <v>0</v>
      </c>
      <c r="W324" s="156">
        <f t="shared" si="247"/>
        <v>0</v>
      </c>
      <c r="X324" s="156">
        <f t="shared" si="247"/>
        <v>0</v>
      </c>
      <c r="Y324" s="156">
        <f t="shared" si="247"/>
        <v>0</v>
      </c>
      <c r="Z324" s="156">
        <f t="shared" si="247"/>
        <v>0</v>
      </c>
      <c r="AA324" s="156">
        <f t="shared" si="247"/>
        <v>0</v>
      </c>
      <c r="AB324" s="156">
        <f t="shared" si="247"/>
        <v>0</v>
      </c>
      <c r="AC324" s="156">
        <f t="shared" si="247"/>
        <v>0</v>
      </c>
      <c r="AD324" s="156">
        <f t="shared" si="247"/>
        <v>0</v>
      </c>
      <c r="AE324" s="156">
        <f t="shared" si="247"/>
        <v>0</v>
      </c>
      <c r="AF324" s="528">
        <f>AF310</f>
        <v>0</v>
      </c>
      <c r="AG324" s="156">
        <f t="shared" si="247"/>
        <v>0</v>
      </c>
      <c r="AH324" s="156">
        <f t="shared" si="247"/>
        <v>0</v>
      </c>
      <c r="AI324" s="156">
        <f t="shared" si="247"/>
        <v>0</v>
      </c>
      <c r="AJ324" s="156">
        <f t="shared" si="247"/>
        <v>0</v>
      </c>
      <c r="AK324" s="156">
        <f t="shared" si="247"/>
        <v>0</v>
      </c>
      <c r="AL324" s="156">
        <f t="shared" si="247"/>
        <v>0</v>
      </c>
      <c r="AM324" s="156">
        <f t="shared" si="247"/>
        <v>0</v>
      </c>
      <c r="AN324" s="156">
        <f t="shared" si="247"/>
        <v>0</v>
      </c>
      <c r="AO324" s="156">
        <f t="shared" si="247"/>
        <v>0</v>
      </c>
      <c r="AP324" s="156">
        <f t="shared" si="247"/>
        <v>0</v>
      </c>
      <c r="AQ324" s="156">
        <f>AQ310</f>
        <v>0</v>
      </c>
      <c r="AR324" s="149"/>
      <c r="AS324" s="149"/>
    </row>
    <row r="325" spans="1:45">
      <c r="A325" s="422">
        <f t="shared" si="189"/>
        <v>323</v>
      </c>
      <c r="B325" s="145" t="s">
        <v>131</v>
      </c>
      <c r="C325" s="149"/>
      <c r="D325" s="149"/>
      <c r="E325" s="149">
        <f t="shared" ref="E325:S325" si="248">SUM(E323:E324)</f>
        <v>56.309878449999957</v>
      </c>
      <c r="F325" s="526"/>
      <c r="G325" s="149">
        <f t="shared" si="248"/>
        <v>7.7081206402257543</v>
      </c>
      <c r="H325" s="149">
        <f t="shared" si="248"/>
        <v>5.2786675619333474</v>
      </c>
      <c r="I325" s="149">
        <f t="shared" si="248"/>
        <v>4.3863131458271907</v>
      </c>
      <c r="J325" s="149">
        <f t="shared" si="248"/>
        <v>0.43680553780912668</v>
      </c>
      <c r="K325" s="149">
        <f t="shared" si="248"/>
        <v>-1.9133234760393538</v>
      </c>
      <c r="L325" s="149">
        <f t="shared" si="248"/>
        <v>4.6676216772490768</v>
      </c>
      <c r="M325" s="149">
        <f t="shared" si="248"/>
        <v>6.6847592264536546</v>
      </c>
      <c r="N325" s="149">
        <f t="shared" si="248"/>
        <v>6.6788960536404627</v>
      </c>
      <c r="O325" s="149">
        <f t="shared" si="248"/>
        <v>3.6770731952008249</v>
      </c>
      <c r="P325" s="149">
        <f t="shared" si="248"/>
        <v>1.4764223352236558</v>
      </c>
      <c r="Q325" s="149">
        <f t="shared" si="248"/>
        <v>4.2504097410820583</v>
      </c>
      <c r="R325" s="149">
        <f t="shared" si="248"/>
        <v>7.9302520069799316</v>
      </c>
      <c r="S325" s="526">
        <f t="shared" si="248"/>
        <v>51.262017645585651</v>
      </c>
      <c r="T325" s="149">
        <f t="shared" ref="T325:AE325" si="249">SUM(T323:T324)</f>
        <v>9.0639929411398654</v>
      </c>
      <c r="U325" s="149">
        <f t="shared" si="249"/>
        <v>7.2114449778348817</v>
      </c>
      <c r="V325" s="149">
        <f t="shared" si="249"/>
        <v>4.6258952020667614</v>
      </c>
      <c r="W325" s="149">
        <f t="shared" si="249"/>
        <v>-2.7522207350832968</v>
      </c>
      <c r="X325" s="149">
        <f t="shared" si="249"/>
        <v>-0.21206858002702234</v>
      </c>
      <c r="Y325" s="149">
        <f t="shared" si="249"/>
        <v>5.7895850561115418</v>
      </c>
      <c r="Z325" s="149">
        <f t="shared" si="249"/>
        <v>7.7319113707913454</v>
      </c>
      <c r="AA325" s="149">
        <f t="shared" si="249"/>
        <v>7.6136380451059216</v>
      </c>
      <c r="AB325" s="149">
        <f t="shared" si="249"/>
        <v>4.4748285863984938</v>
      </c>
      <c r="AC325" s="149">
        <f t="shared" si="249"/>
        <v>2.2334407648813586</v>
      </c>
      <c r="AD325" s="149">
        <f t="shared" si="249"/>
        <v>4.9917782261310482</v>
      </c>
      <c r="AE325" s="149">
        <f t="shared" si="249"/>
        <v>7.815237665976845</v>
      </c>
      <c r="AF325" s="526">
        <f t="shared" ref="AF325:AQ325" si="250">SUM(AF323:AF324)</f>
        <v>58.587463521327706</v>
      </c>
      <c r="AG325" s="149">
        <f t="shared" si="250"/>
        <v>58.492690616845152</v>
      </c>
      <c r="AH325" s="149">
        <f t="shared" si="250"/>
        <v>55.225999559871624</v>
      </c>
      <c r="AI325" s="149">
        <f t="shared" si="250"/>
        <v>52.739530707017884</v>
      </c>
      <c r="AJ325" s="149">
        <f t="shared" si="250"/>
        <v>52.837794008361037</v>
      </c>
      <c r="AK325" s="149">
        <f t="shared" si="250"/>
        <v>56.005649798888278</v>
      </c>
      <c r="AL325" s="149">
        <f t="shared" si="250"/>
        <v>53.244357762004313</v>
      </c>
      <c r="AM325" s="149">
        <f t="shared" si="250"/>
        <v>49.956746551968926</v>
      </c>
      <c r="AN325" s="149">
        <f t="shared" si="250"/>
        <v>47.855638968465769</v>
      </c>
      <c r="AO325" s="149">
        <f t="shared" si="250"/>
        <v>46.961625936922822</v>
      </c>
      <c r="AP325" s="149">
        <f t="shared" si="250"/>
        <v>61.175842058651199</v>
      </c>
      <c r="AQ325" s="149">
        <f t="shared" si="250"/>
        <v>59.077159278253674</v>
      </c>
      <c r="AR325" s="149"/>
      <c r="AS325" s="149"/>
    </row>
    <row r="326" spans="1:45">
      <c r="A326" s="422">
        <f t="shared" si="189"/>
        <v>324</v>
      </c>
      <c r="B326" s="146" t="s">
        <v>178</v>
      </c>
      <c r="C326" s="149"/>
      <c r="D326" s="149"/>
      <c r="E326" s="149"/>
      <c r="F326" s="526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526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526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</row>
    <row r="327" spans="1:45">
      <c r="A327" s="422">
        <f t="shared" ref="A327:A393" si="251">A326+1</f>
        <v>325</v>
      </c>
      <c r="B327" s="142" t="s">
        <v>172</v>
      </c>
      <c r="C327" s="149"/>
      <c r="D327" s="149"/>
      <c r="E327" s="149">
        <f>E321</f>
        <v>45.032787470000002</v>
      </c>
      <c r="F327" s="526"/>
      <c r="G327" s="149">
        <f>G321</f>
        <v>3.801779070814082</v>
      </c>
      <c r="H327" s="149">
        <f t="shared" ref="H327:R327" si="252">H321</f>
        <v>3.4943951115753671</v>
      </c>
      <c r="I327" s="149">
        <f t="shared" si="252"/>
        <v>3.9287821486613619</v>
      </c>
      <c r="J327" s="149">
        <f t="shared" si="252"/>
        <v>3.83665864991969</v>
      </c>
      <c r="K327" s="149">
        <f t="shared" si="252"/>
        <v>3.9440452341408143</v>
      </c>
      <c r="L327" s="149">
        <f>L321</f>
        <v>3.8024176742278777</v>
      </c>
      <c r="M327" s="149">
        <f t="shared" si="252"/>
        <v>3.9362067521730828</v>
      </c>
      <c r="N327" s="149">
        <f t="shared" si="252"/>
        <v>3.9362085321730831</v>
      </c>
      <c r="O327" s="149">
        <f t="shared" si="252"/>
        <v>3.8212760943723696</v>
      </c>
      <c r="P327" s="149">
        <f t="shared" si="252"/>
        <v>3.9734602275230535</v>
      </c>
      <c r="Q327" s="149">
        <f t="shared" si="252"/>
        <v>3.8654261019066158</v>
      </c>
      <c r="R327" s="149">
        <f t="shared" si="252"/>
        <v>3.9650209604738875</v>
      </c>
      <c r="S327" s="526">
        <f>S321</f>
        <v>46.305676557961284</v>
      </c>
      <c r="T327" s="149">
        <f>T321</f>
        <v>3.9097754603369017</v>
      </c>
      <c r="U327" s="149">
        <f t="shared" ref="U327:AP327" si="253">U321</f>
        <v>3.6642238723916956</v>
      </c>
      <c r="V327" s="149">
        <f t="shared" si="253"/>
        <v>3.9823145892786194</v>
      </c>
      <c r="W327" s="149">
        <f t="shared" si="253"/>
        <v>3.8982678284567012</v>
      </c>
      <c r="X327" s="149">
        <f t="shared" si="253"/>
        <v>4.0079655861279342</v>
      </c>
      <c r="Y327" s="149">
        <f t="shared" si="253"/>
        <v>3.8807800374799095</v>
      </c>
      <c r="Z327" s="149">
        <f t="shared" si="253"/>
        <v>4.0073893833703202</v>
      </c>
      <c r="AA327" s="149">
        <f t="shared" si="253"/>
        <v>4.0073912733703203</v>
      </c>
      <c r="AB327" s="149">
        <f t="shared" si="253"/>
        <v>3.8897148599820222</v>
      </c>
      <c r="AC327" s="149">
        <f t="shared" si="253"/>
        <v>4.0110692558724326</v>
      </c>
      <c r="AD327" s="149">
        <f t="shared" si="253"/>
        <v>3.9016498424477755</v>
      </c>
      <c r="AE327" s="149">
        <f t="shared" si="253"/>
        <v>4.0023426518211815</v>
      </c>
      <c r="AF327" s="526">
        <f>AF321</f>
        <v>47.162884640935815</v>
      </c>
      <c r="AG327" s="149">
        <f t="shared" si="253"/>
        <v>47.086316568922427</v>
      </c>
      <c r="AH327" s="149">
        <f t="shared" si="253"/>
        <v>46.728476173825342</v>
      </c>
      <c r="AI327" s="149">
        <f t="shared" si="253"/>
        <v>46.187527526229218</v>
      </c>
      <c r="AJ327" s="149">
        <f t="shared" si="253"/>
        <v>45.672031402321018</v>
      </c>
      <c r="AK327" s="149">
        <f t="shared" si="253"/>
        <v>45.079611382012061</v>
      </c>
      <c r="AL327" s="149">
        <f t="shared" si="253"/>
        <v>42.852504259480142</v>
      </c>
      <c r="AM327" s="149">
        <f t="shared" si="253"/>
        <v>40.200945414741241</v>
      </c>
      <c r="AN327" s="149">
        <f t="shared" si="253"/>
        <v>38.506243554889551</v>
      </c>
      <c r="AO327" s="149">
        <f t="shared" si="253"/>
        <v>37.78500426261197</v>
      </c>
      <c r="AP327" s="149">
        <f t="shared" si="253"/>
        <v>49.247819955978557</v>
      </c>
      <c r="AQ327" s="149">
        <f>AQ321</f>
        <v>47.555071233125901</v>
      </c>
      <c r="AR327" s="149"/>
      <c r="AS327" s="149"/>
    </row>
    <row r="328" spans="1:45">
      <c r="A328" s="422">
        <f t="shared" si="251"/>
        <v>326</v>
      </c>
      <c r="B328" s="144" t="s">
        <v>177</v>
      </c>
      <c r="C328" s="156"/>
      <c r="D328" s="156"/>
      <c r="E328" s="156">
        <f>E314</f>
        <v>0</v>
      </c>
      <c r="F328" s="528"/>
      <c r="G328" s="156">
        <f t="shared" ref="G328:R328" si="254">G314</f>
        <v>0</v>
      </c>
      <c r="H328" s="156">
        <f t="shared" si="254"/>
        <v>0</v>
      </c>
      <c r="I328" s="156">
        <f t="shared" si="254"/>
        <v>0</v>
      </c>
      <c r="J328" s="156">
        <f t="shared" si="254"/>
        <v>0</v>
      </c>
      <c r="K328" s="156">
        <f t="shared" si="254"/>
        <v>0</v>
      </c>
      <c r="L328" s="156">
        <f t="shared" si="254"/>
        <v>0</v>
      </c>
      <c r="M328" s="156">
        <f t="shared" si="254"/>
        <v>0</v>
      </c>
      <c r="N328" s="156">
        <f t="shared" si="254"/>
        <v>0</v>
      </c>
      <c r="O328" s="156">
        <f t="shared" si="254"/>
        <v>0</v>
      </c>
      <c r="P328" s="156">
        <f t="shared" si="254"/>
        <v>0</v>
      </c>
      <c r="Q328" s="156">
        <f t="shared" si="254"/>
        <v>0</v>
      </c>
      <c r="R328" s="156">
        <f t="shared" si="254"/>
        <v>0</v>
      </c>
      <c r="S328" s="528">
        <f t="shared" ref="S328:AF328" si="255">S314</f>
        <v>0</v>
      </c>
      <c r="T328" s="156">
        <f t="shared" si="255"/>
        <v>0</v>
      </c>
      <c r="U328" s="156">
        <f t="shared" si="255"/>
        <v>0</v>
      </c>
      <c r="V328" s="156">
        <f t="shared" si="255"/>
        <v>0</v>
      </c>
      <c r="W328" s="156">
        <f t="shared" si="255"/>
        <v>0</v>
      </c>
      <c r="X328" s="156">
        <f t="shared" si="255"/>
        <v>0</v>
      </c>
      <c r="Y328" s="156">
        <f t="shared" si="255"/>
        <v>0</v>
      </c>
      <c r="Z328" s="156">
        <f t="shared" si="255"/>
        <v>0</v>
      </c>
      <c r="AA328" s="156">
        <f t="shared" si="255"/>
        <v>0</v>
      </c>
      <c r="AB328" s="156">
        <f t="shared" si="255"/>
        <v>0</v>
      </c>
      <c r="AC328" s="156">
        <f t="shared" si="255"/>
        <v>0</v>
      </c>
      <c r="AD328" s="156">
        <f t="shared" si="255"/>
        <v>0</v>
      </c>
      <c r="AE328" s="156">
        <f t="shared" si="255"/>
        <v>0</v>
      </c>
      <c r="AF328" s="528">
        <f t="shared" si="255"/>
        <v>0</v>
      </c>
      <c r="AG328" s="156">
        <f t="shared" ref="AG328:AP328" si="256">AG314</f>
        <v>0</v>
      </c>
      <c r="AH328" s="156">
        <f t="shared" si="256"/>
        <v>0</v>
      </c>
      <c r="AI328" s="156">
        <f t="shared" si="256"/>
        <v>0</v>
      </c>
      <c r="AJ328" s="156">
        <f t="shared" si="256"/>
        <v>0</v>
      </c>
      <c r="AK328" s="156">
        <f t="shared" si="256"/>
        <v>0</v>
      </c>
      <c r="AL328" s="156">
        <f t="shared" si="256"/>
        <v>0</v>
      </c>
      <c r="AM328" s="156">
        <f t="shared" si="256"/>
        <v>0</v>
      </c>
      <c r="AN328" s="156">
        <f t="shared" si="256"/>
        <v>0</v>
      </c>
      <c r="AO328" s="156">
        <f t="shared" si="256"/>
        <v>0</v>
      </c>
      <c r="AP328" s="156">
        <f t="shared" si="256"/>
        <v>0</v>
      </c>
      <c r="AQ328" s="156">
        <f>AQ314</f>
        <v>0</v>
      </c>
      <c r="AR328" s="149"/>
      <c r="AS328" s="149"/>
    </row>
    <row r="329" spans="1:45">
      <c r="A329" s="422">
        <f t="shared" si="251"/>
        <v>327</v>
      </c>
      <c r="B329" s="145" t="s">
        <v>131</v>
      </c>
      <c r="C329" s="149"/>
      <c r="D329" s="149"/>
      <c r="E329" s="149">
        <f t="shared" ref="E329:S329" si="257">SUM(E327:E328)</f>
        <v>45.032787470000002</v>
      </c>
      <c r="F329" s="526"/>
      <c r="G329" s="149">
        <f t="shared" si="257"/>
        <v>3.801779070814082</v>
      </c>
      <c r="H329" s="149">
        <f t="shared" si="257"/>
        <v>3.4943951115753671</v>
      </c>
      <c r="I329" s="149">
        <f t="shared" si="257"/>
        <v>3.9287821486613619</v>
      </c>
      <c r="J329" s="149">
        <f t="shared" si="257"/>
        <v>3.83665864991969</v>
      </c>
      <c r="K329" s="149">
        <f t="shared" si="257"/>
        <v>3.9440452341408143</v>
      </c>
      <c r="L329" s="149">
        <f t="shared" si="257"/>
        <v>3.8024176742278777</v>
      </c>
      <c r="M329" s="149">
        <f t="shared" si="257"/>
        <v>3.9362067521730828</v>
      </c>
      <c r="N329" s="149">
        <f t="shared" si="257"/>
        <v>3.9362085321730831</v>
      </c>
      <c r="O329" s="149">
        <f t="shared" si="257"/>
        <v>3.8212760943723696</v>
      </c>
      <c r="P329" s="149">
        <f t="shared" si="257"/>
        <v>3.9734602275230535</v>
      </c>
      <c r="Q329" s="149">
        <f t="shared" si="257"/>
        <v>3.8654261019066158</v>
      </c>
      <c r="R329" s="149">
        <f t="shared" si="257"/>
        <v>3.9650209604738875</v>
      </c>
      <c r="S329" s="526">
        <f t="shared" si="257"/>
        <v>46.305676557961284</v>
      </c>
      <c r="T329" s="149">
        <f t="shared" ref="T329:AE329" si="258">SUM(T327:T328)</f>
        <v>3.9097754603369017</v>
      </c>
      <c r="U329" s="149">
        <f t="shared" si="258"/>
        <v>3.6642238723916956</v>
      </c>
      <c r="V329" s="149">
        <f t="shared" si="258"/>
        <v>3.9823145892786194</v>
      </c>
      <c r="W329" s="149">
        <f t="shared" si="258"/>
        <v>3.8982678284567012</v>
      </c>
      <c r="X329" s="149">
        <f t="shared" si="258"/>
        <v>4.0079655861279342</v>
      </c>
      <c r="Y329" s="149">
        <f t="shared" si="258"/>
        <v>3.8807800374799095</v>
      </c>
      <c r="Z329" s="149">
        <f t="shared" si="258"/>
        <v>4.0073893833703202</v>
      </c>
      <c r="AA329" s="149">
        <f t="shared" si="258"/>
        <v>4.0073912733703203</v>
      </c>
      <c r="AB329" s="149">
        <f t="shared" si="258"/>
        <v>3.8897148599820222</v>
      </c>
      <c r="AC329" s="149">
        <f t="shared" si="258"/>
        <v>4.0110692558724326</v>
      </c>
      <c r="AD329" s="149">
        <f t="shared" si="258"/>
        <v>3.9016498424477755</v>
      </c>
      <c r="AE329" s="149">
        <f t="shared" si="258"/>
        <v>4.0023426518211815</v>
      </c>
      <c r="AF329" s="526">
        <f t="shared" ref="AF329:AQ329" si="259">SUM(AF327:AF328)</f>
        <v>47.162884640935815</v>
      </c>
      <c r="AG329" s="149">
        <f t="shared" si="259"/>
        <v>47.086316568922427</v>
      </c>
      <c r="AH329" s="149">
        <f t="shared" si="259"/>
        <v>46.728476173825342</v>
      </c>
      <c r="AI329" s="149">
        <f t="shared" si="259"/>
        <v>46.187527526229218</v>
      </c>
      <c r="AJ329" s="149">
        <f t="shared" si="259"/>
        <v>45.672031402321018</v>
      </c>
      <c r="AK329" s="149">
        <f t="shared" si="259"/>
        <v>45.079611382012061</v>
      </c>
      <c r="AL329" s="149">
        <f t="shared" si="259"/>
        <v>42.852504259480142</v>
      </c>
      <c r="AM329" s="149">
        <f t="shared" si="259"/>
        <v>40.200945414741241</v>
      </c>
      <c r="AN329" s="149">
        <f t="shared" si="259"/>
        <v>38.506243554889551</v>
      </c>
      <c r="AO329" s="149">
        <f t="shared" si="259"/>
        <v>37.78500426261197</v>
      </c>
      <c r="AP329" s="149">
        <f t="shared" si="259"/>
        <v>49.247819955978557</v>
      </c>
      <c r="AQ329" s="149">
        <f t="shared" si="259"/>
        <v>47.555071233125901</v>
      </c>
      <c r="AR329" s="149"/>
      <c r="AS329" s="149"/>
    </row>
    <row r="330" spans="1:45">
      <c r="A330" s="422">
        <f t="shared" si="251"/>
        <v>328</v>
      </c>
      <c r="B330" s="132"/>
      <c r="C330" s="149"/>
      <c r="D330" s="149"/>
      <c r="E330" s="149"/>
      <c r="F330" s="526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526"/>
      <c r="T330" s="149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526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</row>
    <row r="331" spans="1:45" ht="15.75">
      <c r="A331" s="422">
        <f t="shared" si="251"/>
        <v>329</v>
      </c>
      <c r="B331" s="147" t="s">
        <v>331</v>
      </c>
      <c r="C331" s="149"/>
      <c r="D331" s="149"/>
      <c r="E331" s="164">
        <f>E325/E329</f>
        <v>1.2504195634683406</v>
      </c>
      <c r="F331" s="536"/>
      <c r="G331" s="164">
        <f t="shared" ref="G331:R331" si="260">G325/G329</f>
        <v>2.0275035704731788</v>
      </c>
      <c r="H331" s="164">
        <f t="shared" si="260"/>
        <v>1.510609817546815</v>
      </c>
      <c r="I331" s="164">
        <f t="shared" si="260"/>
        <v>1.1164561891836435</v>
      </c>
      <c r="J331" s="164">
        <f t="shared" si="260"/>
        <v>0.11385050838918652</v>
      </c>
      <c r="K331" s="164">
        <f t="shared" si="260"/>
        <v>-0.48511702134576545</v>
      </c>
      <c r="L331" s="164">
        <f t="shared" si="260"/>
        <v>1.2275404958496277</v>
      </c>
      <c r="M331" s="164">
        <f t="shared" si="260"/>
        <v>1.6982744168006834</v>
      </c>
      <c r="N331" s="164">
        <f t="shared" si="260"/>
        <v>1.6967841004991699</v>
      </c>
      <c r="O331" s="164">
        <f t="shared" si="260"/>
        <v>0.96226315617866143</v>
      </c>
      <c r="P331" s="164">
        <f t="shared" si="260"/>
        <v>0.37157093582990691</v>
      </c>
      <c r="Q331" s="164">
        <f t="shared" si="260"/>
        <v>1.0995966884441406</v>
      </c>
      <c r="R331" s="164">
        <f t="shared" si="260"/>
        <v>2.0000529848478106</v>
      </c>
      <c r="S331" s="536">
        <f>S325/S329</f>
        <v>1.1070352806835781</v>
      </c>
      <c r="T331" s="164">
        <f t="shared" ref="T331:AP331" si="261">T325/T329</f>
        <v>2.3182898949288586</v>
      </c>
      <c r="U331" s="164">
        <f t="shared" si="261"/>
        <v>1.9680688814266853</v>
      </c>
      <c r="V331" s="164">
        <f t="shared" si="261"/>
        <v>1.1616096866181342</v>
      </c>
      <c r="W331" s="164">
        <f t="shared" si="261"/>
        <v>-0.70601119681735236</v>
      </c>
      <c r="X331" s="164">
        <f t="shared" si="261"/>
        <v>-5.291177667817757E-2</v>
      </c>
      <c r="Y331" s="164">
        <f t="shared" si="261"/>
        <v>1.4918611722892614</v>
      </c>
      <c r="Z331" s="164">
        <f t="shared" si="261"/>
        <v>1.9294135486002122</v>
      </c>
      <c r="AA331" s="164">
        <f t="shared" si="261"/>
        <v>1.8998988433447013</v>
      </c>
      <c r="AB331" s="164">
        <f t="shared" si="261"/>
        <v>1.1504258660284359</v>
      </c>
      <c r="AC331" s="164">
        <f t="shared" si="261"/>
        <v>0.55681929740092984</v>
      </c>
      <c r="AD331" s="164">
        <f t="shared" si="261"/>
        <v>1.2794019011709568</v>
      </c>
      <c r="AE331" s="164">
        <f t="shared" si="261"/>
        <v>1.9526658124637795</v>
      </c>
      <c r="AF331" s="536">
        <f>AF325/AF329</f>
        <v>1.2422366436525329</v>
      </c>
      <c r="AG331" s="164">
        <f t="shared" si="261"/>
        <v>1.242243923056217</v>
      </c>
      <c r="AH331" s="164">
        <f t="shared" si="261"/>
        <v>1.1818489298567394</v>
      </c>
      <c r="AI331" s="164">
        <f t="shared" si="261"/>
        <v>1.1418565472479096</v>
      </c>
      <c r="AJ331" s="164">
        <f t="shared" si="261"/>
        <v>1.1568960781034114</v>
      </c>
      <c r="AK331" s="164">
        <f>AK325/AK329</f>
        <v>1.2423720631548298</v>
      </c>
      <c r="AL331" s="164">
        <f t="shared" si="261"/>
        <v>1.2425028287635072</v>
      </c>
      <c r="AM331" s="164">
        <f t="shared" si="261"/>
        <v>1.2426759131303997</v>
      </c>
      <c r="AN331" s="164">
        <f t="shared" si="261"/>
        <v>1.2428020640405737</v>
      </c>
      <c r="AO331" s="164">
        <f t="shared" si="261"/>
        <v>1.242864116423855</v>
      </c>
      <c r="AP331" s="164">
        <f t="shared" si="261"/>
        <v>1.2422040633135603</v>
      </c>
      <c r="AQ331" s="164">
        <f>AQ325/AQ329</f>
        <v>1.2422893657049496</v>
      </c>
      <c r="AR331" s="164"/>
      <c r="AS331" s="164"/>
    </row>
    <row r="332" spans="1:45">
      <c r="A332" s="422">
        <f t="shared" si="251"/>
        <v>330</v>
      </c>
      <c r="B332" s="140"/>
      <c r="C332" s="149"/>
      <c r="D332" s="149"/>
      <c r="E332" s="149"/>
      <c r="F332" s="526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526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526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</row>
    <row r="333" spans="1:45">
      <c r="A333" s="422">
        <f t="shared" si="251"/>
        <v>331</v>
      </c>
      <c r="B333" s="138"/>
      <c r="C333" s="149"/>
      <c r="D333" s="149"/>
      <c r="E333" s="149"/>
      <c r="F333" s="526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526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526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</row>
    <row r="334" spans="1:45">
      <c r="A334" s="422">
        <f t="shared" si="251"/>
        <v>332</v>
      </c>
      <c r="B334" s="134"/>
      <c r="C334" s="149"/>
      <c r="D334" s="149"/>
      <c r="E334" s="149"/>
      <c r="F334" s="526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526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526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</row>
    <row r="335" spans="1:45">
      <c r="A335" s="422">
        <f t="shared" si="251"/>
        <v>333</v>
      </c>
      <c r="B335" s="138" t="s">
        <v>448</v>
      </c>
      <c r="C335" s="149"/>
      <c r="D335" s="149"/>
      <c r="E335" s="149"/>
      <c r="F335" s="526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526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526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</row>
    <row r="336" spans="1:45">
      <c r="A336" s="422">
        <f t="shared" si="251"/>
        <v>334</v>
      </c>
      <c r="B336" s="134" t="s">
        <v>449</v>
      </c>
      <c r="C336" s="149"/>
      <c r="D336" s="149"/>
      <c r="E336" s="149">
        <f>E116</f>
        <v>558.08976008000002</v>
      </c>
      <c r="F336" s="526"/>
      <c r="G336" s="149">
        <f>G116</f>
        <v>48.035740544490679</v>
      </c>
      <c r="H336" s="149">
        <f t="shared" ref="H336:Q336" si="262">H116</f>
        <v>45.049735253451914</v>
      </c>
      <c r="I336" s="149">
        <f t="shared" si="262"/>
        <v>49.99029367457161</v>
      </c>
      <c r="J336" s="149">
        <f t="shared" si="262"/>
        <v>47.711001211814953</v>
      </c>
      <c r="K336" s="149">
        <f t="shared" si="262"/>
        <v>51.810087374057119</v>
      </c>
      <c r="L336" s="149">
        <f t="shared" si="262"/>
        <v>46.952660319551768</v>
      </c>
      <c r="M336" s="149">
        <f t="shared" si="262"/>
        <v>48.912198040771898</v>
      </c>
      <c r="N336" s="149">
        <f t="shared" si="262"/>
        <v>47.749129733751971</v>
      </c>
      <c r="O336" s="149">
        <f t="shared" si="262"/>
        <v>38.808994132243491</v>
      </c>
      <c r="P336" s="149">
        <f t="shared" si="262"/>
        <v>41.514029296113257</v>
      </c>
      <c r="Q336" s="149">
        <f t="shared" si="262"/>
        <v>38.514456708005788</v>
      </c>
      <c r="R336" s="149">
        <f>R116</f>
        <v>38.789224549692896</v>
      </c>
      <c r="S336" s="526">
        <f>SUM(G336:R336)</f>
        <v>543.83755083851736</v>
      </c>
      <c r="T336" s="149">
        <f>T116</f>
        <v>40.153032164051702</v>
      </c>
      <c r="U336" s="149">
        <f t="shared" ref="U336:AE336" si="263">U116</f>
        <v>37.167984378344052</v>
      </c>
      <c r="V336" s="149">
        <f t="shared" si="263"/>
        <v>41.147053544219958</v>
      </c>
      <c r="W336" s="149">
        <f t="shared" si="263"/>
        <v>41.975299259550695</v>
      </c>
      <c r="X336" s="149">
        <f t="shared" si="263"/>
        <v>41.328599894001051</v>
      </c>
      <c r="Y336" s="149">
        <f t="shared" si="263"/>
        <v>39.230245885718489</v>
      </c>
      <c r="Z336" s="149">
        <f t="shared" si="263"/>
        <v>39.531693694327338</v>
      </c>
      <c r="AA336" s="149">
        <f t="shared" si="263"/>
        <v>40.369617912147959</v>
      </c>
      <c r="AB336" s="149">
        <f t="shared" si="263"/>
        <v>39.326364286316284</v>
      </c>
      <c r="AC336" s="149">
        <f t="shared" si="263"/>
        <v>41.937268523571639</v>
      </c>
      <c r="AD336" s="149">
        <f t="shared" si="263"/>
        <v>38.922970004592386</v>
      </c>
      <c r="AE336" s="149">
        <f t="shared" si="263"/>
        <v>40.057816119216618</v>
      </c>
      <c r="AF336" s="526">
        <f>SUM(T336:AE336)</f>
        <v>481.14794566605815</v>
      </c>
      <c r="AG336" s="149">
        <f>AG116</f>
        <v>502.18977355841832</v>
      </c>
      <c r="AH336" s="149">
        <f t="shared" ref="AH336:AP336" si="264">AH116</f>
        <v>520.61162991848846</v>
      </c>
      <c r="AI336" s="149">
        <f t="shared" si="264"/>
        <v>534.76913285659668</v>
      </c>
      <c r="AJ336" s="149">
        <f t="shared" si="264"/>
        <v>550.40865368285404</v>
      </c>
      <c r="AK336" s="149">
        <f t="shared" si="264"/>
        <v>704.94887989577421</v>
      </c>
      <c r="AL336" s="149">
        <f t="shared" si="264"/>
        <v>754.99250676062172</v>
      </c>
      <c r="AM336" s="149">
        <f t="shared" si="264"/>
        <v>764.75665746002619</v>
      </c>
      <c r="AN336" s="149">
        <f t="shared" si="264"/>
        <v>799.77069847713642</v>
      </c>
      <c r="AO336" s="149">
        <f t="shared" si="264"/>
        <v>811.22723792845022</v>
      </c>
      <c r="AP336" s="149">
        <f t="shared" si="264"/>
        <v>847.53833424367713</v>
      </c>
      <c r="AQ336" s="149">
        <f>AQ116</f>
        <v>876.79280527173239</v>
      </c>
      <c r="AR336" s="149"/>
      <c r="AS336" s="149"/>
    </row>
    <row r="337" spans="1:45">
      <c r="A337" s="422">
        <f t="shared" si="251"/>
        <v>335</v>
      </c>
      <c r="B337" s="134" t="s">
        <v>450</v>
      </c>
      <c r="C337" s="156"/>
      <c r="D337" s="156"/>
      <c r="E337" s="156">
        <f>(E11*E81)+E87+SUM(E120:E126)+0.357939</f>
        <v>50.623078410000005</v>
      </c>
      <c r="F337" s="528"/>
      <c r="G337" s="156">
        <f t="shared" ref="G337:R337" si="265">(G11*G81)+G87+SUM(G120:G126)</f>
        <v>4.0661027850533991</v>
      </c>
      <c r="H337" s="156">
        <f t="shared" si="265"/>
        <v>3.8492542996927015</v>
      </c>
      <c r="I337" s="156">
        <f t="shared" si="265"/>
        <v>5.6604896722208871</v>
      </c>
      <c r="J337" s="156">
        <f t="shared" si="265"/>
        <v>2.96373734419798</v>
      </c>
      <c r="K337" s="156">
        <f t="shared" si="265"/>
        <v>2.450676934235839</v>
      </c>
      <c r="L337" s="156">
        <f t="shared" si="265"/>
        <v>2.4595739205256484</v>
      </c>
      <c r="M337" s="156">
        <f t="shared" si="265"/>
        <v>3.8929497408062059</v>
      </c>
      <c r="N337" s="156">
        <f t="shared" si="265"/>
        <v>7.0244395957188006</v>
      </c>
      <c r="O337" s="156">
        <f t="shared" si="265"/>
        <v>5.1488129978309152</v>
      </c>
      <c r="P337" s="156">
        <f t="shared" si="265"/>
        <v>7.3688382005768087</v>
      </c>
      <c r="Q337" s="156">
        <f t="shared" si="265"/>
        <v>6.2689275766391948</v>
      </c>
      <c r="R337" s="156">
        <f t="shared" si="265"/>
        <v>5.1810555102795357</v>
      </c>
      <c r="S337" s="528">
        <f>SUM(G337:R337)</f>
        <v>56.334858577777915</v>
      </c>
      <c r="T337" s="156">
        <f t="shared" ref="T337:AE337" si="266">(T11*T81)+T87+SUM(T120:T126)</f>
        <v>6.2347074872816135</v>
      </c>
      <c r="U337" s="156">
        <f t="shared" si="266"/>
        <v>5.7694865464550666</v>
      </c>
      <c r="V337" s="156">
        <f t="shared" si="266"/>
        <v>7.0071675384102203</v>
      </c>
      <c r="W337" s="156">
        <f t="shared" si="266"/>
        <v>4.0552663914984821</v>
      </c>
      <c r="X337" s="156">
        <f t="shared" si="266"/>
        <v>3.7884882977280983</v>
      </c>
      <c r="Y337" s="156">
        <f t="shared" si="266"/>
        <v>4.6080004983975913</v>
      </c>
      <c r="Z337" s="156">
        <f t="shared" si="266"/>
        <v>4.5702007259187019</v>
      </c>
      <c r="AA337" s="156">
        <f t="shared" si="266"/>
        <v>4.5958428681920189</v>
      </c>
      <c r="AB337" s="156">
        <f t="shared" si="266"/>
        <v>5.0937880106808811</v>
      </c>
      <c r="AC337" s="156">
        <f t="shared" si="266"/>
        <v>7.3774498110215108</v>
      </c>
      <c r="AD337" s="156">
        <f t="shared" si="266"/>
        <v>6.2339891317782641</v>
      </c>
      <c r="AE337" s="156">
        <f t="shared" si="266"/>
        <v>5.0126265812948496</v>
      </c>
      <c r="AF337" s="528">
        <f>SUM(T337:AE337)</f>
        <v>64.347013888657301</v>
      </c>
      <c r="AG337" s="156">
        <f t="shared" ref="AG337:AQ337" si="267">(AG11*AG81)+AG87+SUM(AG120:AG126)</f>
        <v>66.934799370704425</v>
      </c>
      <c r="AH337" s="156">
        <f t="shared" si="267"/>
        <v>65.925029285515166</v>
      </c>
      <c r="AI337" s="156">
        <f t="shared" si="267"/>
        <v>67.041438589574057</v>
      </c>
      <c r="AJ337" s="156">
        <f t="shared" si="267"/>
        <v>72.340187736792544</v>
      </c>
      <c r="AK337" s="156">
        <f t="shared" si="267"/>
        <v>239.12311301510061</v>
      </c>
      <c r="AL337" s="156">
        <f t="shared" si="267"/>
        <v>331.71185304153227</v>
      </c>
      <c r="AM337" s="156">
        <f t="shared" si="267"/>
        <v>355.187417908925</v>
      </c>
      <c r="AN337" s="156">
        <f t="shared" si="267"/>
        <v>380.85196170798849</v>
      </c>
      <c r="AO337" s="156">
        <f t="shared" si="267"/>
        <v>356.66561028384729</v>
      </c>
      <c r="AP337" s="156">
        <f t="shared" si="267"/>
        <v>368.4683793735706</v>
      </c>
      <c r="AQ337" s="156">
        <f t="shared" si="267"/>
        <v>358.86909813943601</v>
      </c>
      <c r="AR337" s="149"/>
      <c r="AS337" s="149"/>
    </row>
    <row r="338" spans="1:45">
      <c r="A338" s="422">
        <f t="shared" si="251"/>
        <v>336</v>
      </c>
      <c r="B338" s="134"/>
      <c r="C338" s="149"/>
      <c r="D338" s="149"/>
      <c r="E338" s="149">
        <f>E336-E337</f>
        <v>507.46668167000001</v>
      </c>
      <c r="F338" s="526"/>
      <c r="G338" s="149">
        <f>G336-G337</f>
        <v>43.969637759437276</v>
      </c>
      <c r="H338" s="149">
        <f t="shared" ref="H338:AQ338" si="268">H336-H337</f>
        <v>41.200480953759211</v>
      </c>
      <c r="I338" s="149">
        <f t="shared" si="268"/>
        <v>44.329804002350727</v>
      </c>
      <c r="J338" s="149">
        <f t="shared" si="268"/>
        <v>44.747263867616972</v>
      </c>
      <c r="K338" s="149">
        <f t="shared" si="268"/>
        <v>49.359410439821282</v>
      </c>
      <c r="L338" s="149">
        <f t="shared" si="268"/>
        <v>44.493086399026119</v>
      </c>
      <c r="M338" s="149">
        <f t="shared" si="268"/>
        <v>45.019248299965689</v>
      </c>
      <c r="N338" s="149">
        <f t="shared" si="268"/>
        <v>40.724690138033168</v>
      </c>
      <c r="O338" s="149">
        <f t="shared" si="268"/>
        <v>33.660181134412575</v>
      </c>
      <c r="P338" s="149">
        <f t="shared" si="268"/>
        <v>34.145191095536447</v>
      </c>
      <c r="Q338" s="149">
        <f t="shared" si="268"/>
        <v>32.245529131366595</v>
      </c>
      <c r="R338" s="149">
        <f t="shared" si="268"/>
        <v>33.608169039413362</v>
      </c>
      <c r="S338" s="526">
        <f t="shared" si="268"/>
        <v>487.50269226073942</v>
      </c>
      <c r="T338" s="149">
        <f t="shared" si="268"/>
        <v>33.918324676770091</v>
      </c>
      <c r="U338" s="149">
        <f t="shared" si="268"/>
        <v>31.398497831888985</v>
      </c>
      <c r="V338" s="149">
        <f t="shared" si="268"/>
        <v>34.139886005809736</v>
      </c>
      <c r="W338" s="149">
        <f t="shared" si="268"/>
        <v>37.920032868052211</v>
      </c>
      <c r="X338" s="149">
        <f t="shared" si="268"/>
        <v>37.540111596272951</v>
      </c>
      <c r="Y338" s="149">
        <f t="shared" si="268"/>
        <v>34.622245387320895</v>
      </c>
      <c r="Z338" s="149">
        <f t="shared" si="268"/>
        <v>34.961492968408635</v>
      </c>
      <c r="AA338" s="149">
        <f t="shared" si="268"/>
        <v>35.773775043955936</v>
      </c>
      <c r="AB338" s="149">
        <f t="shared" si="268"/>
        <v>34.232576275635402</v>
      </c>
      <c r="AC338" s="149">
        <f t="shared" si="268"/>
        <v>34.559818712550125</v>
      </c>
      <c r="AD338" s="149">
        <f t="shared" si="268"/>
        <v>32.68898087281412</v>
      </c>
      <c r="AE338" s="149">
        <f t="shared" si="268"/>
        <v>35.045189537921772</v>
      </c>
      <c r="AF338" s="526">
        <f t="shared" si="268"/>
        <v>416.80093177740082</v>
      </c>
      <c r="AG338" s="149">
        <f t="shared" si="268"/>
        <v>435.25497418771391</v>
      </c>
      <c r="AH338" s="149">
        <f t="shared" si="268"/>
        <v>454.6866006329733</v>
      </c>
      <c r="AI338" s="149">
        <f t="shared" si="268"/>
        <v>467.72769426702263</v>
      </c>
      <c r="AJ338" s="149">
        <f t="shared" si="268"/>
        <v>478.06846594606151</v>
      </c>
      <c r="AK338" s="149">
        <f t="shared" si="268"/>
        <v>465.8257668806736</v>
      </c>
      <c r="AL338" s="149">
        <f t="shared" si="268"/>
        <v>423.28065371908946</v>
      </c>
      <c r="AM338" s="149">
        <f t="shared" si="268"/>
        <v>409.56923955110119</v>
      </c>
      <c r="AN338" s="149">
        <f t="shared" si="268"/>
        <v>418.91873676914793</v>
      </c>
      <c r="AO338" s="149">
        <f t="shared" si="268"/>
        <v>454.56162764460294</v>
      </c>
      <c r="AP338" s="149">
        <f t="shared" si="268"/>
        <v>479.06995487010653</v>
      </c>
      <c r="AQ338" s="149">
        <f t="shared" si="268"/>
        <v>517.92370713229639</v>
      </c>
      <c r="AR338" s="149"/>
      <c r="AS338" s="149"/>
    </row>
    <row r="339" spans="1:45">
      <c r="A339" s="422">
        <f t="shared" si="251"/>
        <v>337</v>
      </c>
      <c r="B339" s="134"/>
      <c r="C339" s="149"/>
      <c r="D339" s="149"/>
      <c r="E339" s="149"/>
      <c r="F339" s="526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526"/>
      <c r="T339" s="149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526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</row>
    <row r="340" spans="1:45">
      <c r="A340" s="422">
        <f t="shared" si="251"/>
        <v>338</v>
      </c>
      <c r="B340" s="140" t="s">
        <v>451</v>
      </c>
      <c r="C340" s="149"/>
      <c r="D340" s="149"/>
      <c r="E340" s="149">
        <f>E7+E8+E9+E10</f>
        <v>10.707248436</v>
      </c>
      <c r="F340" s="526"/>
      <c r="G340" s="149">
        <f t="shared" ref="G340:AQ340" si="269">G7+G8+G9+G10</f>
        <v>0.95476348339999983</v>
      </c>
      <c r="H340" s="149">
        <f t="shared" si="269"/>
        <v>0.84869390560000002</v>
      </c>
      <c r="I340" s="149">
        <f t="shared" si="269"/>
        <v>0.8950982851999999</v>
      </c>
      <c r="J340" s="149">
        <f t="shared" si="269"/>
        <v>0.83191550800000003</v>
      </c>
      <c r="K340" s="149">
        <f t="shared" si="269"/>
        <v>0.87124863519999995</v>
      </c>
      <c r="L340" s="149">
        <f t="shared" si="269"/>
        <v>0.90044013599999995</v>
      </c>
      <c r="M340" s="149">
        <f t="shared" si="269"/>
        <v>0.9459615631999998</v>
      </c>
      <c r="N340" s="149">
        <f t="shared" si="269"/>
        <v>0.80004994319999989</v>
      </c>
      <c r="O340" s="149">
        <f t="shared" si="269"/>
        <v>0.51536288899999994</v>
      </c>
      <c r="P340" s="149">
        <f t="shared" si="269"/>
        <v>0.50115914219999991</v>
      </c>
      <c r="Q340" s="149">
        <f t="shared" si="269"/>
        <v>0.51584968599999992</v>
      </c>
      <c r="R340" s="149">
        <f t="shared" si="269"/>
        <v>0.59285570519999997</v>
      </c>
      <c r="S340" s="526">
        <f t="shared" si="269"/>
        <v>9.173398882199999</v>
      </c>
      <c r="T340" s="149">
        <f t="shared" si="269"/>
        <v>0.60071868019999997</v>
      </c>
      <c r="U340" s="149">
        <f t="shared" si="269"/>
        <v>0.52802938560000001</v>
      </c>
      <c r="V340" s="149">
        <f t="shared" si="269"/>
        <v>0.53940124519999999</v>
      </c>
      <c r="W340" s="149">
        <f t="shared" si="269"/>
        <v>0.48715330799999995</v>
      </c>
      <c r="X340" s="149">
        <f t="shared" si="269"/>
        <v>0.51520059519999994</v>
      </c>
      <c r="Y340" s="149">
        <f t="shared" si="269"/>
        <v>0.55680393599999989</v>
      </c>
      <c r="Z340" s="149">
        <f t="shared" si="269"/>
        <v>0.59847172319999997</v>
      </c>
      <c r="AA340" s="149">
        <f t="shared" si="269"/>
        <v>0.58845578319999992</v>
      </c>
      <c r="AB340" s="149">
        <f t="shared" si="269"/>
        <v>0.5182648889999999</v>
      </c>
      <c r="AC340" s="149">
        <f t="shared" si="269"/>
        <v>0.50365114219999996</v>
      </c>
      <c r="AD340" s="149">
        <f t="shared" si="269"/>
        <v>0.51874468600000001</v>
      </c>
      <c r="AE340" s="149">
        <f t="shared" si="269"/>
        <v>0.59680370519999992</v>
      </c>
      <c r="AF340" s="526">
        <f t="shared" si="269"/>
        <v>6.5516990789999987</v>
      </c>
      <c r="AG340" s="149">
        <f t="shared" si="269"/>
        <v>6.5825610789999995</v>
      </c>
      <c r="AH340" s="149">
        <f t="shared" si="269"/>
        <v>6.6314053381999996</v>
      </c>
      <c r="AI340" s="149">
        <f t="shared" si="269"/>
        <v>6.6594406803638897</v>
      </c>
      <c r="AJ340" s="149">
        <f t="shared" si="269"/>
        <v>6.686921571605648</v>
      </c>
      <c r="AK340" s="149">
        <f t="shared" si="269"/>
        <v>6.7143084552574788</v>
      </c>
      <c r="AL340" s="149">
        <f t="shared" si="269"/>
        <v>6.7575741531199576</v>
      </c>
      <c r="AM340" s="149">
        <f t="shared" si="269"/>
        <v>6.7836708799380663</v>
      </c>
      <c r="AN340" s="149">
        <f t="shared" si="269"/>
        <v>6.8199726203719582</v>
      </c>
      <c r="AO340" s="149">
        <f t="shared" si="269"/>
        <v>6.8570411095730472</v>
      </c>
      <c r="AP340" s="149">
        <f t="shared" si="269"/>
        <v>6.9041432276342922</v>
      </c>
      <c r="AQ340" s="149">
        <f t="shared" si="269"/>
        <v>6.9328053836090975</v>
      </c>
      <c r="AR340" s="149"/>
      <c r="AS340" s="149"/>
    </row>
    <row r="341" spans="1:45">
      <c r="A341" s="422">
        <f t="shared" si="251"/>
        <v>339</v>
      </c>
      <c r="B341" s="134" t="s">
        <v>452</v>
      </c>
      <c r="C341" s="149"/>
      <c r="D341" s="149"/>
      <c r="E341" s="149">
        <f>E338/E340</f>
        <v>47.39468638495314</v>
      </c>
      <c r="F341" s="526"/>
      <c r="G341" s="149">
        <f>G338/G340</f>
        <v>46.052911033900656</v>
      </c>
      <c r="H341" s="149">
        <f t="shared" ref="H341:AQ341" si="270">H338/H340</f>
        <v>48.54574856954082</v>
      </c>
      <c r="I341" s="149">
        <f t="shared" si="270"/>
        <v>49.52506862690025</v>
      </c>
      <c r="J341" s="149">
        <f t="shared" si="270"/>
        <v>53.788231421714251</v>
      </c>
      <c r="K341" s="149">
        <f t="shared" si="270"/>
        <v>56.653644488625865</v>
      </c>
      <c r="L341" s="149">
        <f t="shared" si="270"/>
        <v>49.412597928693529</v>
      </c>
      <c r="M341" s="149">
        <f t="shared" si="270"/>
        <v>47.590991062760018</v>
      </c>
      <c r="N341" s="149">
        <f t="shared" si="270"/>
        <v>50.902684868827791</v>
      </c>
      <c r="O341" s="149">
        <f t="shared" si="270"/>
        <v>65.313552552699576</v>
      </c>
      <c r="P341" s="149">
        <f t="shared" si="270"/>
        <v>68.132431837210632</v>
      </c>
      <c r="Q341" s="149">
        <f t="shared" si="270"/>
        <v>62.509544944002542</v>
      </c>
      <c r="R341" s="149">
        <f t="shared" si="270"/>
        <v>56.68861536564895</v>
      </c>
      <c r="S341" s="526">
        <f t="shared" si="270"/>
        <v>53.143082353770353</v>
      </c>
      <c r="T341" s="149">
        <f t="shared" si="270"/>
        <v>56.462909835727949</v>
      </c>
      <c r="U341" s="149">
        <f t="shared" si="270"/>
        <v>59.463542537904132</v>
      </c>
      <c r="V341" s="149">
        <f t="shared" si="270"/>
        <v>63.292189830135264</v>
      </c>
      <c r="W341" s="149">
        <f t="shared" si="270"/>
        <v>77.840039768450495</v>
      </c>
      <c r="X341" s="149">
        <f t="shared" si="270"/>
        <v>72.865039260484451</v>
      </c>
      <c r="Y341" s="149">
        <f t="shared" si="270"/>
        <v>62.180317251422771</v>
      </c>
      <c r="Z341" s="149">
        <f t="shared" si="270"/>
        <v>58.417952951011934</v>
      </c>
      <c r="AA341" s="149">
        <f t="shared" si="270"/>
        <v>60.792630585461367</v>
      </c>
      <c r="AB341" s="149">
        <f t="shared" si="270"/>
        <v>66.052277517174062</v>
      </c>
      <c r="AC341" s="149">
        <f t="shared" si="270"/>
        <v>68.618565147274921</v>
      </c>
      <c r="AD341" s="149">
        <f t="shared" si="270"/>
        <v>63.015548409519745</v>
      </c>
      <c r="AE341" s="149">
        <f t="shared" si="270"/>
        <v>58.721467766654506</v>
      </c>
      <c r="AF341" s="526">
        <f t="shared" si="270"/>
        <v>63.617227646086903</v>
      </c>
      <c r="AG341" s="149">
        <f t="shared" si="270"/>
        <v>66.122436079823871</v>
      </c>
      <c r="AH341" s="149">
        <f t="shared" si="270"/>
        <v>68.565647467478058</v>
      </c>
      <c r="AI341" s="149">
        <f t="shared" si="270"/>
        <v>70.235282017928384</v>
      </c>
      <c r="AJ341" s="149">
        <f t="shared" si="270"/>
        <v>71.493057130512867</v>
      </c>
      <c r="AK341" s="149">
        <f t="shared" si="270"/>
        <v>69.37807072535071</v>
      </c>
      <c r="AL341" s="149">
        <f t="shared" si="270"/>
        <v>62.637959144504791</v>
      </c>
      <c r="AM341" s="149">
        <f t="shared" si="270"/>
        <v>60.375753305242966</v>
      </c>
      <c r="AN341" s="149">
        <f t="shared" si="270"/>
        <v>61.425281315322977</v>
      </c>
      <c r="AO341" s="149">
        <f t="shared" si="270"/>
        <v>66.291221006389179</v>
      </c>
      <c r="AP341" s="149">
        <f t="shared" si="270"/>
        <v>69.388762526333053</v>
      </c>
      <c r="AQ341" s="149">
        <f t="shared" si="270"/>
        <v>74.706223307061066</v>
      </c>
      <c r="AR341" s="149"/>
      <c r="AS341" s="149"/>
    </row>
    <row r="342" spans="1:45">
      <c r="A342" s="422">
        <f t="shared" si="251"/>
        <v>340</v>
      </c>
      <c r="B342" s="119" t="s">
        <v>246</v>
      </c>
      <c r="C342" s="342"/>
      <c r="D342" s="342"/>
      <c r="E342" s="342">
        <f>E341/1000</f>
        <v>4.7394686384953137E-2</v>
      </c>
      <c r="F342" s="534"/>
      <c r="G342" s="342">
        <f>G341/1000</f>
        <v>4.6052911033900655E-2</v>
      </c>
      <c r="H342" s="342">
        <f t="shared" ref="H342:AQ342" si="271">H341/1000</f>
        <v>4.8545748569540817E-2</v>
      </c>
      <c r="I342" s="342">
        <f t="shared" si="271"/>
        <v>4.9525068626900252E-2</v>
      </c>
      <c r="J342" s="342">
        <f t="shared" si="271"/>
        <v>5.3788231421714253E-2</v>
      </c>
      <c r="K342" s="342">
        <f t="shared" si="271"/>
        <v>5.6653644488625865E-2</v>
      </c>
      <c r="L342" s="342">
        <f t="shared" si="271"/>
        <v>4.9412597928693527E-2</v>
      </c>
      <c r="M342" s="342">
        <f t="shared" si="271"/>
        <v>4.7590991062760019E-2</v>
      </c>
      <c r="N342" s="342">
        <f t="shared" si="271"/>
        <v>5.0902684868827791E-2</v>
      </c>
      <c r="O342" s="342">
        <f t="shared" si="271"/>
        <v>6.5313552552699577E-2</v>
      </c>
      <c r="P342" s="342">
        <f t="shared" si="271"/>
        <v>6.8132431837210627E-2</v>
      </c>
      <c r="Q342" s="342">
        <f t="shared" si="271"/>
        <v>6.2509544944002543E-2</v>
      </c>
      <c r="R342" s="342">
        <f t="shared" si="271"/>
        <v>5.6688615365648946E-2</v>
      </c>
      <c r="S342" s="534">
        <f>S341/1000</f>
        <v>5.3143082353770354E-2</v>
      </c>
      <c r="T342" s="342">
        <f t="shared" si="271"/>
        <v>5.6462909835727951E-2</v>
      </c>
      <c r="U342" s="342">
        <f t="shared" si="271"/>
        <v>5.9463542537904132E-2</v>
      </c>
      <c r="V342" s="342">
        <f t="shared" si="271"/>
        <v>6.3292189830135265E-2</v>
      </c>
      <c r="W342" s="342">
        <f t="shared" si="271"/>
        <v>7.7840039768450497E-2</v>
      </c>
      <c r="X342" s="342">
        <f t="shared" si="271"/>
        <v>7.2865039260484446E-2</v>
      </c>
      <c r="Y342" s="342">
        <f t="shared" si="271"/>
        <v>6.218031725142277E-2</v>
      </c>
      <c r="Z342" s="342">
        <f t="shared" si="271"/>
        <v>5.8417952951011931E-2</v>
      </c>
      <c r="AA342" s="342">
        <f t="shared" si="271"/>
        <v>6.0792630585461367E-2</v>
      </c>
      <c r="AB342" s="342">
        <f t="shared" si="271"/>
        <v>6.605227751717406E-2</v>
      </c>
      <c r="AC342" s="342">
        <f t="shared" si="271"/>
        <v>6.8618565147274921E-2</v>
      </c>
      <c r="AD342" s="342">
        <f t="shared" si="271"/>
        <v>6.3015548409519742E-2</v>
      </c>
      <c r="AE342" s="342">
        <f t="shared" si="271"/>
        <v>5.8721467766654503E-2</v>
      </c>
      <c r="AF342" s="534">
        <f>AF341/1000</f>
        <v>6.3617227646086905E-2</v>
      </c>
      <c r="AG342" s="342">
        <f t="shared" si="271"/>
        <v>6.6122436079823876E-2</v>
      </c>
      <c r="AH342" s="342">
        <f t="shared" si="271"/>
        <v>6.8565647467478064E-2</v>
      </c>
      <c r="AI342" s="342">
        <f t="shared" si="271"/>
        <v>7.0235282017928377E-2</v>
      </c>
      <c r="AJ342" s="342">
        <f t="shared" si="271"/>
        <v>7.1493057130512863E-2</v>
      </c>
      <c r="AK342" s="342">
        <f t="shared" si="271"/>
        <v>6.937807072535071E-2</v>
      </c>
      <c r="AL342" s="342">
        <f t="shared" si="271"/>
        <v>6.263795914450479E-2</v>
      </c>
      <c r="AM342" s="342">
        <f t="shared" si="271"/>
        <v>6.0375753305242967E-2</v>
      </c>
      <c r="AN342" s="342">
        <f t="shared" si="271"/>
        <v>6.1425281315322974E-2</v>
      </c>
      <c r="AO342" s="342">
        <f t="shared" si="271"/>
        <v>6.6291221006389178E-2</v>
      </c>
      <c r="AP342" s="342">
        <f t="shared" si="271"/>
        <v>6.9388762526333053E-2</v>
      </c>
      <c r="AQ342" s="342">
        <f t="shared" si="271"/>
        <v>7.4706223307061059E-2</v>
      </c>
      <c r="AR342" s="342"/>
      <c r="AS342" s="342"/>
    </row>
    <row r="343" spans="1:45">
      <c r="A343" s="422">
        <f t="shared" si="251"/>
        <v>341</v>
      </c>
      <c r="B343" s="134"/>
      <c r="C343" s="149"/>
      <c r="D343" s="149"/>
      <c r="E343" s="149"/>
      <c r="F343" s="526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526"/>
      <c r="T343" s="149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  <c r="AF343" s="526"/>
      <c r="AG343" s="149"/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</row>
    <row r="344" spans="1:45">
      <c r="A344" s="422">
        <f t="shared" si="251"/>
        <v>342</v>
      </c>
      <c r="B344" s="138"/>
      <c r="C344" s="149"/>
      <c r="D344" s="149"/>
      <c r="E344" s="149"/>
      <c r="F344" s="526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526"/>
      <c r="T344" s="149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526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</row>
    <row r="345" spans="1:45">
      <c r="A345" s="422">
        <f t="shared" si="251"/>
        <v>343</v>
      </c>
      <c r="B345" s="505"/>
      <c r="C345" s="149"/>
      <c r="D345" s="149"/>
      <c r="E345" s="149"/>
      <c r="F345" s="526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526"/>
      <c r="T345" s="149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  <c r="AF345" s="526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</row>
    <row r="346" spans="1:45">
      <c r="A346" s="422">
        <f t="shared" si="251"/>
        <v>344</v>
      </c>
      <c r="B346" s="134"/>
      <c r="C346" s="149"/>
      <c r="D346" s="149"/>
      <c r="E346" s="149"/>
      <c r="F346" s="526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526"/>
      <c r="T346" s="149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  <c r="AF346" s="526"/>
      <c r="AG346" s="149"/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</row>
    <row r="347" spans="1:45">
      <c r="A347" s="422">
        <f t="shared" si="251"/>
        <v>345</v>
      </c>
      <c r="B347" s="134"/>
      <c r="C347" s="149"/>
      <c r="D347" s="149"/>
      <c r="E347" s="149"/>
      <c r="F347" s="526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526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526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</row>
    <row r="348" spans="1:45">
      <c r="A348" s="422">
        <f t="shared" si="251"/>
        <v>346</v>
      </c>
      <c r="B348" s="134"/>
      <c r="C348" s="149"/>
      <c r="D348" s="149"/>
      <c r="E348" s="149"/>
      <c r="F348" s="526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526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526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</row>
    <row r="349" spans="1:45">
      <c r="A349" s="422">
        <f t="shared" si="251"/>
        <v>347</v>
      </c>
      <c r="B349" s="134"/>
      <c r="C349" s="149"/>
      <c r="D349" s="149"/>
      <c r="E349" s="149"/>
      <c r="F349" s="526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526"/>
      <c r="T349" s="149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  <c r="AF349" s="526"/>
      <c r="AG349" s="149"/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</row>
    <row r="350" spans="1:45">
      <c r="A350" s="422">
        <f t="shared" si="251"/>
        <v>348</v>
      </c>
      <c r="B350" s="134"/>
      <c r="C350" s="149"/>
      <c r="D350" s="149"/>
      <c r="E350" s="149"/>
      <c r="F350" s="526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526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526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</row>
    <row r="351" spans="1:45">
      <c r="A351" s="422">
        <f t="shared" si="251"/>
        <v>349</v>
      </c>
      <c r="B351" s="134"/>
      <c r="C351" s="149"/>
      <c r="D351" s="149"/>
      <c r="E351" s="149"/>
      <c r="F351" s="526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526"/>
      <c r="T351" s="342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  <c r="AF351" s="526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</row>
    <row r="352" spans="1:45">
      <c r="A352" s="422">
        <f t="shared" si="251"/>
        <v>350</v>
      </c>
      <c r="B352" s="134"/>
      <c r="C352" s="149"/>
      <c r="D352" s="149"/>
      <c r="E352" s="149"/>
      <c r="F352" s="526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526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526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</row>
    <row r="353" spans="1:45" ht="16.149999999999999" customHeight="1">
      <c r="A353" s="422">
        <f t="shared" si="251"/>
        <v>351</v>
      </c>
      <c r="B353" s="134"/>
      <c r="C353" s="149"/>
      <c r="D353" s="149"/>
      <c r="E353" s="149"/>
      <c r="F353" s="526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526"/>
      <c r="T353" s="149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  <c r="AF353" s="526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</row>
    <row r="354" spans="1:45">
      <c r="A354" s="422">
        <f t="shared" si="251"/>
        <v>352</v>
      </c>
      <c r="C354" s="149"/>
      <c r="D354" s="149"/>
      <c r="E354" s="149"/>
      <c r="F354" s="526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526"/>
      <c r="T354" s="149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526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</row>
    <row r="355" spans="1:45">
      <c r="A355" s="422">
        <f t="shared" si="251"/>
        <v>353</v>
      </c>
      <c r="C355" s="149"/>
      <c r="D355" s="149"/>
      <c r="E355" s="149"/>
      <c r="F355" s="526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526"/>
      <c r="T355" s="149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526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</row>
    <row r="356" spans="1:45" ht="15.75">
      <c r="A356" s="422">
        <f>A355+1</f>
        <v>354</v>
      </c>
      <c r="B356" s="118" t="s">
        <v>40</v>
      </c>
      <c r="C356" s="149"/>
      <c r="D356" s="149"/>
      <c r="E356" s="149"/>
      <c r="F356" s="526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526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  <c r="AE356" s="149"/>
      <c r="AF356" s="526"/>
      <c r="AG356" s="149"/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</row>
    <row r="357" spans="1:45">
      <c r="A357" s="422">
        <f t="shared" si="251"/>
        <v>355</v>
      </c>
      <c r="B357" s="114"/>
      <c r="C357" s="149"/>
      <c r="D357" s="149"/>
      <c r="E357" s="149"/>
      <c r="F357" s="526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526"/>
      <c r="T357" s="149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  <c r="AF357" s="526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</row>
    <row r="358" spans="1:45">
      <c r="A358" s="422">
        <f t="shared" si="251"/>
        <v>356</v>
      </c>
      <c r="B358" s="143" t="s">
        <v>1031</v>
      </c>
      <c r="C358" s="149"/>
      <c r="D358" s="149"/>
      <c r="E358" s="149"/>
      <c r="F358" s="526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526"/>
      <c r="T358" s="149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526"/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</row>
    <row r="359" spans="1:45">
      <c r="A359" s="422">
        <f t="shared" si="251"/>
        <v>357</v>
      </c>
      <c r="B359" s="126" t="s">
        <v>334</v>
      </c>
      <c r="C359" s="141"/>
      <c r="D359" s="141"/>
      <c r="E359" s="141"/>
      <c r="F359" s="524"/>
      <c r="G359" s="141">
        <f>Debt!P8</f>
        <v>0</v>
      </c>
      <c r="H359" s="141">
        <f>Debt!Q8</f>
        <v>0</v>
      </c>
      <c r="I359" s="141">
        <f>Debt!R8</f>
        <v>0</v>
      </c>
      <c r="J359" s="141">
        <f>Debt!S8</f>
        <v>5.01</v>
      </c>
      <c r="K359" s="141">
        <f>Debt!T8</f>
        <v>5.01</v>
      </c>
      <c r="L359" s="141">
        <f>Debt!U8</f>
        <v>5.01</v>
      </c>
      <c r="M359" s="141">
        <f>Debt!V8</f>
        <v>15.01</v>
      </c>
      <c r="N359" s="141">
        <f>Debt!W8</f>
        <v>15.01</v>
      </c>
      <c r="O359" s="141">
        <f>Debt!X8</f>
        <v>15.01</v>
      </c>
      <c r="P359" s="141">
        <f>Debt!Y8</f>
        <v>31.810000000000002</v>
      </c>
      <c r="Q359" s="141">
        <f>Debt!Z8</f>
        <v>31.810000000000002</v>
      </c>
      <c r="R359" s="141">
        <f>Debt!AA8</f>
        <v>31.810000000000002</v>
      </c>
      <c r="S359" s="524">
        <f>G359</f>
        <v>0</v>
      </c>
      <c r="T359" s="141">
        <f>Debt!AC8</f>
        <v>31.810000000000002</v>
      </c>
      <c r="U359" s="141">
        <f>Debt!AD8</f>
        <v>40.81</v>
      </c>
      <c r="V359" s="141">
        <f>Debt!AE8</f>
        <v>40.81</v>
      </c>
      <c r="W359" s="141">
        <f>Debt!AF8</f>
        <v>49.81</v>
      </c>
      <c r="X359" s="141">
        <f>Debt!AG8</f>
        <v>49.81</v>
      </c>
      <c r="Y359" s="141">
        <f>Debt!AH8</f>
        <v>49.81</v>
      </c>
      <c r="Z359" s="141">
        <f>Debt!AI8</f>
        <v>55.81</v>
      </c>
      <c r="AA359" s="141">
        <f>Debt!AJ8</f>
        <v>55.81</v>
      </c>
      <c r="AB359" s="141">
        <f>Debt!AK8</f>
        <v>55.81</v>
      </c>
      <c r="AC359" s="141">
        <f>Debt!AL8</f>
        <v>59.45</v>
      </c>
      <c r="AD359" s="141">
        <f>Debt!AM8</f>
        <v>59.45</v>
      </c>
      <c r="AE359" s="141">
        <f>Debt!AN8</f>
        <v>59.45</v>
      </c>
      <c r="AF359" s="524">
        <f>T359</f>
        <v>31.810000000000002</v>
      </c>
      <c r="AG359" s="124">
        <f>Debt!AP8</f>
        <v>59.45</v>
      </c>
      <c r="AH359" s="124">
        <f>Debt!AQ8</f>
        <v>59.45</v>
      </c>
      <c r="AI359" s="124">
        <f>Debt!AR8</f>
        <v>58.065217272212863</v>
      </c>
      <c r="AJ359" s="124">
        <f>Debt!AS8</f>
        <v>56.638891062592108</v>
      </c>
      <c r="AK359" s="124">
        <f>Debt!AT8</f>
        <v>55.169775066682732</v>
      </c>
      <c r="AL359" s="124">
        <f>Debt!AU8</f>
        <v>53.656585590896071</v>
      </c>
      <c r="AM359" s="124">
        <f>Debt!AV8</f>
        <v>52.09800043083581</v>
      </c>
      <c r="AN359" s="124">
        <f>Debt!AW8</f>
        <v>50.492657715973742</v>
      </c>
      <c r="AO359" s="124">
        <f>Debt!AX8</f>
        <v>48.839154719665814</v>
      </c>
      <c r="AP359" s="124">
        <f>Debt!AY8</f>
        <v>47.136046633468645</v>
      </c>
      <c r="AQ359" s="124">
        <f>Debt!AZ8</f>
        <v>45.381845304685562</v>
      </c>
      <c r="AR359" s="130"/>
      <c r="AS359" s="130"/>
    </row>
    <row r="360" spans="1:45">
      <c r="A360" s="422">
        <f t="shared" si="251"/>
        <v>358</v>
      </c>
      <c r="B360" s="126" t="s">
        <v>305</v>
      </c>
      <c r="C360" s="141"/>
      <c r="D360" s="141"/>
      <c r="E360" s="141"/>
      <c r="F360" s="526"/>
      <c r="G360" s="141">
        <f>Debt!P11</f>
        <v>0</v>
      </c>
      <c r="H360" s="141">
        <f>Debt!Q11</f>
        <v>0</v>
      </c>
      <c r="I360" s="141">
        <f>Debt!R11</f>
        <v>-5.01</v>
      </c>
      <c r="J360" s="141">
        <f>Debt!S11</f>
        <v>0</v>
      </c>
      <c r="K360" s="141">
        <f>Debt!T11</f>
        <v>0</v>
      </c>
      <c r="L360" s="141">
        <f>Debt!U11</f>
        <v>-10</v>
      </c>
      <c r="M360" s="141">
        <f>Debt!V11</f>
        <v>0</v>
      </c>
      <c r="N360" s="141">
        <f>Debt!W11</f>
        <v>0</v>
      </c>
      <c r="O360" s="141">
        <f>Debt!X11</f>
        <v>-16.8</v>
      </c>
      <c r="P360" s="141">
        <f>Debt!Y11</f>
        <v>0</v>
      </c>
      <c r="Q360" s="141">
        <f>Debt!Z11</f>
        <v>0</v>
      </c>
      <c r="R360" s="141">
        <f>Debt!AA11</f>
        <v>0</v>
      </c>
      <c r="S360" s="524">
        <f>SUM(G360:R360)</f>
        <v>-31.810000000000002</v>
      </c>
      <c r="T360" s="141">
        <f>Debt!AC11</f>
        <v>-9</v>
      </c>
      <c r="U360" s="141">
        <f>Debt!AD11</f>
        <v>0</v>
      </c>
      <c r="V360" s="141">
        <f>Debt!AE11</f>
        <v>-9</v>
      </c>
      <c r="W360" s="141">
        <f>Debt!AF11</f>
        <v>0</v>
      </c>
      <c r="X360" s="141">
        <f>Debt!AG11</f>
        <v>0</v>
      </c>
      <c r="Y360" s="141">
        <f>Debt!AH11</f>
        <v>-6</v>
      </c>
      <c r="Z360" s="141">
        <f>Debt!AI11</f>
        <v>0</v>
      </c>
      <c r="AA360" s="141">
        <f>Debt!AJ11</f>
        <v>0</v>
      </c>
      <c r="AB360" s="141">
        <f>Debt!AK11</f>
        <v>-3.64</v>
      </c>
      <c r="AC360" s="141">
        <f>Debt!AL11</f>
        <v>0</v>
      </c>
      <c r="AD360" s="141">
        <f>Debt!AM11</f>
        <v>0</v>
      </c>
      <c r="AE360" s="141">
        <f>Debt!AN11</f>
        <v>0</v>
      </c>
      <c r="AF360" s="524">
        <f>SUM(T360:AE360)</f>
        <v>-27.64</v>
      </c>
      <c r="AG360" s="124">
        <f>Debt!AP11</f>
        <v>0</v>
      </c>
      <c r="AH360" s="124">
        <f>Debt!AQ11</f>
        <v>1.384782727787143</v>
      </c>
      <c r="AI360" s="124">
        <f>Debt!AR11</f>
        <v>1.4263262096207572</v>
      </c>
      <c r="AJ360" s="124">
        <f>Debt!AS11</f>
        <v>1.4691159959093798</v>
      </c>
      <c r="AK360" s="124">
        <f>Debt!AT11</f>
        <v>1.5131894757866611</v>
      </c>
      <c r="AL360" s="124">
        <f>Debt!AU11</f>
        <v>1.5585851600602609</v>
      </c>
      <c r="AM360" s="124">
        <f>Debt!AV11</f>
        <v>1.6053427148620687</v>
      </c>
      <c r="AN360" s="124">
        <f>Debt!AW11</f>
        <v>1.6535029963079309</v>
      </c>
      <c r="AO360" s="124">
        <f>Debt!AX11</f>
        <v>1.7031080861971686</v>
      </c>
      <c r="AP360" s="124">
        <f>Debt!AY11</f>
        <v>1.7542013287830838</v>
      </c>
      <c r="AQ360" s="124">
        <f>Debt!AZ11</f>
        <v>1.8068273686465761</v>
      </c>
      <c r="AR360" s="130"/>
      <c r="AS360" s="130"/>
    </row>
    <row r="361" spans="1:45">
      <c r="A361" s="422">
        <f t="shared" si="251"/>
        <v>359</v>
      </c>
      <c r="B361" s="126" t="s">
        <v>306</v>
      </c>
      <c r="C361" s="156"/>
      <c r="D361" s="156"/>
      <c r="E361" s="156"/>
      <c r="F361" s="528"/>
      <c r="G361" s="156">
        <f>G362-G360</f>
        <v>0</v>
      </c>
      <c r="H361" s="156">
        <f t="shared" ref="H361:R361" si="272">H362-H360</f>
        <v>0</v>
      </c>
      <c r="I361" s="156">
        <f>I362-I360</f>
        <v>0</v>
      </c>
      <c r="J361" s="156">
        <f t="shared" si="272"/>
        <v>0</v>
      </c>
      <c r="K361" s="156">
        <f t="shared" si="272"/>
        <v>0</v>
      </c>
      <c r="L361" s="156">
        <f t="shared" si="272"/>
        <v>3.7472054794520204E-2</v>
      </c>
      <c r="M361" s="156">
        <f t="shared" si="272"/>
        <v>0</v>
      </c>
      <c r="N361" s="156">
        <f t="shared" si="272"/>
        <v>0</v>
      </c>
      <c r="O361" s="156">
        <f t="shared" si="272"/>
        <v>0.11350027397260121</v>
      </c>
      <c r="P361" s="156">
        <f t="shared" si="272"/>
        <v>0</v>
      </c>
      <c r="Q361" s="156">
        <f t="shared" si="272"/>
        <v>0</v>
      </c>
      <c r="R361" s="156">
        <f t="shared" si="272"/>
        <v>0.24053589041095891</v>
      </c>
      <c r="S361" s="524">
        <f>SUM(G361:R361)</f>
        <v>0.39150821917808032</v>
      </c>
      <c r="T361" s="156">
        <f>T362-T360</f>
        <v>0</v>
      </c>
      <c r="U361" s="156">
        <f t="shared" ref="U361:AE361" si="273">U362-U360</f>
        <v>0</v>
      </c>
      <c r="V361" s="156">
        <f t="shared" si="273"/>
        <v>0.22083205479452062</v>
      </c>
      <c r="W361" s="156">
        <f t="shared" si="273"/>
        <v>0</v>
      </c>
      <c r="X361" s="156">
        <f t="shared" si="273"/>
        <v>0</v>
      </c>
      <c r="Y361" s="156">
        <f t="shared" si="273"/>
        <v>0.37255150684931504</v>
      </c>
      <c r="Z361" s="156">
        <f t="shared" si="273"/>
        <v>0</v>
      </c>
      <c r="AA361" s="156">
        <f t="shared" si="273"/>
        <v>0</v>
      </c>
      <c r="AB361" s="156">
        <f t="shared" si="273"/>
        <v>0.42201534246575312</v>
      </c>
      <c r="AC361" s="156">
        <f t="shared" si="273"/>
        <v>0</v>
      </c>
      <c r="AD361" s="156">
        <f t="shared" si="273"/>
        <v>0</v>
      </c>
      <c r="AE361" s="156">
        <f t="shared" si="273"/>
        <v>0.44953972602739722</v>
      </c>
      <c r="AF361" s="524">
        <f>SUM(T361:AE361)</f>
        <v>1.464938630136986</v>
      </c>
      <c r="AG361" s="127">
        <f>Debt!AP10</f>
        <v>1.7835000000000001</v>
      </c>
      <c r="AH361" s="127">
        <f>Debt!AQ10</f>
        <v>1.7835000000000001</v>
      </c>
      <c r="AI361" s="127">
        <f>Debt!AR10</f>
        <v>1.7419565181663859</v>
      </c>
      <c r="AJ361" s="127">
        <f>Debt!AS10</f>
        <v>1.6991667318777632</v>
      </c>
      <c r="AK361" s="127">
        <f>Debt!AT10</f>
        <v>1.655093252000482</v>
      </c>
      <c r="AL361" s="127">
        <f>Debt!AU10</f>
        <v>1.6096975677268821</v>
      </c>
      <c r="AM361" s="127">
        <f>Debt!AV10</f>
        <v>1.5629400129250743</v>
      </c>
      <c r="AN361" s="127">
        <f>Debt!AW10</f>
        <v>1.5147797314792122</v>
      </c>
      <c r="AO361" s="127">
        <f>Debt!AX10</f>
        <v>1.4651746415899745</v>
      </c>
      <c r="AP361" s="127">
        <f>Debt!AY10</f>
        <v>1.4140813990040593</v>
      </c>
      <c r="AQ361" s="127">
        <f>Debt!AZ10</f>
        <v>1.3614553591405669</v>
      </c>
      <c r="AR361" s="130"/>
      <c r="AS361" s="130"/>
    </row>
    <row r="362" spans="1:45" ht="15.75" thickBot="1">
      <c r="A362" s="422">
        <f t="shared" si="251"/>
        <v>360</v>
      </c>
      <c r="B362" s="126" t="s">
        <v>335</v>
      </c>
      <c r="C362" s="152"/>
      <c r="D362" s="152"/>
      <c r="E362" s="152"/>
      <c r="F362" s="525"/>
      <c r="G362" s="152">
        <f>Debt!P12</f>
        <v>0</v>
      </c>
      <c r="H362" s="152">
        <f>Debt!Q12</f>
        <v>0</v>
      </c>
      <c r="I362" s="152">
        <f>Debt!R12</f>
        <v>-5.01</v>
      </c>
      <c r="J362" s="152">
        <f>Debt!S12</f>
        <v>0</v>
      </c>
      <c r="K362" s="152">
        <f>Debt!T12</f>
        <v>0</v>
      </c>
      <c r="L362" s="152">
        <f>Debt!U12</f>
        <v>-9.9625279452054798</v>
      </c>
      <c r="M362" s="152">
        <f>Debt!V12</f>
        <v>0</v>
      </c>
      <c r="N362" s="152">
        <f>Debt!W12</f>
        <v>0</v>
      </c>
      <c r="O362" s="152">
        <f>Debt!X12</f>
        <v>-16.6864997260274</v>
      </c>
      <c r="P362" s="152">
        <f>Debt!Y12</f>
        <v>0</v>
      </c>
      <c r="Q362" s="152">
        <f>Debt!Z12</f>
        <v>0</v>
      </c>
      <c r="R362" s="152">
        <f>Debt!AA12</f>
        <v>0.24053589041095891</v>
      </c>
      <c r="S362" s="525">
        <f>SUM(G362:R362)</f>
        <v>-31.418491780821917</v>
      </c>
      <c r="T362" s="152">
        <f>Debt!AC12</f>
        <v>-9</v>
      </c>
      <c r="U362" s="152">
        <f>Debt!AD12</f>
        <v>0</v>
      </c>
      <c r="V362" s="152">
        <f>Debt!AE12</f>
        <v>-8.7791679452054794</v>
      </c>
      <c r="W362" s="152">
        <f>Debt!AF12</f>
        <v>0</v>
      </c>
      <c r="X362" s="152">
        <f>Debt!AG12</f>
        <v>0</v>
      </c>
      <c r="Y362" s="152">
        <f>Debt!AH12</f>
        <v>-5.627448493150685</v>
      </c>
      <c r="Z362" s="152">
        <f>Debt!AI12</f>
        <v>0</v>
      </c>
      <c r="AA362" s="152">
        <f>Debt!AJ12</f>
        <v>0</v>
      </c>
      <c r="AB362" s="152">
        <f>Debt!AK12</f>
        <v>-3.217984657534247</v>
      </c>
      <c r="AC362" s="152">
        <f>Debt!AL12</f>
        <v>0</v>
      </c>
      <c r="AD362" s="152">
        <f>Debt!AM12</f>
        <v>0</v>
      </c>
      <c r="AE362" s="152">
        <f>Debt!AN12</f>
        <v>0.44953972602739722</v>
      </c>
      <c r="AF362" s="525">
        <f>SUM(T362:AE362)</f>
        <v>-26.175061369863016</v>
      </c>
      <c r="AG362" s="125">
        <f>Debt!AP12</f>
        <v>1.7835000000000001</v>
      </c>
      <c r="AH362" s="125">
        <f>Debt!AQ12</f>
        <v>3.168282727787143</v>
      </c>
      <c r="AI362" s="125">
        <f>Debt!AR12</f>
        <v>3.168282727787143</v>
      </c>
      <c r="AJ362" s="125">
        <f>Debt!AS12</f>
        <v>3.168282727787143</v>
      </c>
      <c r="AK362" s="125">
        <f>Debt!AT12</f>
        <v>3.168282727787143</v>
      </c>
      <c r="AL362" s="125">
        <f>Debt!AU12</f>
        <v>3.168282727787143</v>
      </c>
      <c r="AM362" s="125">
        <f>Debt!AV12</f>
        <v>3.168282727787143</v>
      </c>
      <c r="AN362" s="125">
        <f>Debt!AW12</f>
        <v>3.168282727787143</v>
      </c>
      <c r="AO362" s="125">
        <f>Debt!AX12</f>
        <v>3.168282727787143</v>
      </c>
      <c r="AP362" s="125">
        <f>Debt!AY12</f>
        <v>3.168282727787143</v>
      </c>
      <c r="AQ362" s="125">
        <f>Debt!AZ12</f>
        <v>3.168282727787143</v>
      </c>
      <c r="AR362" s="130"/>
      <c r="AS362" s="130"/>
    </row>
    <row r="363" spans="1:45" ht="15.75" thickTop="1">
      <c r="A363" s="422">
        <f t="shared" si="251"/>
        <v>361</v>
      </c>
      <c r="B363" s="126"/>
      <c r="C363" s="141"/>
      <c r="D363" s="141"/>
      <c r="E363" s="141"/>
      <c r="F363" s="524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524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5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30"/>
      <c r="AS363" s="130"/>
    </row>
    <row r="364" spans="1:45">
      <c r="A364" s="422">
        <f t="shared" si="251"/>
        <v>362</v>
      </c>
      <c r="B364" s="143" t="s">
        <v>125</v>
      </c>
      <c r="C364" s="141"/>
      <c r="D364" s="141"/>
      <c r="E364" s="141"/>
      <c r="F364" s="524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524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5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30"/>
      <c r="AS364" s="130"/>
    </row>
    <row r="365" spans="1:45">
      <c r="A365" s="422">
        <f t="shared" si="251"/>
        <v>363</v>
      </c>
      <c r="B365" s="126" t="s">
        <v>334</v>
      </c>
      <c r="C365" s="141"/>
      <c r="D365" s="141"/>
      <c r="E365" s="141"/>
      <c r="F365" s="524"/>
      <c r="G365" s="141">
        <f>Debt!P15</f>
        <v>231.42686800000001</v>
      </c>
      <c r="H365" s="141">
        <f>Debt!Q15</f>
        <v>231.42686800000001</v>
      </c>
      <c r="I365" s="141">
        <f>Debt!R15</f>
        <v>231.42686800000001</v>
      </c>
      <c r="J365" s="141">
        <f>Debt!S15</f>
        <v>229.60841600000001</v>
      </c>
      <c r="K365" s="141">
        <f>Debt!T15</f>
        <v>229.60841600000001</v>
      </c>
      <c r="L365" s="141">
        <f>Debt!U15</f>
        <v>229.60841600000001</v>
      </c>
      <c r="M365" s="141">
        <f>Debt!V15</f>
        <v>227.76837</v>
      </c>
      <c r="N365" s="141">
        <f>Debt!W15</f>
        <v>227.76837</v>
      </c>
      <c r="O365" s="141">
        <f>Debt!X15</f>
        <v>227.76837</v>
      </c>
      <c r="P365" s="141">
        <f>Debt!Y15</f>
        <v>225.906474</v>
      </c>
      <c r="Q365" s="141">
        <f>Debt!Z15</f>
        <v>225.906474</v>
      </c>
      <c r="R365" s="141">
        <f>Debt!AA15</f>
        <v>225.906474</v>
      </c>
      <c r="S365" s="524">
        <f>G365</f>
        <v>231.42686800000001</v>
      </c>
      <c r="T365" s="141">
        <f>Debt!AC15</f>
        <v>224.022468</v>
      </c>
      <c r="U365" s="141">
        <f>Debt!AD15</f>
        <v>224.022468</v>
      </c>
      <c r="V365" s="141">
        <f>Debt!AE15</f>
        <v>224.022468</v>
      </c>
      <c r="W365" s="141">
        <f>Debt!AF15</f>
        <v>222.11608900000002</v>
      </c>
      <c r="X365" s="141">
        <f>Debt!AG15</f>
        <v>222.11608900000002</v>
      </c>
      <c r="Y365" s="141">
        <f>Debt!AH15</f>
        <v>222.11608900000002</v>
      </c>
      <c r="Z365" s="141">
        <f>Debt!AI15</f>
        <v>220.18707200000003</v>
      </c>
      <c r="AA365" s="141">
        <f>Debt!AJ15</f>
        <v>220.18707200000003</v>
      </c>
      <c r="AB365" s="141">
        <f>Debt!AK15</f>
        <v>220.18707200000003</v>
      </c>
      <c r="AC365" s="141">
        <f>Debt!AL15</f>
        <v>218.23514800000004</v>
      </c>
      <c r="AD365" s="141">
        <f>Debt!AM15</f>
        <v>218.23514800000004</v>
      </c>
      <c r="AE365" s="141">
        <f>Debt!AN15</f>
        <v>218.23514800000004</v>
      </c>
      <c r="AF365" s="524">
        <f>T365</f>
        <v>224.022468</v>
      </c>
      <c r="AG365" s="124">
        <f>Debt!AP15</f>
        <v>216.26004500000005</v>
      </c>
      <c r="AH365" s="124">
        <f>Debt!AQ15</f>
        <v>208.12228600000006</v>
      </c>
      <c r="AI365" s="124">
        <f>Debt!AR15</f>
        <v>199.59104300000007</v>
      </c>
      <c r="AJ365" s="124">
        <f>Debt!AS15</f>
        <v>190.64729100000008</v>
      </c>
      <c r="AK365" s="124">
        <f>Debt!AT15</f>
        <v>181.27108400000009</v>
      </c>
      <c r="AL365" s="124">
        <f>Debt!AU15</f>
        <v>171.44151000000008</v>
      </c>
      <c r="AM365" s="124">
        <f>Debt!AV15</f>
        <v>161.13664800000009</v>
      </c>
      <c r="AN365" s="124">
        <f>Debt!AW15</f>
        <v>150.33351900000008</v>
      </c>
      <c r="AO365" s="124">
        <f>Debt!AX15</f>
        <v>139.00802700000008</v>
      </c>
      <c r="AP365" s="124">
        <f>Debt!AY15</f>
        <v>127.13491600000009</v>
      </c>
      <c r="AQ365" s="124">
        <f>Debt!AZ15</f>
        <v>114.68770500000009</v>
      </c>
      <c r="AR365" s="130"/>
      <c r="AS365" s="130"/>
    </row>
    <row r="366" spans="1:45">
      <c r="A366" s="422">
        <f t="shared" si="251"/>
        <v>364</v>
      </c>
      <c r="B366" s="126" t="s">
        <v>305</v>
      </c>
      <c r="C366" s="141"/>
      <c r="D366" s="141"/>
      <c r="E366" s="141"/>
      <c r="F366" s="526"/>
      <c r="G366" s="141">
        <f>Debt!P18</f>
        <v>0</v>
      </c>
      <c r="H366" s="141">
        <f>Debt!Q18</f>
        <v>0</v>
      </c>
      <c r="I366" s="141">
        <f>Debt!R18</f>
        <v>1.818452</v>
      </c>
      <c r="J366" s="141">
        <f>Debt!S18</f>
        <v>0</v>
      </c>
      <c r="K366" s="141">
        <f>Debt!T18</f>
        <v>0</v>
      </c>
      <c r="L366" s="141">
        <f>Debt!U18</f>
        <v>1.8400460000000001</v>
      </c>
      <c r="M366" s="141">
        <f>Debt!V18</f>
        <v>0</v>
      </c>
      <c r="N366" s="141">
        <f>Debt!W18</f>
        <v>0</v>
      </c>
      <c r="O366" s="141">
        <f>Debt!X18</f>
        <v>1.8618959999999996</v>
      </c>
      <c r="P366" s="141">
        <f>Debt!Y18</f>
        <v>0</v>
      </c>
      <c r="Q366" s="141">
        <f>Debt!Z18</f>
        <v>0</v>
      </c>
      <c r="R366" s="141">
        <f>Debt!AA18</f>
        <v>1.8840060000000001</v>
      </c>
      <c r="S366" s="524">
        <f>SUM(G366:R366)</f>
        <v>7.4043999999999999</v>
      </c>
      <c r="T366" s="141">
        <f>Debt!AC18</f>
        <v>0</v>
      </c>
      <c r="U366" s="141">
        <f>Debt!AD18</f>
        <v>0</v>
      </c>
      <c r="V366" s="141">
        <f>Debt!AE18</f>
        <v>1.906379</v>
      </c>
      <c r="W366" s="141">
        <f>Debt!AF18</f>
        <v>0</v>
      </c>
      <c r="X366" s="141">
        <f>Debt!AG18</f>
        <v>0</v>
      </c>
      <c r="Y366" s="141">
        <f>Debt!AH18</f>
        <v>1.929017</v>
      </c>
      <c r="Z366" s="141">
        <f>Debt!AI18</f>
        <v>0</v>
      </c>
      <c r="AA366" s="141">
        <f>Debt!AJ18</f>
        <v>0</v>
      </c>
      <c r="AB366" s="141">
        <f>Debt!AK18</f>
        <v>1.9519239999999995</v>
      </c>
      <c r="AC366" s="141">
        <f>Debt!AL18</f>
        <v>0</v>
      </c>
      <c r="AD366" s="141">
        <f>Debt!AM18</f>
        <v>0</v>
      </c>
      <c r="AE366" s="141">
        <f>Debt!AN18</f>
        <v>1.9751030000000001</v>
      </c>
      <c r="AF366" s="524">
        <f>SUM(T366:AE366)</f>
        <v>7.7624229999999992</v>
      </c>
      <c r="AG366" s="124">
        <f>Debt!AP18</f>
        <v>8.1377590000000009</v>
      </c>
      <c r="AH366" s="124">
        <f>Debt!AQ18</f>
        <v>8.5312429999999999</v>
      </c>
      <c r="AI366" s="124">
        <f>Debt!AR18</f>
        <v>8.9437519999999999</v>
      </c>
      <c r="AJ366" s="124">
        <f>Debt!AS18</f>
        <v>9.3762070000000008</v>
      </c>
      <c r="AK366" s="124">
        <f>Debt!AT18</f>
        <v>9.8295739999999991</v>
      </c>
      <c r="AL366" s="124">
        <f>Debt!AU18</f>
        <v>10.304862</v>
      </c>
      <c r="AM366" s="124">
        <f>Debt!AV18</f>
        <v>10.803129</v>
      </c>
      <c r="AN366" s="124">
        <f>Debt!AW18</f>
        <v>11.325492000000001</v>
      </c>
      <c r="AO366" s="124">
        <f>Debt!AX18</f>
        <v>11.873111</v>
      </c>
      <c r="AP366" s="124">
        <f>Debt!AY18</f>
        <v>12.447210999999999</v>
      </c>
      <c r="AQ366" s="124">
        <f>Debt!AZ18</f>
        <v>13.049066</v>
      </c>
      <c r="AR366" s="130"/>
      <c r="AS366" s="130"/>
    </row>
    <row r="367" spans="1:45">
      <c r="A367" s="422">
        <f t="shared" si="251"/>
        <v>365</v>
      </c>
      <c r="B367" s="126" t="s">
        <v>306</v>
      </c>
      <c r="C367" s="156"/>
      <c r="D367" s="156"/>
      <c r="E367" s="156"/>
      <c r="F367" s="528"/>
      <c r="G367" s="156">
        <f>G368-G366</f>
        <v>0</v>
      </c>
      <c r="H367" s="156">
        <f t="shared" ref="H367:R367" si="274">H368-H366</f>
        <v>0</v>
      </c>
      <c r="I367" s="156">
        <f t="shared" si="274"/>
        <v>2.4878388200000003</v>
      </c>
      <c r="J367" s="156">
        <f t="shared" si="274"/>
        <v>0</v>
      </c>
      <c r="K367" s="156">
        <f t="shared" si="274"/>
        <v>0</v>
      </c>
      <c r="L367" s="156">
        <f t="shared" si="274"/>
        <v>2.4957159199999994</v>
      </c>
      <c r="M367" s="156">
        <f t="shared" si="274"/>
        <v>0</v>
      </c>
      <c r="N367" s="156">
        <f t="shared" si="274"/>
        <v>0</v>
      </c>
      <c r="O367" s="156">
        <f t="shared" si="274"/>
        <v>2.5029213099999996</v>
      </c>
      <c r="P367" s="156">
        <f t="shared" si="274"/>
        <v>0</v>
      </c>
      <c r="Q367" s="156">
        <f t="shared" si="274"/>
        <v>0</v>
      </c>
      <c r="R367" s="156">
        <f t="shared" si="274"/>
        <v>2.482461139999999</v>
      </c>
      <c r="S367" s="524">
        <f>SUM(G367:R367)</f>
        <v>9.9689371899999983</v>
      </c>
      <c r="T367" s="156">
        <f>T368-T366</f>
        <v>0</v>
      </c>
      <c r="U367" s="156">
        <f t="shared" ref="U367:AE367" si="275">U368-U366</f>
        <v>0</v>
      </c>
      <c r="V367" s="156">
        <f t="shared" si="275"/>
        <v>2.4082415299999997</v>
      </c>
      <c r="W367" s="156">
        <f t="shared" si="275"/>
        <v>0</v>
      </c>
      <c r="X367" s="156">
        <f t="shared" si="275"/>
        <v>0</v>
      </c>
      <c r="Y367" s="156">
        <f t="shared" si="275"/>
        <v>2.4142784900000001</v>
      </c>
      <c r="Z367" s="156">
        <f t="shared" si="275"/>
        <v>0</v>
      </c>
      <c r="AA367" s="156">
        <f t="shared" si="275"/>
        <v>0</v>
      </c>
      <c r="AB367" s="156">
        <f t="shared" si="275"/>
        <v>2.4196112700000003</v>
      </c>
      <c r="AC367" s="156">
        <f t="shared" si="275"/>
        <v>0</v>
      </c>
      <c r="AD367" s="156">
        <f t="shared" si="275"/>
        <v>0</v>
      </c>
      <c r="AE367" s="156">
        <f t="shared" si="275"/>
        <v>2.3981617900000005</v>
      </c>
      <c r="AF367" s="524">
        <f>SUM(T367:AE367)</f>
        <v>9.6402930799999993</v>
      </c>
      <c r="AG367" s="127">
        <f>Debt!AP17</f>
        <v>9.2957581000000022</v>
      </c>
      <c r="AH367" s="127">
        <f>Debt!AQ17</f>
        <v>8.9594228700000009</v>
      </c>
      <c r="AI367" s="127">
        <f>Debt!AR17</f>
        <v>8.5559047899999996</v>
      </c>
      <c r="AJ367" s="127">
        <f>Debt!AS17</f>
        <v>8.15893655</v>
      </c>
      <c r="AK367" s="127">
        <f>Debt!AT17</f>
        <v>7.7427737699999994</v>
      </c>
      <c r="AL367" s="127">
        <f>Debt!AU17</f>
        <v>7.3269660999999999</v>
      </c>
      <c r="AM367" s="127">
        <f>Debt!AV17</f>
        <v>6.849107280000001</v>
      </c>
      <c r="AN367" s="127">
        <f>Debt!AW17</f>
        <v>6.3696106200000013</v>
      </c>
      <c r="AO367" s="127">
        <f>Debt!AX17</f>
        <v>5.8669289099999995</v>
      </c>
      <c r="AP367" s="127">
        <f>Debt!AY17</f>
        <v>5.3551266300000009</v>
      </c>
      <c r="AQ367" s="127">
        <f>Debt!AZ17</f>
        <v>4.7874719500000014</v>
      </c>
      <c r="AR367" s="130"/>
      <c r="AS367" s="130"/>
    </row>
    <row r="368" spans="1:45" ht="15.75" thickBot="1">
      <c r="A368" s="422">
        <f t="shared" si="251"/>
        <v>366</v>
      </c>
      <c r="B368" s="126" t="s">
        <v>335</v>
      </c>
      <c r="C368" s="152"/>
      <c r="D368" s="152"/>
      <c r="E368" s="152"/>
      <c r="F368" s="525"/>
      <c r="G368" s="152">
        <f>Debt!P19</f>
        <v>0</v>
      </c>
      <c r="H368" s="152">
        <f>Debt!Q19</f>
        <v>0</v>
      </c>
      <c r="I368" s="152">
        <f>Debt!R19</f>
        <v>4.3062908200000001</v>
      </c>
      <c r="J368" s="152">
        <f>Debt!S19</f>
        <v>0</v>
      </c>
      <c r="K368" s="152">
        <f>Debt!T19</f>
        <v>0</v>
      </c>
      <c r="L368" s="152">
        <f>Debt!U19</f>
        <v>4.3357619199999995</v>
      </c>
      <c r="M368" s="152">
        <f>Debt!V19</f>
        <v>0</v>
      </c>
      <c r="N368" s="152">
        <f>Debt!W19</f>
        <v>0</v>
      </c>
      <c r="O368" s="152">
        <f>Debt!X19</f>
        <v>4.3648173099999994</v>
      </c>
      <c r="P368" s="152">
        <f>Debt!Y19</f>
        <v>0</v>
      </c>
      <c r="Q368" s="152">
        <f>Debt!Z19</f>
        <v>0</v>
      </c>
      <c r="R368" s="152">
        <f>Debt!AA19</f>
        <v>4.3664671399999992</v>
      </c>
      <c r="S368" s="525">
        <f>SUM(G368:R368)</f>
        <v>17.373337190000001</v>
      </c>
      <c r="T368" s="152">
        <f>Debt!AC19</f>
        <v>0</v>
      </c>
      <c r="U368" s="152">
        <f>Debt!AD19</f>
        <v>0</v>
      </c>
      <c r="V368" s="152">
        <f>Debt!AE19</f>
        <v>4.31462053</v>
      </c>
      <c r="W368" s="152">
        <f>Debt!AF19</f>
        <v>0</v>
      </c>
      <c r="X368" s="152">
        <f>Debt!AG19</f>
        <v>0</v>
      </c>
      <c r="Y368" s="152">
        <f>Debt!AH19</f>
        <v>4.34329549</v>
      </c>
      <c r="Z368" s="152">
        <f>Debt!AI19</f>
        <v>0</v>
      </c>
      <c r="AA368" s="152">
        <f>Debt!AJ19</f>
        <v>0</v>
      </c>
      <c r="AB368" s="152">
        <f>Debt!AK19</f>
        <v>4.3715352699999999</v>
      </c>
      <c r="AC368" s="152">
        <f>Debt!AL19</f>
        <v>0</v>
      </c>
      <c r="AD368" s="152">
        <f>Debt!AM19</f>
        <v>0</v>
      </c>
      <c r="AE368" s="152">
        <f>Debt!AN19</f>
        <v>4.3732647900000003</v>
      </c>
      <c r="AF368" s="525">
        <f>SUM(T368:AE368)</f>
        <v>17.402716080000001</v>
      </c>
      <c r="AG368" s="125">
        <f>Debt!AP19</f>
        <v>17.433517100000003</v>
      </c>
      <c r="AH368" s="125">
        <f>Debt!AQ19</f>
        <v>17.490665869999997</v>
      </c>
      <c r="AI368" s="125">
        <f>Debt!AR19</f>
        <v>17.49965679</v>
      </c>
      <c r="AJ368" s="125">
        <f>Debt!AS19</f>
        <v>17.535143550000001</v>
      </c>
      <c r="AK368" s="125">
        <f>Debt!AT19</f>
        <v>17.57234777</v>
      </c>
      <c r="AL368" s="125">
        <f>Debt!AU19</f>
        <v>17.6318281</v>
      </c>
      <c r="AM368" s="125">
        <f>Debt!AV19</f>
        <v>17.65223628</v>
      </c>
      <c r="AN368" s="125">
        <f>Debt!AW19</f>
        <v>17.695102619999997</v>
      </c>
      <c r="AO368" s="125">
        <f>Debt!AX19</f>
        <v>17.74003991</v>
      </c>
      <c r="AP368" s="125">
        <f>Debt!AY19</f>
        <v>17.80233763</v>
      </c>
      <c r="AQ368" s="125">
        <f>Debt!AZ19</f>
        <v>17.83653795</v>
      </c>
      <c r="AR368" s="130"/>
      <c r="AS368" s="130"/>
    </row>
    <row r="369" spans="1:45" ht="15.75" thickTop="1">
      <c r="A369" s="422">
        <f t="shared" si="251"/>
        <v>367</v>
      </c>
      <c r="B369" s="126"/>
      <c r="C369" s="141"/>
      <c r="D369" s="141"/>
      <c r="E369" s="141"/>
      <c r="F369" s="524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524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5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30"/>
      <c r="AS369" s="130"/>
    </row>
    <row r="370" spans="1:45">
      <c r="A370" s="422">
        <f t="shared" si="251"/>
        <v>368</v>
      </c>
      <c r="B370" s="143" t="s">
        <v>69</v>
      </c>
      <c r="C370" s="141"/>
      <c r="D370" s="141"/>
      <c r="E370" s="141"/>
      <c r="F370" s="524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524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5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30"/>
      <c r="AS370" s="130"/>
    </row>
    <row r="371" spans="1:45">
      <c r="A371" s="422">
        <f t="shared" si="251"/>
        <v>369</v>
      </c>
      <c r="B371" s="126" t="s">
        <v>334</v>
      </c>
      <c r="C371" s="141"/>
      <c r="D371" s="141"/>
      <c r="E371" s="141"/>
      <c r="F371" s="524"/>
      <c r="G371" s="141">
        <f>Debt!P22</f>
        <v>298.51311737999998</v>
      </c>
      <c r="H371" s="141">
        <f>Debt!Q22</f>
        <v>298.51311737999998</v>
      </c>
      <c r="I371" s="141">
        <f>Debt!R22</f>
        <v>294.99964728999998</v>
      </c>
      <c r="J371" s="141">
        <f>Debt!S22</f>
        <v>294.99964728999998</v>
      </c>
      <c r="K371" s="141">
        <f>Debt!T22</f>
        <v>294.99964728999998</v>
      </c>
      <c r="L371" s="141">
        <f>Debt!U22</f>
        <v>291.45938698999998</v>
      </c>
      <c r="M371" s="141">
        <f>Debt!V22</f>
        <v>291.45938698999998</v>
      </c>
      <c r="N371" s="141">
        <f>Debt!W22</f>
        <v>291.45938698999998</v>
      </c>
      <c r="O371" s="141">
        <f>Debt!X22</f>
        <v>288.77848236</v>
      </c>
      <c r="P371" s="141">
        <f>Debt!Y22</f>
        <v>288.77848236</v>
      </c>
      <c r="Q371" s="141">
        <f>Debt!Z22</f>
        <v>288.77848236</v>
      </c>
      <c r="R371" s="141">
        <f>Debt!AA22</f>
        <v>286.07680069000003</v>
      </c>
      <c r="S371" s="524">
        <f>G371</f>
        <v>298.51311737999998</v>
      </c>
      <c r="T371" s="141">
        <f>Debt!AC22</f>
        <v>286.07680069000003</v>
      </c>
      <c r="U371" s="141">
        <f>Debt!AD22</f>
        <v>286.07680069000003</v>
      </c>
      <c r="V371" s="141">
        <f>Debt!AE22</f>
        <v>283.35418100000004</v>
      </c>
      <c r="W371" s="141">
        <f>Debt!AF22</f>
        <v>283.35418100000004</v>
      </c>
      <c r="X371" s="141">
        <f>Debt!AG22</f>
        <v>283.35418100000004</v>
      </c>
      <c r="Y371" s="141">
        <f>Debt!AH22</f>
        <v>280.61046099000004</v>
      </c>
      <c r="Z371" s="141">
        <f>Debt!AI22</f>
        <v>280.61046099000004</v>
      </c>
      <c r="AA371" s="141">
        <f>Debt!AJ22</f>
        <v>280.61046099000004</v>
      </c>
      <c r="AB371" s="141">
        <f>Debt!AK22</f>
        <v>277.84979956000001</v>
      </c>
      <c r="AC371" s="141">
        <f>Debt!AL22</f>
        <v>277.84979956000001</v>
      </c>
      <c r="AD371" s="141">
        <f>Debt!AM22</f>
        <v>277.84979956000001</v>
      </c>
      <c r="AE371" s="141">
        <f>Debt!AN22</f>
        <v>275.06774301000002</v>
      </c>
      <c r="AF371" s="524">
        <f>T371</f>
        <v>286.07680069000003</v>
      </c>
      <c r="AG371" s="141">
        <f>Debt!AP22</f>
        <v>275.06774301000002</v>
      </c>
      <c r="AH371" s="141">
        <f>Debt!AQ22</f>
        <v>263.73259258000002</v>
      </c>
      <c r="AI371" s="141">
        <f>Debt!AR22</f>
        <v>252.05529357</v>
      </c>
      <c r="AJ371" s="141">
        <f>Debt!AS22</f>
        <v>240.01310727000001</v>
      </c>
      <c r="AK371" s="141">
        <f>Debt!AT22</f>
        <v>227.57809627</v>
      </c>
      <c r="AL371" s="141">
        <f>Debt!AU22</f>
        <v>214.71252219000002</v>
      </c>
      <c r="AM371" s="141">
        <f>Debt!AV22</f>
        <v>201.38056027000002</v>
      </c>
      <c r="AN371" s="141">
        <f>Debt!AW22</f>
        <v>187.53950948000002</v>
      </c>
      <c r="AO371" s="141">
        <f>Debt!AX22</f>
        <v>173.14304852000001</v>
      </c>
      <c r="AP371" s="141">
        <f>Debt!AY22</f>
        <v>158.15179642999999</v>
      </c>
      <c r="AQ371" s="141">
        <f>Debt!AZ22</f>
        <v>142.53190112999999</v>
      </c>
      <c r="AR371" s="149"/>
      <c r="AS371" s="149"/>
    </row>
    <row r="372" spans="1:45">
      <c r="A372" s="422">
        <f t="shared" si="251"/>
        <v>370</v>
      </c>
      <c r="B372" s="126" t="s">
        <v>305</v>
      </c>
      <c r="C372" s="141"/>
      <c r="D372" s="141"/>
      <c r="E372" s="141"/>
      <c r="F372" s="524"/>
      <c r="G372" s="141">
        <f>Debt!P25</f>
        <v>0</v>
      </c>
      <c r="H372" s="141">
        <f>Debt!Q25</f>
        <v>3.5134700900000011</v>
      </c>
      <c r="I372" s="141">
        <f>Debt!R25</f>
        <v>0</v>
      </c>
      <c r="J372" s="141">
        <f>Debt!S25</f>
        <v>0</v>
      </c>
      <c r="K372" s="141">
        <f>Debt!T25</f>
        <v>3.5402603000000004</v>
      </c>
      <c r="L372" s="141">
        <f>Debt!U25</f>
        <v>0</v>
      </c>
      <c r="M372" s="141">
        <f>Debt!V25</f>
        <v>0</v>
      </c>
      <c r="N372" s="141">
        <f>Debt!W25</f>
        <v>2.6809046300000006</v>
      </c>
      <c r="O372" s="141">
        <f>Debt!X25</f>
        <v>0</v>
      </c>
      <c r="P372" s="141">
        <f>Debt!Y25</f>
        <v>0</v>
      </c>
      <c r="Q372" s="141">
        <f>Debt!Z25</f>
        <v>2.7016816699999993</v>
      </c>
      <c r="R372" s="141">
        <f>Debt!AA25</f>
        <v>0</v>
      </c>
      <c r="S372" s="524">
        <f>SUM(G372:R372)</f>
        <v>12.436316690000002</v>
      </c>
      <c r="T372" s="141">
        <f>Debt!AC25</f>
        <v>0</v>
      </c>
      <c r="U372" s="141">
        <f>Debt!AD25</f>
        <v>2.7226196899999993</v>
      </c>
      <c r="V372" s="141">
        <f>Debt!AE25</f>
        <v>0</v>
      </c>
      <c r="W372" s="141">
        <f>Debt!AF25</f>
        <v>0</v>
      </c>
      <c r="X372" s="141">
        <f>Debt!AG25</f>
        <v>2.7437200100000001</v>
      </c>
      <c r="Y372" s="141">
        <f>Debt!AH25</f>
        <v>0</v>
      </c>
      <c r="Z372" s="141">
        <f>Debt!AI25</f>
        <v>0</v>
      </c>
      <c r="AA372" s="141">
        <f>Debt!AJ25</f>
        <v>2.7606614300000007</v>
      </c>
      <c r="AB372" s="141">
        <f>Debt!AK25</f>
        <v>0</v>
      </c>
      <c r="AC372" s="141">
        <f>Debt!AL25</f>
        <v>0</v>
      </c>
      <c r="AD372" s="141">
        <f>Debt!AM25</f>
        <v>2.7820565500000001</v>
      </c>
      <c r="AE372" s="141">
        <f>Debt!AN25</f>
        <v>0</v>
      </c>
      <c r="AF372" s="524">
        <f>SUM(T372:AE372)</f>
        <v>11.00905768</v>
      </c>
      <c r="AG372" s="141">
        <f>Debt!AP25</f>
        <v>11.335150430000002</v>
      </c>
      <c r="AH372" s="141">
        <f>Debt!AQ25</f>
        <v>11.67729901</v>
      </c>
      <c r="AI372" s="141">
        <f>Debt!AR25</f>
        <v>12.042186300000003</v>
      </c>
      <c r="AJ372" s="141">
        <f>Debt!AS25</f>
        <v>12.435010999999999</v>
      </c>
      <c r="AK372" s="141">
        <f>Debt!AT25</f>
        <v>12.865574080000002</v>
      </c>
      <c r="AL372" s="141">
        <f>Debt!AU25</f>
        <v>13.331961920000001</v>
      </c>
      <c r="AM372" s="141">
        <f>Debt!AV25</f>
        <v>13.841050790000001</v>
      </c>
      <c r="AN372" s="141">
        <f>Debt!AW25</f>
        <v>14.396460960000001</v>
      </c>
      <c r="AO372" s="141">
        <f>Debt!AX25</f>
        <v>14.991252090000003</v>
      </c>
      <c r="AP372" s="141">
        <f>Debt!AY25</f>
        <v>15.619895300000003</v>
      </c>
      <c r="AQ372" s="141">
        <f>Debt!AZ25</f>
        <v>16.288664180000005</v>
      </c>
      <c r="AR372" s="149"/>
      <c r="AS372" s="149"/>
    </row>
    <row r="373" spans="1:45">
      <c r="A373" s="422">
        <f t="shared" si="251"/>
        <v>371</v>
      </c>
      <c r="B373" s="126" t="s">
        <v>306</v>
      </c>
      <c r="C373" s="141"/>
      <c r="D373" s="141"/>
      <c r="E373" s="141"/>
      <c r="F373" s="524"/>
      <c r="G373" s="156">
        <f>G374-G372</f>
        <v>0</v>
      </c>
      <c r="H373" s="156">
        <f t="shared" ref="H373:T373" si="276">H374-H372</f>
        <v>3.23543907</v>
      </c>
      <c r="I373" s="156">
        <f t="shared" si="276"/>
        <v>0</v>
      </c>
      <c r="J373" s="156">
        <f t="shared" si="276"/>
        <v>0</v>
      </c>
      <c r="K373" s="156">
        <f t="shared" si="276"/>
        <v>3.2793522900000007</v>
      </c>
      <c r="L373" s="156">
        <f t="shared" si="276"/>
        <v>0</v>
      </c>
      <c r="M373" s="156">
        <f t="shared" si="276"/>
        <v>0</v>
      </c>
      <c r="N373" s="156">
        <f t="shared" si="276"/>
        <v>3.2516667799999999</v>
      </c>
      <c r="O373" s="156">
        <f t="shared" si="276"/>
        <v>0</v>
      </c>
      <c r="P373" s="156">
        <f t="shared" si="276"/>
        <v>0</v>
      </c>
      <c r="Q373" s="156">
        <f t="shared" si="276"/>
        <v>3.1964594500000008</v>
      </c>
      <c r="R373" s="156">
        <f t="shared" si="276"/>
        <v>0</v>
      </c>
      <c r="S373" s="524">
        <f>SUM(G373:R373)</f>
        <v>12.962917590000002</v>
      </c>
      <c r="T373" s="156">
        <f t="shared" si="276"/>
        <v>0</v>
      </c>
      <c r="U373" s="156">
        <f t="shared" ref="U373:AE373" si="277">U374-U372</f>
        <v>3.1410911200000005</v>
      </c>
      <c r="V373" s="156">
        <f t="shared" si="277"/>
        <v>0</v>
      </c>
      <c r="W373" s="156">
        <f t="shared" si="277"/>
        <v>0</v>
      </c>
      <c r="X373" s="156">
        <f t="shared" si="277"/>
        <v>3.1888514000000003</v>
      </c>
      <c r="Y373" s="156">
        <f t="shared" si="277"/>
        <v>0</v>
      </c>
      <c r="Z373" s="156">
        <f t="shared" si="277"/>
        <v>0</v>
      </c>
      <c r="AA373" s="156">
        <f t="shared" si="277"/>
        <v>3.1668759599999996</v>
      </c>
      <c r="AB373" s="156">
        <f t="shared" si="277"/>
        <v>0</v>
      </c>
      <c r="AC373" s="156">
        <f t="shared" si="277"/>
        <v>0</v>
      </c>
      <c r="AD373" s="156">
        <f t="shared" si="277"/>
        <v>3.1119993800000003</v>
      </c>
      <c r="AE373" s="156">
        <f t="shared" si="277"/>
        <v>0</v>
      </c>
      <c r="AF373" s="524">
        <f>SUM(T373:AE373)</f>
        <v>12.608817860000002</v>
      </c>
      <c r="AG373" s="156">
        <f t="shared" ref="AG373:AQ373" si="278">AG374-AG372</f>
        <v>12.263020109999999</v>
      </c>
      <c r="AH373" s="156">
        <f t="shared" si="278"/>
        <v>11.92968593</v>
      </c>
      <c r="AI373" s="156">
        <f t="shared" si="278"/>
        <v>11.503579149999995</v>
      </c>
      <c r="AJ373" s="156">
        <f t="shared" si="278"/>
        <v>11.078399210000001</v>
      </c>
      <c r="AK373" s="156">
        <f t="shared" si="278"/>
        <v>10.610647589999999</v>
      </c>
      <c r="AL373" s="156">
        <f t="shared" si="278"/>
        <v>10.132005710000001</v>
      </c>
      <c r="AM373" s="156">
        <f t="shared" si="278"/>
        <v>9.5588813399999992</v>
      </c>
      <c r="AN373" s="156">
        <f t="shared" si="278"/>
        <v>8.9661165</v>
      </c>
      <c r="AO373" s="156">
        <f t="shared" si="278"/>
        <v>8.3324625500000025</v>
      </c>
      <c r="AP373" s="156">
        <f t="shared" si="278"/>
        <v>7.6836981900000012</v>
      </c>
      <c r="AQ373" s="156">
        <f t="shared" si="278"/>
        <v>6.9512462999999975</v>
      </c>
      <c r="AR373" s="149"/>
      <c r="AS373" s="149"/>
    </row>
    <row r="374" spans="1:45" ht="15.75" thickBot="1">
      <c r="A374" s="422">
        <f t="shared" si="251"/>
        <v>372</v>
      </c>
      <c r="B374" s="126" t="s">
        <v>335</v>
      </c>
      <c r="C374" s="141"/>
      <c r="D374" s="141"/>
      <c r="E374" s="152"/>
      <c r="F374" s="525"/>
      <c r="G374" s="152">
        <f>Debt!P26</f>
        <v>0</v>
      </c>
      <c r="H374" s="152">
        <f>Debt!Q26</f>
        <v>6.7489091600000011</v>
      </c>
      <c r="I374" s="152">
        <f>Debt!R26</f>
        <v>0</v>
      </c>
      <c r="J374" s="152">
        <f>Debt!S26</f>
        <v>0</v>
      </c>
      <c r="K374" s="152">
        <f>Debt!T26</f>
        <v>6.8196125900000011</v>
      </c>
      <c r="L374" s="152">
        <f>Debt!U26</f>
        <v>0</v>
      </c>
      <c r="M374" s="152">
        <f>Debt!V26</f>
        <v>0</v>
      </c>
      <c r="N374" s="152">
        <f>Debt!W26</f>
        <v>5.9325714100000004</v>
      </c>
      <c r="O374" s="152">
        <f>Debt!X26</f>
        <v>0</v>
      </c>
      <c r="P374" s="152">
        <f>Debt!Y26</f>
        <v>0</v>
      </c>
      <c r="Q374" s="152">
        <f>Debt!Z26</f>
        <v>5.89814112</v>
      </c>
      <c r="R374" s="152">
        <f>Debt!AA26</f>
        <v>0</v>
      </c>
      <c r="S374" s="525">
        <f>SUM(G374:R374)</f>
        <v>25.399234280000002</v>
      </c>
      <c r="T374" s="152">
        <f>Debt!AC26</f>
        <v>0</v>
      </c>
      <c r="U374" s="152">
        <f>Debt!AD26</f>
        <v>5.8637108099999997</v>
      </c>
      <c r="V374" s="152">
        <f>Debt!AE26</f>
        <v>0</v>
      </c>
      <c r="W374" s="152">
        <f>Debt!AF26</f>
        <v>0</v>
      </c>
      <c r="X374" s="152">
        <f>Debt!AG26</f>
        <v>5.9325714100000004</v>
      </c>
      <c r="Y374" s="152">
        <f>Debt!AH26</f>
        <v>0</v>
      </c>
      <c r="Z374" s="152">
        <f>Debt!AI26</f>
        <v>0</v>
      </c>
      <c r="AA374" s="152">
        <f>Debt!AJ26</f>
        <v>5.9275373900000004</v>
      </c>
      <c r="AB374" s="152">
        <f>Debt!AK26</f>
        <v>0</v>
      </c>
      <c r="AC374" s="152">
        <f>Debt!AL26</f>
        <v>0</v>
      </c>
      <c r="AD374" s="152">
        <f>Debt!AM26</f>
        <v>5.8940559300000004</v>
      </c>
      <c r="AE374" s="152">
        <f>Debt!AN26</f>
        <v>0</v>
      </c>
      <c r="AF374" s="525">
        <f>SUM(T374:AE374)</f>
        <v>23.61787554</v>
      </c>
      <c r="AG374" s="152">
        <f>Debt!AP26</f>
        <v>23.598170540000002</v>
      </c>
      <c r="AH374" s="152">
        <f>Debt!AQ26</f>
        <v>23.60698494</v>
      </c>
      <c r="AI374" s="152">
        <f>Debt!AR26</f>
        <v>23.545765449999998</v>
      </c>
      <c r="AJ374" s="152">
        <f>Debt!AS26</f>
        <v>23.51341021</v>
      </c>
      <c r="AK374" s="152">
        <f>Debt!AT26</f>
        <v>23.476221670000001</v>
      </c>
      <c r="AL374" s="152">
        <f>Debt!AU26</f>
        <v>23.463967630000003</v>
      </c>
      <c r="AM374" s="152">
        <f>Debt!AV26</f>
        <v>23.39993213</v>
      </c>
      <c r="AN374" s="152">
        <f>Debt!AW26</f>
        <v>23.362577460000001</v>
      </c>
      <c r="AO374" s="152">
        <f>Debt!AX26</f>
        <v>23.323714640000006</v>
      </c>
      <c r="AP374" s="152">
        <f>Debt!AY26</f>
        <v>23.303593490000004</v>
      </c>
      <c r="AQ374" s="152">
        <f>Debt!AZ26</f>
        <v>23.239910480000002</v>
      </c>
      <c r="AR374" s="149"/>
      <c r="AS374" s="149"/>
    </row>
    <row r="375" spans="1:45" ht="15.75" thickTop="1">
      <c r="A375" s="422">
        <f t="shared" si="251"/>
        <v>373</v>
      </c>
      <c r="B375" s="114"/>
      <c r="C375" s="141"/>
      <c r="D375" s="141"/>
      <c r="E375" s="141"/>
      <c r="F375" s="524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524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5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30"/>
      <c r="AS375" s="130"/>
    </row>
    <row r="376" spans="1:45">
      <c r="A376" s="422">
        <f t="shared" si="251"/>
        <v>374</v>
      </c>
      <c r="B376" s="143" t="s">
        <v>24</v>
      </c>
      <c r="C376" s="141"/>
      <c r="D376" s="141"/>
      <c r="E376" s="141"/>
      <c r="F376" s="524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524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5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30"/>
      <c r="AS376" s="130"/>
    </row>
    <row r="377" spans="1:45">
      <c r="A377" s="422">
        <f t="shared" si="251"/>
        <v>375</v>
      </c>
      <c r="B377" s="126" t="s">
        <v>334</v>
      </c>
      <c r="C377" s="141"/>
      <c r="D377" s="141"/>
      <c r="E377" s="141"/>
      <c r="F377" s="524"/>
      <c r="G377" s="141">
        <f>Debt!P37</f>
        <v>0</v>
      </c>
      <c r="H377" s="141">
        <f>Debt!Q37</f>
        <v>0</v>
      </c>
      <c r="I377" s="141">
        <f>Debt!R37</f>
        <v>0</v>
      </c>
      <c r="J377" s="141">
        <f>Debt!S37</f>
        <v>0</v>
      </c>
      <c r="K377" s="141">
        <f>Debt!T37</f>
        <v>0</v>
      </c>
      <c r="L377" s="141">
        <f>Debt!U37</f>
        <v>0</v>
      </c>
      <c r="M377" s="141">
        <f>Debt!V37</f>
        <v>0</v>
      </c>
      <c r="N377" s="141">
        <f>Debt!W37</f>
        <v>0</v>
      </c>
      <c r="O377" s="141">
        <f>Debt!X37</f>
        <v>0</v>
      </c>
      <c r="P377" s="141">
        <f>Debt!Y37</f>
        <v>0</v>
      </c>
      <c r="Q377" s="141">
        <f>Debt!Z37</f>
        <v>0</v>
      </c>
      <c r="R377" s="141">
        <f>Debt!AA37</f>
        <v>0</v>
      </c>
      <c r="S377" s="524">
        <f>G377</f>
        <v>0</v>
      </c>
      <c r="T377" s="141">
        <f>Debt!AC37</f>
        <v>0</v>
      </c>
      <c r="U377" s="141">
        <f>Debt!AD37</f>
        <v>0</v>
      </c>
      <c r="V377" s="141">
        <f>Debt!AE37</f>
        <v>0</v>
      </c>
      <c r="W377" s="141">
        <f>Debt!AF37</f>
        <v>0</v>
      </c>
      <c r="X377" s="141">
        <f>Debt!AG37</f>
        <v>0</v>
      </c>
      <c r="Y377" s="141">
        <f>Debt!AH37</f>
        <v>0</v>
      </c>
      <c r="Z377" s="141">
        <f>Debt!AI37</f>
        <v>0</v>
      </c>
      <c r="AA377" s="141">
        <f>Debt!AJ37</f>
        <v>0</v>
      </c>
      <c r="AB377" s="141">
        <f>Debt!AK37</f>
        <v>0</v>
      </c>
      <c r="AC377" s="141">
        <f>Debt!AL37</f>
        <v>0</v>
      </c>
      <c r="AD377" s="141">
        <f>Debt!AM37</f>
        <v>0</v>
      </c>
      <c r="AE377" s="141">
        <f>Debt!AN37</f>
        <v>0</v>
      </c>
      <c r="AF377" s="524">
        <f>T377</f>
        <v>0</v>
      </c>
      <c r="AG377" s="124">
        <f>Debt!AP37</f>
        <v>0</v>
      </c>
      <c r="AH377" s="124">
        <f>Debt!AQ37</f>
        <v>0</v>
      </c>
      <c r="AI377" s="124">
        <f>Debt!AR37</f>
        <v>0</v>
      </c>
      <c r="AJ377" s="124">
        <f>Debt!AS37</f>
        <v>0</v>
      </c>
      <c r="AK377" s="124">
        <f>Debt!AT37</f>
        <v>0</v>
      </c>
      <c r="AL377" s="124">
        <f>Debt!AU37</f>
        <v>0</v>
      </c>
      <c r="AM377" s="124">
        <f>Debt!AV37</f>
        <v>0</v>
      </c>
      <c r="AN377" s="124">
        <f>Debt!AW37</f>
        <v>0</v>
      </c>
      <c r="AO377" s="124">
        <f>Debt!AX37</f>
        <v>0</v>
      </c>
      <c r="AP377" s="124">
        <f>Debt!AY37</f>
        <v>0</v>
      </c>
      <c r="AQ377" s="124">
        <f>Debt!AZ37</f>
        <v>0</v>
      </c>
      <c r="AR377" s="130"/>
      <c r="AS377" s="130"/>
    </row>
    <row r="378" spans="1:45">
      <c r="A378" s="422">
        <f t="shared" si="251"/>
        <v>376</v>
      </c>
      <c r="B378" s="126" t="s">
        <v>305</v>
      </c>
      <c r="C378" s="141"/>
      <c r="D378" s="141"/>
      <c r="E378" s="141"/>
      <c r="F378" s="526"/>
      <c r="G378" s="141">
        <f>Debt!P41</f>
        <v>0</v>
      </c>
      <c r="H378" s="141">
        <f>Debt!Q41</f>
        <v>0</v>
      </c>
      <c r="I378" s="141">
        <f>Debt!R41</f>
        <v>0</v>
      </c>
      <c r="J378" s="141">
        <f>Debt!S41</f>
        <v>0</v>
      </c>
      <c r="K378" s="141">
        <f>Debt!T41</f>
        <v>0</v>
      </c>
      <c r="L378" s="141">
        <f>Debt!U41</f>
        <v>0</v>
      </c>
      <c r="M378" s="141">
        <f>Debt!V41</f>
        <v>0</v>
      </c>
      <c r="N378" s="141">
        <f>Debt!W41</f>
        <v>0</v>
      </c>
      <c r="O378" s="141">
        <f>Debt!X41</f>
        <v>0</v>
      </c>
      <c r="P378" s="141">
        <f>Debt!Y41</f>
        <v>0</v>
      </c>
      <c r="Q378" s="141">
        <f>Debt!Z41</f>
        <v>0</v>
      </c>
      <c r="R378" s="141">
        <f>Debt!AA41</f>
        <v>0</v>
      </c>
      <c r="S378" s="524">
        <f>SUM(G378:R378)</f>
        <v>0</v>
      </c>
      <c r="T378" s="141">
        <f>Debt!AC41</f>
        <v>0</v>
      </c>
      <c r="U378" s="141">
        <f>Debt!AD41</f>
        <v>0</v>
      </c>
      <c r="V378" s="141">
        <f>Debt!AE41</f>
        <v>0</v>
      </c>
      <c r="W378" s="141">
        <f>Debt!AF41</f>
        <v>0</v>
      </c>
      <c r="X378" s="141">
        <f>Debt!AG41</f>
        <v>0</v>
      </c>
      <c r="Y378" s="141">
        <f>Debt!AH41</f>
        <v>0</v>
      </c>
      <c r="Z378" s="141">
        <f>Debt!AI41</f>
        <v>0</v>
      </c>
      <c r="AA378" s="141">
        <f>Debt!AJ41</f>
        <v>0</v>
      </c>
      <c r="AB378" s="141">
        <f>Debt!AK41</f>
        <v>0</v>
      </c>
      <c r="AC378" s="141">
        <f>Debt!AL41</f>
        <v>0</v>
      </c>
      <c r="AD378" s="141">
        <f>Debt!AM41</f>
        <v>0</v>
      </c>
      <c r="AE378" s="141">
        <f>Debt!AN41</f>
        <v>0</v>
      </c>
      <c r="AF378" s="524">
        <f>SUM(T378:AE378)</f>
        <v>0</v>
      </c>
      <c r="AG378" s="124">
        <f>Debt!AP41</f>
        <v>0</v>
      </c>
      <c r="AH378" s="124">
        <f>Debt!AQ41</f>
        <v>0</v>
      </c>
      <c r="AI378" s="124">
        <f>Debt!AR41</f>
        <v>0</v>
      </c>
      <c r="AJ378" s="124">
        <f>Debt!AS41</f>
        <v>0</v>
      </c>
      <c r="AK378" s="124">
        <f>Debt!AT41</f>
        <v>0</v>
      </c>
      <c r="AL378" s="124">
        <f>Debt!AU41</f>
        <v>0</v>
      </c>
      <c r="AM378" s="124">
        <f>Debt!AV41</f>
        <v>0</v>
      </c>
      <c r="AN378" s="124">
        <f>Debt!AW41</f>
        <v>0</v>
      </c>
      <c r="AO378" s="124">
        <f>Debt!AX41</f>
        <v>0</v>
      </c>
      <c r="AP378" s="124">
        <f>Debt!AY41</f>
        <v>0</v>
      </c>
      <c r="AQ378" s="124">
        <f>Debt!AZ41</f>
        <v>0</v>
      </c>
      <c r="AR378" s="130"/>
      <c r="AS378" s="130"/>
    </row>
    <row r="379" spans="1:45">
      <c r="A379" s="422">
        <f t="shared" si="251"/>
        <v>377</v>
      </c>
      <c r="B379" s="126" t="s">
        <v>306</v>
      </c>
      <c r="C379" s="156"/>
      <c r="D379" s="156"/>
      <c r="E379" s="156"/>
      <c r="F379" s="528"/>
      <c r="G379" s="156">
        <f>Debt!P40</f>
        <v>0</v>
      </c>
      <c r="H379" s="156">
        <f>Debt!Q40</f>
        <v>0</v>
      </c>
      <c r="I379" s="156">
        <f>Debt!R40</f>
        <v>0</v>
      </c>
      <c r="J379" s="156">
        <f>Debt!S40</f>
        <v>0</v>
      </c>
      <c r="K379" s="156">
        <f>Debt!T40</f>
        <v>0</v>
      </c>
      <c r="L379" s="156">
        <f>Debt!U40</f>
        <v>0</v>
      </c>
      <c r="M379" s="156">
        <f>Debt!V40</f>
        <v>0</v>
      </c>
      <c r="N379" s="156">
        <f>Debt!W40</f>
        <v>0</v>
      </c>
      <c r="O379" s="156">
        <f>Debt!X40</f>
        <v>0</v>
      </c>
      <c r="P379" s="156">
        <f>Debt!Y40</f>
        <v>0</v>
      </c>
      <c r="Q379" s="156">
        <f>Debt!Z40</f>
        <v>0</v>
      </c>
      <c r="R379" s="156">
        <f>Debt!AA40</f>
        <v>0</v>
      </c>
      <c r="S379" s="524">
        <f>SUM(G379:R379)</f>
        <v>0</v>
      </c>
      <c r="T379" s="156">
        <f>Debt!AC40</f>
        <v>0</v>
      </c>
      <c r="U379" s="156">
        <f>Debt!AD40</f>
        <v>0</v>
      </c>
      <c r="V379" s="156">
        <f>Debt!AE40</f>
        <v>0</v>
      </c>
      <c r="W379" s="156">
        <f>Debt!AF40</f>
        <v>0</v>
      </c>
      <c r="X379" s="156">
        <f>Debt!AG40</f>
        <v>0</v>
      </c>
      <c r="Y379" s="156">
        <f>Debt!AH40</f>
        <v>0</v>
      </c>
      <c r="Z379" s="156">
        <f>Debt!AI40</f>
        <v>0</v>
      </c>
      <c r="AA379" s="156">
        <f>Debt!AJ40</f>
        <v>0</v>
      </c>
      <c r="AB379" s="156">
        <f>Debt!AK40</f>
        <v>0</v>
      </c>
      <c r="AC379" s="156">
        <f>Debt!AL40</f>
        <v>0</v>
      </c>
      <c r="AD379" s="156">
        <f>Debt!AM40</f>
        <v>0</v>
      </c>
      <c r="AE379" s="156">
        <f>Debt!AN40</f>
        <v>0</v>
      </c>
      <c r="AF379" s="524">
        <f>SUM(T379:AE379)</f>
        <v>0</v>
      </c>
      <c r="AG379" s="127">
        <f>Debt!AP40</f>
        <v>0</v>
      </c>
      <c r="AH379" s="127">
        <f>Debt!AQ40</f>
        <v>0</v>
      </c>
      <c r="AI379" s="127">
        <f>Debt!AR40</f>
        <v>0</v>
      </c>
      <c r="AJ379" s="127">
        <f>Debt!AS40</f>
        <v>0</v>
      </c>
      <c r="AK379" s="127">
        <f>Debt!AT40</f>
        <v>0</v>
      </c>
      <c r="AL379" s="127">
        <f>Debt!AU40</f>
        <v>0</v>
      </c>
      <c r="AM379" s="127">
        <f>Debt!AV40</f>
        <v>0</v>
      </c>
      <c r="AN379" s="127">
        <f>Debt!AW40</f>
        <v>0</v>
      </c>
      <c r="AO379" s="127">
        <f>Debt!AX40</f>
        <v>0</v>
      </c>
      <c r="AP379" s="127">
        <f>Debt!AY40</f>
        <v>0</v>
      </c>
      <c r="AQ379" s="127">
        <f>Debt!AZ40</f>
        <v>0</v>
      </c>
      <c r="AR379" s="130"/>
      <c r="AS379" s="130"/>
    </row>
    <row r="380" spans="1:45" ht="15.75" thickBot="1">
      <c r="A380" s="422">
        <f t="shared" si="251"/>
        <v>378</v>
      </c>
      <c r="B380" s="126" t="s">
        <v>335</v>
      </c>
      <c r="C380" s="152"/>
      <c r="D380" s="152"/>
      <c r="E380" s="152"/>
      <c r="F380" s="525"/>
      <c r="G380" s="152">
        <f>Debt!P42</f>
        <v>0</v>
      </c>
      <c r="H380" s="152">
        <f>Debt!Q42</f>
        <v>0</v>
      </c>
      <c r="I380" s="152">
        <f>Debt!R42</f>
        <v>0</v>
      </c>
      <c r="J380" s="152">
        <f>Debt!S42</f>
        <v>0</v>
      </c>
      <c r="K380" s="152">
        <f>Debt!T42</f>
        <v>0</v>
      </c>
      <c r="L380" s="152">
        <f>Debt!U42</f>
        <v>0</v>
      </c>
      <c r="M380" s="152">
        <f>Debt!V42</f>
        <v>0</v>
      </c>
      <c r="N380" s="152">
        <f>Debt!W42</f>
        <v>0</v>
      </c>
      <c r="O380" s="152">
        <f>Debt!X42</f>
        <v>0</v>
      </c>
      <c r="P380" s="152">
        <f>Debt!Y42</f>
        <v>0</v>
      </c>
      <c r="Q380" s="152">
        <f>Debt!Z42</f>
        <v>0</v>
      </c>
      <c r="R380" s="152">
        <f>Debt!AA42</f>
        <v>0</v>
      </c>
      <c r="S380" s="525">
        <f>SUM(G380:R380)</f>
        <v>0</v>
      </c>
      <c r="T380" s="152">
        <f>Debt!AC42</f>
        <v>0</v>
      </c>
      <c r="U380" s="152">
        <f>Debt!AD42</f>
        <v>0</v>
      </c>
      <c r="V380" s="152">
        <f>Debt!AE42</f>
        <v>0</v>
      </c>
      <c r="W380" s="152">
        <f>Debt!AF42</f>
        <v>0</v>
      </c>
      <c r="X380" s="152">
        <f>Debt!AG42</f>
        <v>0</v>
      </c>
      <c r="Y380" s="152">
        <f>Debt!AH42</f>
        <v>0</v>
      </c>
      <c r="Z380" s="152">
        <f>Debt!AI42</f>
        <v>0</v>
      </c>
      <c r="AA380" s="152">
        <f>Debt!AJ42</f>
        <v>0</v>
      </c>
      <c r="AB380" s="152">
        <f>Debt!AK42</f>
        <v>0</v>
      </c>
      <c r="AC380" s="152">
        <f>Debt!AL42</f>
        <v>0</v>
      </c>
      <c r="AD380" s="152">
        <f>Debt!AM42</f>
        <v>0</v>
      </c>
      <c r="AE380" s="152">
        <f>Debt!AN42</f>
        <v>0</v>
      </c>
      <c r="AF380" s="525">
        <f>SUM(T380:AE380)</f>
        <v>0</v>
      </c>
      <c r="AG380" s="125">
        <f>Debt!AP42</f>
        <v>0</v>
      </c>
      <c r="AH380" s="125">
        <f>Debt!AQ42</f>
        <v>0</v>
      </c>
      <c r="AI380" s="125">
        <f>Debt!AR42</f>
        <v>0</v>
      </c>
      <c r="AJ380" s="125">
        <f>Debt!AS42</f>
        <v>0</v>
      </c>
      <c r="AK380" s="125">
        <f>Debt!AT42</f>
        <v>0</v>
      </c>
      <c r="AL380" s="125">
        <f>Debt!AU42</f>
        <v>0</v>
      </c>
      <c r="AM380" s="125">
        <f>Debt!AV42</f>
        <v>0</v>
      </c>
      <c r="AN380" s="125">
        <f>Debt!AW42</f>
        <v>0</v>
      </c>
      <c r="AO380" s="125">
        <f>Debt!AX42</f>
        <v>0</v>
      </c>
      <c r="AP380" s="125">
        <f>Debt!AY42</f>
        <v>0</v>
      </c>
      <c r="AQ380" s="125">
        <f>Debt!AZ42</f>
        <v>0</v>
      </c>
      <c r="AR380" s="130"/>
      <c r="AS380" s="130"/>
    </row>
    <row r="381" spans="1:45" ht="15.75" thickTop="1">
      <c r="A381" s="422">
        <f t="shared" si="251"/>
        <v>379</v>
      </c>
      <c r="B381" s="126"/>
      <c r="C381" s="141"/>
      <c r="D381" s="141"/>
      <c r="E381" s="141"/>
      <c r="F381" s="524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524"/>
      <c r="T381" s="141"/>
      <c r="U381" s="141"/>
      <c r="V381" s="141"/>
      <c r="W381" s="141"/>
      <c r="X381" s="141"/>
      <c r="Y381" s="141"/>
      <c r="Z381" s="141"/>
      <c r="AA381" s="141"/>
      <c r="AB381" s="141"/>
      <c r="AC381" s="141"/>
      <c r="AD381" s="141"/>
      <c r="AE381" s="141"/>
      <c r="AF381" s="5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30"/>
      <c r="AS381" s="130"/>
    </row>
    <row r="382" spans="1:45">
      <c r="A382" s="422">
        <f t="shared" si="251"/>
        <v>380</v>
      </c>
      <c r="B382" s="143" t="s">
        <v>41</v>
      </c>
      <c r="C382" s="141"/>
      <c r="D382" s="141"/>
      <c r="E382" s="141"/>
      <c r="F382" s="524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524"/>
      <c r="T382" s="141"/>
      <c r="U382" s="141"/>
      <c r="V382" s="141"/>
      <c r="W382" s="141"/>
      <c r="X382" s="141"/>
      <c r="Y382" s="141"/>
      <c r="Z382" s="141"/>
      <c r="AA382" s="141"/>
      <c r="AB382" s="141"/>
      <c r="AC382" s="141"/>
      <c r="AD382" s="141"/>
      <c r="AE382" s="141"/>
      <c r="AF382" s="5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30"/>
      <c r="AS382" s="130"/>
    </row>
    <row r="383" spans="1:45">
      <c r="A383" s="422">
        <f t="shared" si="251"/>
        <v>381</v>
      </c>
      <c r="B383" s="126" t="s">
        <v>334</v>
      </c>
      <c r="C383" s="141"/>
      <c r="D383" s="141"/>
      <c r="E383" s="141"/>
      <c r="F383" s="524"/>
      <c r="G383" s="141">
        <f>Debt!P29</f>
        <v>80.018677839999995</v>
      </c>
      <c r="H383" s="141">
        <f>Debt!Q29</f>
        <v>80.029716780000228</v>
      </c>
      <c r="I383" s="141">
        <f>Debt!R29</f>
        <v>80.029716780000228</v>
      </c>
      <c r="J383" s="141">
        <f>Debt!S29</f>
        <v>80.029716780000228</v>
      </c>
      <c r="K383" s="141">
        <f>Debt!T29</f>
        <v>80.040466330000228</v>
      </c>
      <c r="L383" s="141">
        <f>Debt!U29</f>
        <v>80.040466330000228</v>
      </c>
      <c r="M383" s="141">
        <f>Debt!V29</f>
        <v>80.040466330000228</v>
      </c>
      <c r="N383" s="141">
        <f>Debt!W29</f>
        <v>80.051613840000229</v>
      </c>
      <c r="O383" s="141">
        <f>Debt!X29</f>
        <v>80.051613840000229</v>
      </c>
      <c r="P383" s="141">
        <f>Debt!Y29</f>
        <v>80.051613840000229</v>
      </c>
      <c r="Q383" s="141">
        <f>Debt!Z29</f>
        <v>80.063047810000228</v>
      </c>
      <c r="R383" s="141">
        <f>Debt!AA29</f>
        <v>80.063047810000228</v>
      </c>
      <c r="S383" s="524">
        <f>G383</f>
        <v>80.018677839999995</v>
      </c>
      <c r="T383" s="141">
        <f>Debt!AC29</f>
        <v>80.063047810000228</v>
      </c>
      <c r="U383" s="141">
        <f>Debt!AD29</f>
        <v>80.074776080000234</v>
      </c>
      <c r="V383" s="141">
        <f>Debt!AE29</f>
        <v>80.074776080000234</v>
      </c>
      <c r="W383" s="141">
        <f>Debt!AF29</f>
        <v>80.074776080000234</v>
      </c>
      <c r="X383" s="141">
        <f>Debt!AG29</f>
        <v>80.086166800000228</v>
      </c>
      <c r="Y383" s="141">
        <f>Debt!AH29</f>
        <v>80.086166800000228</v>
      </c>
      <c r="Z383" s="141">
        <f>Debt!AI29</f>
        <v>80.086166800000228</v>
      </c>
      <c r="AA383" s="141">
        <f>Debt!AJ29</f>
        <v>80.097979200000225</v>
      </c>
      <c r="AB383" s="141">
        <f>Debt!AK29</f>
        <v>80.097979200000225</v>
      </c>
      <c r="AC383" s="141">
        <f>Debt!AL29</f>
        <v>80.097979200000225</v>
      </c>
      <c r="AD383" s="141">
        <f>Debt!AM29</f>
        <v>80.110095160000228</v>
      </c>
      <c r="AE383" s="141">
        <f>Debt!AN29</f>
        <v>80.110095160000228</v>
      </c>
      <c r="AF383" s="524">
        <f>T383</f>
        <v>80.063047810000228</v>
      </c>
      <c r="AG383" s="141">
        <f>Debt!AP29</f>
        <v>80.110095160000228</v>
      </c>
      <c r="AH383" s="141">
        <f>Debt!AQ29</f>
        <v>80.159948740000232</v>
      </c>
      <c r="AI383" s="141">
        <f>Debt!AR29</f>
        <v>80.213107480000232</v>
      </c>
      <c r="AJ383" s="141">
        <f>Debt!AS29</f>
        <v>80.268910630000235</v>
      </c>
      <c r="AK383" s="141">
        <f>Debt!AT29</f>
        <v>80.328071020000237</v>
      </c>
      <c r="AL383" s="141">
        <f>Debt!AU29</f>
        <v>77.987926110000444</v>
      </c>
      <c r="AM383" s="141">
        <f>Debt!AV29</f>
        <v>34.394504410000472</v>
      </c>
      <c r="AN383" s="141">
        <f>Debt!AW29</f>
        <v>4.8316906031686813E-13</v>
      </c>
      <c r="AO383" s="141">
        <f>Debt!AX29</f>
        <v>4.8316906031686813E-13</v>
      </c>
      <c r="AP383" s="141">
        <f>Debt!AY29</f>
        <v>4.8316906031686813E-13</v>
      </c>
      <c r="AQ383" s="141">
        <f>Debt!AZ29</f>
        <v>4.8316906031686813E-13</v>
      </c>
      <c r="AR383" s="149"/>
      <c r="AS383" s="149"/>
    </row>
    <row r="384" spans="1:45">
      <c r="A384" s="422">
        <f t="shared" si="251"/>
        <v>382</v>
      </c>
      <c r="B384" s="126" t="s">
        <v>305</v>
      </c>
      <c r="C384" s="141"/>
      <c r="D384" s="141"/>
      <c r="E384" s="141"/>
      <c r="F384" s="526"/>
      <c r="G384" s="141">
        <f>Debt!P32</f>
        <v>0</v>
      </c>
      <c r="H384" s="141">
        <f>Debt!Q32</f>
        <v>0</v>
      </c>
      <c r="I384" s="141">
        <f>Debt!R32</f>
        <v>0</v>
      </c>
      <c r="J384" s="141">
        <f>Debt!S32</f>
        <v>0</v>
      </c>
      <c r="K384" s="141">
        <f>Debt!T32</f>
        <v>0</v>
      </c>
      <c r="L384" s="141">
        <f>Debt!U32</f>
        <v>0</v>
      </c>
      <c r="M384" s="141">
        <f>Debt!V32</f>
        <v>0</v>
      </c>
      <c r="N384" s="141">
        <f>Debt!W32</f>
        <v>0</v>
      </c>
      <c r="O384" s="141">
        <f>Debt!X32</f>
        <v>0</v>
      </c>
      <c r="P384" s="141">
        <f>Debt!Y32</f>
        <v>0</v>
      </c>
      <c r="Q384" s="141">
        <f>Debt!Z32</f>
        <v>0</v>
      </c>
      <c r="R384" s="141">
        <f>Debt!AA32</f>
        <v>0</v>
      </c>
      <c r="S384" s="524">
        <f>SUM(G384:R384)</f>
        <v>0</v>
      </c>
      <c r="T384" s="141">
        <f>Debt!AC32</f>
        <v>0</v>
      </c>
      <c r="U384" s="141">
        <f>Debt!AD32</f>
        <v>0</v>
      </c>
      <c r="V384" s="141">
        <f>Debt!AE32</f>
        <v>0</v>
      </c>
      <c r="W384" s="141">
        <f>Debt!AF32</f>
        <v>0</v>
      </c>
      <c r="X384" s="141">
        <f>Debt!AG32</f>
        <v>0</v>
      </c>
      <c r="Y384" s="141">
        <f>Debt!AH32</f>
        <v>0</v>
      </c>
      <c r="Z384" s="141">
        <f>Debt!AI32</f>
        <v>0</v>
      </c>
      <c r="AA384" s="141">
        <f>Debt!AJ32</f>
        <v>0</v>
      </c>
      <c r="AB384" s="141">
        <f>Debt!AK32</f>
        <v>0</v>
      </c>
      <c r="AC384" s="141">
        <f>Debt!AL32</f>
        <v>0</v>
      </c>
      <c r="AD384" s="141">
        <f>Debt!AM32</f>
        <v>0</v>
      </c>
      <c r="AE384" s="141">
        <f>Debt!AN32</f>
        <v>0</v>
      </c>
      <c r="AF384" s="524">
        <f>SUM(T384:AE384)</f>
        <v>0</v>
      </c>
      <c r="AG384" s="141">
        <f>Debt!AP32</f>
        <v>0</v>
      </c>
      <c r="AH384" s="141">
        <f>Debt!AQ32</f>
        <v>0</v>
      </c>
      <c r="AI384" s="141">
        <f>Debt!AR32</f>
        <v>0</v>
      </c>
      <c r="AJ384" s="141">
        <f>Debt!AS32</f>
        <v>0</v>
      </c>
      <c r="AK384" s="141">
        <f>Debt!AT32</f>
        <v>2.3868131199997915</v>
      </c>
      <c r="AL384" s="141">
        <f>Debt!AU32</f>
        <v>43.593421699999972</v>
      </c>
      <c r="AM384" s="141">
        <f>Debt!AV32</f>
        <v>34.394504409999989</v>
      </c>
      <c r="AN384" s="141">
        <f>Debt!AW32</f>
        <v>0</v>
      </c>
      <c r="AO384" s="141">
        <f>Debt!AX32</f>
        <v>0</v>
      </c>
      <c r="AP384" s="141">
        <f>Debt!AY32</f>
        <v>0</v>
      </c>
      <c r="AQ384" s="141">
        <f>Debt!AZ32</f>
        <v>0</v>
      </c>
      <c r="AR384" s="149"/>
      <c r="AS384" s="149"/>
    </row>
    <row r="385" spans="1:45">
      <c r="A385" s="422">
        <f t="shared" si="251"/>
        <v>383</v>
      </c>
      <c r="B385" s="126" t="s">
        <v>306</v>
      </c>
      <c r="C385" s="156"/>
      <c r="D385" s="156"/>
      <c r="E385" s="156"/>
      <c r="F385" s="528"/>
      <c r="G385" s="156">
        <f>G386-G384</f>
        <v>1.1755841799997615</v>
      </c>
      <c r="H385" s="156">
        <f t="shared" ref="H385:R385" si="279">H386-H384</f>
        <v>0</v>
      </c>
      <c r="I385" s="156">
        <f t="shared" si="279"/>
        <v>0</v>
      </c>
      <c r="J385" s="156">
        <f t="shared" si="279"/>
        <v>1.1280372100000002</v>
      </c>
      <c r="K385" s="156">
        <f t="shared" si="279"/>
        <v>0</v>
      </c>
      <c r="L385" s="156">
        <f t="shared" si="279"/>
        <v>0</v>
      </c>
      <c r="M385" s="156">
        <f t="shared" si="279"/>
        <v>1.1533863600000001</v>
      </c>
      <c r="N385" s="156">
        <f t="shared" si="279"/>
        <v>0</v>
      </c>
      <c r="O385" s="156">
        <f t="shared" si="279"/>
        <v>0</v>
      </c>
      <c r="P385" s="156">
        <f t="shared" si="279"/>
        <v>1.1660609399999999</v>
      </c>
      <c r="Q385" s="156">
        <f t="shared" si="279"/>
        <v>0</v>
      </c>
      <c r="R385" s="156">
        <f t="shared" si="279"/>
        <v>0</v>
      </c>
      <c r="S385" s="524">
        <f>SUM(G385:R385)</f>
        <v>4.6230686899997622</v>
      </c>
      <c r="T385" s="156">
        <f>T386-T384</f>
        <v>1.1787355100000001</v>
      </c>
      <c r="U385" s="156">
        <f t="shared" ref="U385:AE385" si="280">U386-U384</f>
        <v>0</v>
      </c>
      <c r="V385" s="156">
        <f t="shared" si="280"/>
        <v>0</v>
      </c>
      <c r="W385" s="156">
        <f t="shared" si="280"/>
        <v>1.12803721</v>
      </c>
      <c r="X385" s="156">
        <f t="shared" si="280"/>
        <v>0</v>
      </c>
      <c r="Y385" s="156">
        <f t="shared" si="280"/>
        <v>0</v>
      </c>
      <c r="Z385" s="156">
        <f t="shared" si="280"/>
        <v>1.1533863600000001</v>
      </c>
      <c r="AA385" s="156">
        <f t="shared" si="280"/>
        <v>0</v>
      </c>
      <c r="AB385" s="156">
        <f t="shared" si="280"/>
        <v>0</v>
      </c>
      <c r="AC385" s="156">
        <f t="shared" si="280"/>
        <v>1.1660609399999999</v>
      </c>
      <c r="AD385" s="156">
        <f t="shared" si="280"/>
        <v>0</v>
      </c>
      <c r="AE385" s="156">
        <f t="shared" si="280"/>
        <v>0</v>
      </c>
      <c r="AF385" s="524">
        <f>SUM(T385:AE385)</f>
        <v>4.6262200199999999</v>
      </c>
      <c r="AG385" s="156">
        <f>Debt!AP31</f>
        <v>4.6767989400000003</v>
      </c>
      <c r="AH385" s="156">
        <f>Debt!AQ31</f>
        <v>4.6798154599999986</v>
      </c>
      <c r="AI385" s="156">
        <f>Debt!AR31</f>
        <v>4.6830127599999996</v>
      </c>
      <c r="AJ385" s="156">
        <f>Debt!AS31</f>
        <v>4.6864001599999989</v>
      </c>
      <c r="AK385" s="156">
        <f>Debt!AT31</f>
        <v>4.6550275999999986</v>
      </c>
      <c r="AL385" s="156">
        <f>Debt!AU31</f>
        <v>2.9781356499999996</v>
      </c>
      <c r="AM385" s="156">
        <f>Debt!AV31</f>
        <v>1.01177005</v>
      </c>
      <c r="AN385" s="156">
        <f>Debt!AW31</f>
        <v>0</v>
      </c>
      <c r="AO385" s="156">
        <f>Debt!AX31</f>
        <v>0</v>
      </c>
      <c r="AP385" s="156">
        <f>Debt!AY31</f>
        <v>0</v>
      </c>
      <c r="AQ385" s="156">
        <f>Debt!AZ31</f>
        <v>0</v>
      </c>
      <c r="AR385" s="149"/>
      <c r="AS385" s="149"/>
    </row>
    <row r="386" spans="1:45" ht="15.75" thickBot="1">
      <c r="A386" s="422">
        <f t="shared" si="251"/>
        <v>384</v>
      </c>
      <c r="B386" s="126" t="s">
        <v>335</v>
      </c>
      <c r="C386" s="152"/>
      <c r="D386" s="152"/>
      <c r="E386" s="152"/>
      <c r="F386" s="525"/>
      <c r="G386" s="152">
        <f>Debt!P33</f>
        <v>1.1755841799997615</v>
      </c>
      <c r="H386" s="152">
        <f>Debt!Q33</f>
        <v>0</v>
      </c>
      <c r="I386" s="152">
        <f>Debt!R33</f>
        <v>0</v>
      </c>
      <c r="J386" s="152">
        <f>Debt!S33</f>
        <v>1.1280372100000002</v>
      </c>
      <c r="K386" s="152">
        <f>Debt!T33</f>
        <v>0</v>
      </c>
      <c r="L386" s="152">
        <f>Debt!U33</f>
        <v>0</v>
      </c>
      <c r="M386" s="152">
        <f>Debt!V33</f>
        <v>1.1533863600000001</v>
      </c>
      <c r="N386" s="152">
        <f>Debt!W33</f>
        <v>0</v>
      </c>
      <c r="O386" s="152">
        <f>Debt!X33</f>
        <v>0</v>
      </c>
      <c r="P386" s="152">
        <f>Debt!Y33</f>
        <v>1.1660609399999999</v>
      </c>
      <c r="Q386" s="152">
        <f>Debt!Z33</f>
        <v>0</v>
      </c>
      <c r="R386" s="152">
        <f>Debt!AA33</f>
        <v>0</v>
      </c>
      <c r="S386" s="525">
        <f>SUM(G386:R386)</f>
        <v>4.6230686899997622</v>
      </c>
      <c r="T386" s="152">
        <f>Debt!AC33</f>
        <v>1.1787355100000001</v>
      </c>
      <c r="U386" s="152">
        <f>Debt!AD33</f>
        <v>0</v>
      </c>
      <c r="V386" s="152">
        <f>Debt!AE33</f>
        <v>0</v>
      </c>
      <c r="W386" s="152">
        <f>Debt!AF33</f>
        <v>1.12803721</v>
      </c>
      <c r="X386" s="152">
        <f>Debt!AG33</f>
        <v>0</v>
      </c>
      <c r="Y386" s="152">
        <f>Debt!AH33</f>
        <v>0</v>
      </c>
      <c r="Z386" s="152">
        <f>Debt!AI33</f>
        <v>1.1533863600000001</v>
      </c>
      <c r="AA386" s="152">
        <f>Debt!AJ33</f>
        <v>0</v>
      </c>
      <c r="AB386" s="152">
        <f>Debt!AK33</f>
        <v>0</v>
      </c>
      <c r="AC386" s="152">
        <f>Debt!AL33</f>
        <v>1.1660609399999999</v>
      </c>
      <c r="AD386" s="152">
        <f>Debt!AM33</f>
        <v>0</v>
      </c>
      <c r="AE386" s="152">
        <f>Debt!AN33</f>
        <v>0</v>
      </c>
      <c r="AF386" s="525">
        <f>SUM(T386:AE386)</f>
        <v>4.6262200199999999</v>
      </c>
      <c r="AG386" s="152">
        <f>Debt!AP33</f>
        <v>4.6262200099999999</v>
      </c>
      <c r="AH386" s="152">
        <f>Debt!AQ33</f>
        <v>4.6546512400000006</v>
      </c>
      <c r="AI386" s="152">
        <f>Debt!AR33</f>
        <v>4.6104633699999988</v>
      </c>
      <c r="AJ386" s="152">
        <f>Debt!AS33</f>
        <v>4.6135454299999994</v>
      </c>
      <c r="AK386" s="152">
        <f>Debt!AT33</f>
        <v>7.0292200199997916</v>
      </c>
      <c r="AL386" s="152">
        <f>Debt!AU33</f>
        <v>47.207178979999973</v>
      </c>
      <c r="AM386" s="152">
        <f>Debt!AV33</f>
        <v>35.406274459999992</v>
      </c>
      <c r="AN386" s="152">
        <f>Debt!AW33</f>
        <v>0</v>
      </c>
      <c r="AO386" s="152">
        <f>Debt!AX33</f>
        <v>0</v>
      </c>
      <c r="AP386" s="152">
        <f>Debt!AY33</f>
        <v>0</v>
      </c>
      <c r="AQ386" s="152">
        <f>Debt!AZ33</f>
        <v>0</v>
      </c>
      <c r="AR386" s="149"/>
      <c r="AS386" s="149"/>
    </row>
    <row r="387" spans="1:45" ht="15.75" thickTop="1">
      <c r="A387" s="422">
        <f t="shared" si="251"/>
        <v>385</v>
      </c>
      <c r="B387" s="126" t="s">
        <v>290</v>
      </c>
      <c r="C387" s="141"/>
      <c r="D387" s="141"/>
      <c r="E387" s="141"/>
      <c r="F387" s="524"/>
      <c r="G387" s="141">
        <f>Debt!P34</f>
        <v>1.1038940000236034E-2</v>
      </c>
      <c r="H387" s="141">
        <f>Debt!Q34</f>
        <v>0</v>
      </c>
      <c r="I387" s="141">
        <f>Debt!R34</f>
        <v>0</v>
      </c>
      <c r="J387" s="141">
        <f>Debt!S34</f>
        <v>1.0749549999999886E-2</v>
      </c>
      <c r="K387" s="141">
        <f>Debt!T34</f>
        <v>0</v>
      </c>
      <c r="L387" s="141">
        <f>Debt!U34</f>
        <v>0</v>
      </c>
      <c r="M387" s="141">
        <f>Debt!V34</f>
        <v>1.1147510000000027E-2</v>
      </c>
      <c r="N387" s="141">
        <f>Debt!W34</f>
        <v>0</v>
      </c>
      <c r="O387" s="141">
        <f>Debt!X34</f>
        <v>0</v>
      </c>
      <c r="P387" s="141">
        <f>Debt!Y34</f>
        <v>1.1433969999999904E-2</v>
      </c>
      <c r="Q387" s="141">
        <f>Debt!Z34</f>
        <v>0</v>
      </c>
      <c r="R387" s="141">
        <f>Debt!AA34</f>
        <v>0</v>
      </c>
      <c r="S387" s="524">
        <f>SUM(G387:R387)</f>
        <v>4.4369970000235848E-2</v>
      </c>
      <c r="T387" s="141">
        <f>Debt!AC34</f>
        <v>1.1728270000000096E-2</v>
      </c>
      <c r="U387" s="141">
        <f>Debt!AD34</f>
        <v>0</v>
      </c>
      <c r="V387" s="141">
        <f>Debt!AE34</f>
        <v>0</v>
      </c>
      <c r="W387" s="141">
        <f>Debt!AF34</f>
        <v>1.1390720000000076E-2</v>
      </c>
      <c r="X387" s="141">
        <f>Debt!AG34</f>
        <v>0</v>
      </c>
      <c r="Y387" s="141">
        <f>Debt!AH34</f>
        <v>0</v>
      </c>
      <c r="Z387" s="141">
        <f>Debt!AI34</f>
        <v>1.1812399999999945E-2</v>
      </c>
      <c r="AA387" s="141">
        <f>Debt!AJ34</f>
        <v>0</v>
      </c>
      <c r="AB387" s="141">
        <f>Debt!AK34</f>
        <v>0</v>
      </c>
      <c r="AC387" s="141">
        <f>Debt!AL34</f>
        <v>1.2115960000000037E-2</v>
      </c>
      <c r="AD387" s="141">
        <f>Debt!AM34</f>
        <v>0</v>
      </c>
      <c r="AE387" s="141">
        <f>Debt!AN34</f>
        <v>0</v>
      </c>
      <c r="AF387" s="524">
        <f>SUM(T387:AE387)</f>
        <v>4.7047350000000154E-2</v>
      </c>
      <c r="AG387" s="141">
        <f>Debt!AP34</f>
        <v>4.9853580000000619E-2</v>
      </c>
      <c r="AH387" s="141">
        <f>Debt!AQ34</f>
        <v>5.315873999999976E-2</v>
      </c>
      <c r="AI387" s="141">
        <f>Debt!AR34</f>
        <v>5.58031500000018E-2</v>
      </c>
      <c r="AJ387" s="141">
        <f>Debt!AS34</f>
        <v>5.916038999999973E-2</v>
      </c>
      <c r="AK387" s="141">
        <f>Debt!AT34</f>
        <v>4.66682099999991E-2</v>
      </c>
      <c r="AL387" s="141">
        <f>Debt!AU34</f>
        <v>0</v>
      </c>
      <c r="AM387" s="141">
        <f>Debt!AV34</f>
        <v>0</v>
      </c>
      <c r="AN387" s="141">
        <f>Debt!AW34</f>
        <v>0</v>
      </c>
      <c r="AO387" s="141">
        <f>Debt!AX34</f>
        <v>0</v>
      </c>
      <c r="AP387" s="141">
        <f>Debt!AY34</f>
        <v>0</v>
      </c>
      <c r="AQ387" s="141">
        <f>Debt!AZ34</f>
        <v>0</v>
      </c>
      <c r="AR387" s="149"/>
      <c r="AS387" s="149"/>
    </row>
    <row r="388" spans="1:45">
      <c r="A388" s="422">
        <f t="shared" si="251"/>
        <v>386</v>
      </c>
      <c r="B388" s="126"/>
      <c r="C388" s="141"/>
      <c r="D388" s="141"/>
      <c r="E388" s="141"/>
      <c r="F388" s="524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524"/>
      <c r="T388" s="141"/>
      <c r="U388" s="141"/>
      <c r="V388" s="141"/>
      <c r="W388" s="141"/>
      <c r="X388" s="141"/>
      <c r="Y388" s="141"/>
      <c r="Z388" s="141"/>
      <c r="AA388" s="141"/>
      <c r="AB388" s="141"/>
      <c r="AC388" s="141"/>
      <c r="AD388" s="141"/>
      <c r="AE388" s="141"/>
      <c r="AF388" s="5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30"/>
      <c r="AS388" s="130"/>
    </row>
    <row r="389" spans="1:45">
      <c r="A389" s="422">
        <f t="shared" si="251"/>
        <v>387</v>
      </c>
      <c r="B389" s="143" t="s">
        <v>42</v>
      </c>
      <c r="C389" s="141"/>
      <c r="D389" s="141"/>
      <c r="E389" s="141"/>
      <c r="F389" s="524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524"/>
      <c r="T389" s="141"/>
      <c r="U389" s="141"/>
      <c r="V389" s="141"/>
      <c r="W389" s="141"/>
      <c r="X389" s="141"/>
      <c r="Y389" s="141"/>
      <c r="Z389" s="141"/>
      <c r="AA389" s="141"/>
      <c r="AB389" s="141"/>
      <c r="AC389" s="141"/>
      <c r="AD389" s="141"/>
      <c r="AE389" s="141"/>
      <c r="AF389" s="5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30"/>
      <c r="AS389" s="130"/>
    </row>
    <row r="390" spans="1:45">
      <c r="A390" s="422">
        <f t="shared" si="251"/>
        <v>388</v>
      </c>
      <c r="B390" s="126" t="s">
        <v>334</v>
      </c>
      <c r="C390" s="141"/>
      <c r="D390" s="141"/>
      <c r="E390" s="141"/>
      <c r="F390" s="524"/>
      <c r="G390" s="141">
        <f>Debt!P53</f>
        <v>130.34037253</v>
      </c>
      <c r="H390" s="141">
        <f>Debt!Q53</f>
        <v>130.34037253</v>
      </c>
      <c r="I390" s="141">
        <f>Debt!R53</f>
        <v>130.34037253</v>
      </c>
      <c r="J390" s="141">
        <f>Debt!S53</f>
        <v>132.20398122</v>
      </c>
      <c r="K390" s="141">
        <f>Debt!T53</f>
        <v>132.20398122</v>
      </c>
      <c r="L390" s="141">
        <f>Debt!U53</f>
        <v>132.20398122</v>
      </c>
      <c r="M390" s="141">
        <f>Debt!V53</f>
        <v>134.11523865000001</v>
      </c>
      <c r="N390" s="141">
        <f>Debt!W53</f>
        <v>134.11523865000001</v>
      </c>
      <c r="O390" s="141">
        <f>Debt!X53</f>
        <v>134.11523865000001</v>
      </c>
      <c r="P390" s="141">
        <f>Debt!Y53</f>
        <v>136.07543336000001</v>
      </c>
      <c r="Q390" s="141">
        <f>Debt!Z53</f>
        <v>136.07543336000001</v>
      </c>
      <c r="R390" s="141">
        <f>Debt!AA53</f>
        <v>136.07543336000001</v>
      </c>
      <c r="S390" s="524">
        <f>G390</f>
        <v>130.34037253</v>
      </c>
      <c r="T390" s="141">
        <f>Debt!AC53</f>
        <v>138.06427778</v>
      </c>
      <c r="U390" s="141">
        <f>Debt!AD53</f>
        <v>138.06427778</v>
      </c>
      <c r="V390" s="141">
        <f>Debt!AE53</f>
        <v>138.06427778</v>
      </c>
      <c r="W390" s="141">
        <f>Debt!AF53</f>
        <v>140.03832298</v>
      </c>
      <c r="X390" s="141">
        <f>Debt!AG53</f>
        <v>140.03832298</v>
      </c>
      <c r="Y390" s="141">
        <f>Debt!AH53</f>
        <v>140.03832298</v>
      </c>
      <c r="Z390" s="141">
        <f>Debt!AI53</f>
        <v>142.06284056999999</v>
      </c>
      <c r="AA390" s="141">
        <f>Debt!AJ53</f>
        <v>142.06284056999999</v>
      </c>
      <c r="AB390" s="141">
        <f>Debt!AK53</f>
        <v>142.06284056999999</v>
      </c>
      <c r="AC390" s="141">
        <f>Debt!AL53</f>
        <v>144.13919543999998</v>
      </c>
      <c r="AD390" s="141">
        <f>Debt!AM53</f>
        <v>144.13919543999998</v>
      </c>
      <c r="AE390" s="141">
        <f>Debt!AN53</f>
        <v>144.13919543999998</v>
      </c>
      <c r="AF390" s="524">
        <f>T390</f>
        <v>138.06427778</v>
      </c>
      <c r="AG390" s="124">
        <f>Debt!AP53</f>
        <v>146.24589779999997</v>
      </c>
      <c r="AH390" s="124">
        <f>Debt!AQ53</f>
        <v>154.91235652999995</v>
      </c>
      <c r="AI390" s="124">
        <f>Debt!AR53</f>
        <v>164.09238880999996</v>
      </c>
      <c r="AJ390" s="124">
        <f>Debt!AS53</f>
        <v>173.81642163999996</v>
      </c>
      <c r="AK390" s="124">
        <f>Debt!AT53</f>
        <v>184.11669579999995</v>
      </c>
      <c r="AL390" s="124">
        <f>Debt!AU53</f>
        <v>195.02735905999995</v>
      </c>
      <c r="AM390" s="124">
        <f>Debt!AV53</f>
        <v>206.58458720999997</v>
      </c>
      <c r="AN390" s="124">
        <f>Debt!AW53</f>
        <v>218.82668646999997</v>
      </c>
      <c r="AO390" s="124">
        <f>Debt!AX53</f>
        <v>231.79424640999997</v>
      </c>
      <c r="AP390" s="124">
        <f>Debt!AY53</f>
        <v>445.53025729999996</v>
      </c>
      <c r="AQ390" s="124">
        <f>Debt!AZ53</f>
        <v>445.53025729999996</v>
      </c>
      <c r="AR390" s="130"/>
      <c r="AS390" s="130"/>
    </row>
    <row r="391" spans="1:45">
      <c r="A391" s="422">
        <f t="shared" si="251"/>
        <v>389</v>
      </c>
      <c r="B391" s="126" t="s">
        <v>305</v>
      </c>
      <c r="C391" s="141"/>
      <c r="D391" s="141"/>
      <c r="E391" s="141"/>
      <c r="F391" s="526"/>
      <c r="G391" s="141">
        <f>Debt!P60</f>
        <v>0</v>
      </c>
      <c r="H391" s="141">
        <f>Debt!Q60</f>
        <v>0</v>
      </c>
      <c r="I391" s="141">
        <f>Debt!R60</f>
        <v>0</v>
      </c>
      <c r="J391" s="141">
        <f>Debt!S60</f>
        <v>0</v>
      </c>
      <c r="K391" s="141">
        <f>Debt!T60</f>
        <v>0</v>
      </c>
      <c r="L391" s="141">
        <f>Debt!U60</f>
        <v>0</v>
      </c>
      <c r="M391" s="141">
        <f>Debt!V60</f>
        <v>0</v>
      </c>
      <c r="N391" s="141">
        <f>Debt!W60</f>
        <v>0</v>
      </c>
      <c r="O391" s="141">
        <f>Debt!X60</f>
        <v>0</v>
      </c>
      <c r="P391" s="141">
        <f>Debt!Y60</f>
        <v>0</v>
      </c>
      <c r="Q391" s="141">
        <f>Debt!Z60</f>
        <v>0</v>
      </c>
      <c r="R391" s="141">
        <f>Debt!AA60</f>
        <v>0</v>
      </c>
      <c r="S391" s="524">
        <f>SUM(G391:R391)</f>
        <v>0</v>
      </c>
      <c r="T391" s="141">
        <f>Debt!AC60</f>
        <v>0</v>
      </c>
      <c r="U391" s="141">
        <f>Debt!AD60</f>
        <v>0</v>
      </c>
      <c r="V391" s="141">
        <f>Debt!AE60</f>
        <v>0</v>
      </c>
      <c r="W391" s="141">
        <f>Debt!AF60</f>
        <v>0</v>
      </c>
      <c r="X391" s="141">
        <f>Debt!AG60</f>
        <v>0</v>
      </c>
      <c r="Y391" s="141">
        <f>Debt!AH60</f>
        <v>0</v>
      </c>
      <c r="Z391" s="141">
        <f>Debt!AI60</f>
        <v>0</v>
      </c>
      <c r="AA391" s="141">
        <f>Debt!AJ60</f>
        <v>0</v>
      </c>
      <c r="AB391" s="141">
        <f>Debt!AK60</f>
        <v>0</v>
      </c>
      <c r="AC391" s="141">
        <f>Debt!AL60</f>
        <v>0</v>
      </c>
      <c r="AD391" s="141">
        <f>Debt!AM60</f>
        <v>0</v>
      </c>
      <c r="AE391" s="141">
        <f>Debt!AN60</f>
        <v>0</v>
      </c>
      <c r="AF391" s="524">
        <f>SUM(T391:AE391)</f>
        <v>0</v>
      </c>
      <c r="AG391" s="124">
        <f>Debt!AP60</f>
        <v>0</v>
      </c>
      <c r="AH391" s="124">
        <f>Debt!AQ60</f>
        <v>0</v>
      </c>
      <c r="AI391" s="124">
        <f>Debt!AR60</f>
        <v>0</v>
      </c>
      <c r="AJ391" s="124">
        <f>Debt!AS60</f>
        <v>0</v>
      </c>
      <c r="AK391" s="124">
        <f>Debt!AT60</f>
        <v>0</v>
      </c>
      <c r="AL391" s="124">
        <f>Debt!AU60</f>
        <v>0</v>
      </c>
      <c r="AM391" s="124">
        <f>Debt!AV60</f>
        <v>0</v>
      </c>
      <c r="AN391" s="124">
        <f>Debt!AW60</f>
        <v>0</v>
      </c>
      <c r="AO391" s="124">
        <f>Debt!AX60</f>
        <v>-200</v>
      </c>
      <c r="AP391" s="124">
        <f>Debt!AY60</f>
        <v>0</v>
      </c>
      <c r="AQ391" s="124">
        <f>Debt!AZ60</f>
        <v>0</v>
      </c>
      <c r="AR391" s="130"/>
      <c r="AS391" s="130"/>
    </row>
    <row r="392" spans="1:45">
      <c r="A392" s="422">
        <f t="shared" si="251"/>
        <v>390</v>
      </c>
      <c r="B392" s="126" t="s">
        <v>306</v>
      </c>
      <c r="C392" s="156"/>
      <c r="D392" s="156"/>
      <c r="E392" s="156"/>
      <c r="F392" s="528"/>
      <c r="G392" s="156">
        <f>Debt!P59</f>
        <v>0</v>
      </c>
      <c r="H392" s="156">
        <f>Debt!Q59</f>
        <v>0</v>
      </c>
      <c r="I392" s="156">
        <f>Debt!R59</f>
        <v>0</v>
      </c>
      <c r="J392" s="156">
        <f>Debt!S59</f>
        <v>0</v>
      </c>
      <c r="K392" s="156">
        <f>Debt!T59</f>
        <v>0</v>
      </c>
      <c r="L392" s="156">
        <f>Debt!U59</f>
        <v>0</v>
      </c>
      <c r="M392" s="156">
        <f>Debt!V59</f>
        <v>0</v>
      </c>
      <c r="N392" s="156">
        <f>Debt!W59</f>
        <v>0</v>
      </c>
      <c r="O392" s="156">
        <f>Debt!X59</f>
        <v>0</v>
      </c>
      <c r="P392" s="156">
        <f>Debt!Y59</f>
        <v>0</v>
      </c>
      <c r="Q392" s="156">
        <f>Debt!Z59</f>
        <v>0</v>
      </c>
      <c r="R392" s="156">
        <f>Debt!AA59</f>
        <v>0</v>
      </c>
      <c r="S392" s="524">
        <f>SUM(G392:R392)</f>
        <v>0</v>
      </c>
      <c r="T392" s="156">
        <f>Debt!AC59</f>
        <v>0</v>
      </c>
      <c r="U392" s="156">
        <f>Debt!AD59</f>
        <v>0</v>
      </c>
      <c r="V392" s="156">
        <f>Debt!AE59</f>
        <v>0</v>
      </c>
      <c r="W392" s="156">
        <f>Debt!AF59</f>
        <v>0</v>
      </c>
      <c r="X392" s="156">
        <f>Debt!AG59</f>
        <v>0</v>
      </c>
      <c r="Y392" s="156">
        <f>Debt!AH59</f>
        <v>0</v>
      </c>
      <c r="Z392" s="156">
        <f>Debt!AI59</f>
        <v>0</v>
      </c>
      <c r="AA392" s="156">
        <f>Debt!AJ59</f>
        <v>0</v>
      </c>
      <c r="AB392" s="156">
        <f>Debt!AK59</f>
        <v>0</v>
      </c>
      <c r="AC392" s="156">
        <f>Debt!AL59</f>
        <v>0</v>
      </c>
      <c r="AD392" s="156">
        <f>Debt!AM59</f>
        <v>0</v>
      </c>
      <c r="AE392" s="156">
        <f>Debt!AN59</f>
        <v>0</v>
      </c>
      <c r="AF392" s="524">
        <f>SUM(T392:AE392)</f>
        <v>0</v>
      </c>
      <c r="AG392" s="127">
        <f>Debt!AP59</f>
        <v>0</v>
      </c>
      <c r="AH392" s="127">
        <f>Debt!AQ59</f>
        <v>0</v>
      </c>
      <c r="AI392" s="127">
        <f>Debt!AR59</f>
        <v>0</v>
      </c>
      <c r="AJ392" s="127">
        <f>Debt!AS59</f>
        <v>0</v>
      </c>
      <c r="AK392" s="127">
        <f>Debt!AT59</f>
        <v>0</v>
      </c>
      <c r="AL392" s="127">
        <f>Debt!AU59</f>
        <v>0</v>
      </c>
      <c r="AM392" s="127">
        <f>Debt!AV59</f>
        <v>0</v>
      </c>
      <c r="AN392" s="127">
        <f>Debt!AW59</f>
        <v>0</v>
      </c>
      <c r="AO392" s="127">
        <f>Debt!AX59</f>
        <v>0</v>
      </c>
      <c r="AP392" s="127">
        <f>Debt!AY59</f>
        <v>26.731815437999998</v>
      </c>
      <c r="AQ392" s="127">
        <f>Debt!AZ59</f>
        <v>26.731815437999998</v>
      </c>
      <c r="AR392" s="130"/>
      <c r="AS392" s="130"/>
    </row>
    <row r="393" spans="1:45" ht="15.75" thickBot="1">
      <c r="A393" s="422">
        <f t="shared" si="251"/>
        <v>391</v>
      </c>
      <c r="B393" s="126" t="s">
        <v>335</v>
      </c>
      <c r="C393" s="152"/>
      <c r="D393" s="152"/>
      <c r="E393" s="152"/>
      <c r="F393" s="525"/>
      <c r="G393" s="152">
        <f>Debt!P61</f>
        <v>0</v>
      </c>
      <c r="H393" s="152">
        <f>Debt!Q61</f>
        <v>0</v>
      </c>
      <c r="I393" s="152">
        <f>Debt!R61</f>
        <v>0</v>
      </c>
      <c r="J393" s="152">
        <f>Debt!S61</f>
        <v>0</v>
      </c>
      <c r="K393" s="152">
        <f>Debt!T61</f>
        <v>0</v>
      </c>
      <c r="L393" s="152">
        <f>Debt!U61</f>
        <v>0</v>
      </c>
      <c r="M393" s="152">
        <f>Debt!V61</f>
        <v>0</v>
      </c>
      <c r="N393" s="152">
        <f>Debt!W61</f>
        <v>0</v>
      </c>
      <c r="O393" s="152">
        <f>Debt!X61</f>
        <v>0</v>
      </c>
      <c r="P393" s="152">
        <f>Debt!Y61</f>
        <v>0</v>
      </c>
      <c r="Q393" s="152">
        <f>Debt!Z61</f>
        <v>0</v>
      </c>
      <c r="R393" s="152">
        <f>Debt!AA61</f>
        <v>0</v>
      </c>
      <c r="S393" s="525">
        <f>SUM(G393:R393)</f>
        <v>0</v>
      </c>
      <c r="T393" s="152">
        <f>Debt!AC61</f>
        <v>0</v>
      </c>
      <c r="U393" s="152">
        <f>Debt!AD61</f>
        <v>0</v>
      </c>
      <c r="V393" s="152">
        <f>Debt!AE61</f>
        <v>0</v>
      </c>
      <c r="W393" s="152">
        <f>Debt!AF61</f>
        <v>0</v>
      </c>
      <c r="X393" s="152">
        <f>Debt!AG61</f>
        <v>0</v>
      </c>
      <c r="Y393" s="152">
        <f>Debt!AH61</f>
        <v>0</v>
      </c>
      <c r="Z393" s="152">
        <f>Debt!AI61</f>
        <v>0</v>
      </c>
      <c r="AA393" s="152">
        <f>Debt!AJ61</f>
        <v>0</v>
      </c>
      <c r="AB393" s="152">
        <f>Debt!AK61</f>
        <v>0</v>
      </c>
      <c r="AC393" s="152">
        <f>Debt!AL61</f>
        <v>0</v>
      </c>
      <c r="AD393" s="152">
        <f>Debt!AM61</f>
        <v>0</v>
      </c>
      <c r="AE393" s="152">
        <f>Debt!AN61</f>
        <v>0</v>
      </c>
      <c r="AF393" s="525">
        <f>SUM(T393:AE393)</f>
        <v>0</v>
      </c>
      <c r="AG393" s="125">
        <f>Debt!AP61</f>
        <v>0</v>
      </c>
      <c r="AH393" s="125">
        <f>Debt!AQ61</f>
        <v>0</v>
      </c>
      <c r="AI393" s="125">
        <f>Debt!AR61</f>
        <v>0</v>
      </c>
      <c r="AJ393" s="125">
        <f>Debt!AS61</f>
        <v>0</v>
      </c>
      <c r="AK393" s="125">
        <f>Debt!AT61</f>
        <v>0</v>
      </c>
      <c r="AL393" s="125">
        <f>Debt!AU61</f>
        <v>0</v>
      </c>
      <c r="AM393" s="125">
        <f>Debt!AV61</f>
        <v>0</v>
      </c>
      <c r="AN393" s="125">
        <f>Debt!AW61</f>
        <v>0</v>
      </c>
      <c r="AO393" s="125">
        <f>Debt!AX61</f>
        <v>-200</v>
      </c>
      <c r="AP393" s="125">
        <f>Debt!AY61</f>
        <v>26.731815437999998</v>
      </c>
      <c r="AQ393" s="125">
        <f>Debt!AZ61</f>
        <v>26.731815437999998</v>
      </c>
      <c r="AR393" s="130"/>
      <c r="AS393" s="130"/>
    </row>
    <row r="394" spans="1:45" ht="15.75" thickTop="1">
      <c r="A394" s="422">
        <f t="shared" ref="A394:A416" si="281">A393+1</f>
        <v>392</v>
      </c>
      <c r="B394" s="126" t="s">
        <v>290</v>
      </c>
      <c r="C394" s="141"/>
      <c r="D394" s="141"/>
      <c r="E394" s="141"/>
      <c r="F394" s="524"/>
      <c r="G394" s="141">
        <f>Debt!P58</f>
        <v>0</v>
      </c>
      <c r="H394" s="141">
        <f>Debt!Q58</f>
        <v>0</v>
      </c>
      <c r="I394" s="141">
        <f>Debt!R58</f>
        <v>1.86360869</v>
      </c>
      <c r="J394" s="141">
        <f>Debt!S58</f>
        <v>0</v>
      </c>
      <c r="K394" s="141">
        <f>Debt!T58</f>
        <v>0</v>
      </c>
      <c r="L394" s="141">
        <f>Debt!U58</f>
        <v>1.91125743</v>
      </c>
      <c r="M394" s="141">
        <f>Debt!V58</f>
        <v>0</v>
      </c>
      <c r="N394" s="141">
        <f>Debt!W58</f>
        <v>0</v>
      </c>
      <c r="O394" s="141">
        <f>Debt!X58</f>
        <v>1.9601947100000001</v>
      </c>
      <c r="P394" s="141">
        <f>Debt!Y58</f>
        <v>0</v>
      </c>
      <c r="Q394" s="141">
        <f>Debt!Z58</f>
        <v>0</v>
      </c>
      <c r="R394" s="141">
        <f>Debt!AA58</f>
        <v>1.9888444199999999</v>
      </c>
      <c r="S394" s="524">
        <f>SUM(G394:R394)</f>
        <v>7.7239052499999996</v>
      </c>
      <c r="T394" s="141">
        <f>Debt!AC58</f>
        <v>0</v>
      </c>
      <c r="U394" s="141">
        <f>Debt!AD58</f>
        <v>0</v>
      </c>
      <c r="V394" s="141">
        <f>Debt!AE58</f>
        <v>1.9740452000000002</v>
      </c>
      <c r="W394" s="141">
        <f>Debt!AF58</f>
        <v>0</v>
      </c>
      <c r="X394" s="141">
        <f>Debt!AG58</f>
        <v>0</v>
      </c>
      <c r="Y394" s="141">
        <f>Debt!AH58</f>
        <v>2.0245175900000003</v>
      </c>
      <c r="Z394" s="141">
        <f>Debt!AI58</f>
        <v>0</v>
      </c>
      <c r="AA394" s="141">
        <f>Debt!AJ58</f>
        <v>0</v>
      </c>
      <c r="AB394" s="141">
        <f>Debt!AK58</f>
        <v>2.0763548700000003</v>
      </c>
      <c r="AC394" s="141">
        <f>Debt!AL58</f>
        <v>0</v>
      </c>
      <c r="AD394" s="141">
        <f>Debt!AM58</f>
        <v>0</v>
      </c>
      <c r="AE394" s="141">
        <f>Debt!AN58</f>
        <v>2.1067023599999999</v>
      </c>
      <c r="AF394" s="524">
        <f>SUM(T394:AE394)</f>
        <v>8.1816200200000004</v>
      </c>
      <c r="AG394" s="141">
        <f>Debt!AP58</f>
        <v>8.6664587300000022</v>
      </c>
      <c r="AH394" s="141">
        <f>Debt!AQ58</f>
        <v>9.1800322800000007</v>
      </c>
      <c r="AI394" s="141">
        <f>Debt!AR58</f>
        <v>9.7240328299999987</v>
      </c>
      <c r="AJ394" s="141">
        <f>Debt!AS58</f>
        <v>10.300274159999999</v>
      </c>
      <c r="AK394" s="141">
        <f>Debt!AT58</f>
        <v>10.910663260000002</v>
      </c>
      <c r="AL394" s="141">
        <f>Debt!AU58</f>
        <v>11.557228150000002</v>
      </c>
      <c r="AM394" s="141">
        <f>Debt!AV58</f>
        <v>12.242099259999998</v>
      </c>
      <c r="AN394" s="141">
        <f>Debt!AW58</f>
        <v>12.967559940000001</v>
      </c>
      <c r="AO394" s="141">
        <f>Debt!AX58</f>
        <v>13.736010889999999</v>
      </c>
      <c r="AP394" s="141">
        <f>Debt!AY58</f>
        <v>0</v>
      </c>
      <c r="AQ394" s="141">
        <f>Debt!AZ58</f>
        <v>0</v>
      </c>
      <c r="AR394" s="149"/>
      <c r="AS394" s="149"/>
    </row>
    <row r="395" spans="1:45">
      <c r="A395" s="422">
        <f t="shared" si="281"/>
        <v>393</v>
      </c>
      <c r="B395" s="114"/>
      <c r="C395" s="141"/>
      <c r="D395" s="141"/>
      <c r="E395" s="141"/>
      <c r="F395" s="524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524"/>
      <c r="T395" s="141"/>
      <c r="U395" s="141"/>
      <c r="V395" s="141"/>
      <c r="W395" s="141"/>
      <c r="X395" s="141"/>
      <c r="Y395" s="141"/>
      <c r="Z395" s="141"/>
      <c r="AA395" s="141"/>
      <c r="AB395" s="141"/>
      <c r="AC395" s="141"/>
      <c r="AD395" s="141"/>
      <c r="AE395" s="141"/>
      <c r="AF395" s="5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30"/>
      <c r="AS395" s="130"/>
    </row>
    <row r="396" spans="1:45">
      <c r="A396" s="422">
        <f t="shared" si="281"/>
        <v>394</v>
      </c>
      <c r="B396" s="143" t="s">
        <v>337</v>
      </c>
      <c r="C396" s="141"/>
      <c r="D396" s="141"/>
      <c r="E396" s="141"/>
      <c r="F396" s="524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524"/>
      <c r="T396" s="141"/>
      <c r="U396" s="141"/>
      <c r="V396" s="141"/>
      <c r="W396" s="141"/>
      <c r="X396" s="141"/>
      <c r="Y396" s="141"/>
      <c r="Z396" s="141"/>
      <c r="AA396" s="141"/>
      <c r="AB396" s="141"/>
      <c r="AC396" s="141"/>
      <c r="AD396" s="141"/>
      <c r="AE396" s="141"/>
      <c r="AF396" s="5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30"/>
      <c r="AS396" s="130"/>
    </row>
    <row r="397" spans="1:45">
      <c r="A397" s="422">
        <f t="shared" si="281"/>
        <v>395</v>
      </c>
      <c r="B397" s="126" t="s">
        <v>334</v>
      </c>
      <c r="C397" s="141"/>
      <c r="D397" s="141"/>
      <c r="E397" s="141"/>
      <c r="F397" s="524"/>
      <c r="G397" s="141">
        <f>Debt!P45</f>
        <v>142.1</v>
      </c>
      <c r="H397" s="141">
        <f>Debt!Q45</f>
        <v>142.1</v>
      </c>
      <c r="I397" s="141">
        <f>Debt!R45</f>
        <v>142.1</v>
      </c>
      <c r="J397" s="141">
        <f>Debt!S45</f>
        <v>142.1</v>
      </c>
      <c r="K397" s="141">
        <f>Debt!T45</f>
        <v>142.1</v>
      </c>
      <c r="L397" s="141">
        <f>Debt!U45</f>
        <v>142.1</v>
      </c>
      <c r="M397" s="141">
        <f>Debt!V45</f>
        <v>141.63499999999999</v>
      </c>
      <c r="N397" s="141">
        <f>Debt!W45</f>
        <v>141.63499999999999</v>
      </c>
      <c r="O397" s="141">
        <f>Debt!X45</f>
        <v>141.63499999999999</v>
      </c>
      <c r="P397" s="141">
        <f>Debt!Y45</f>
        <v>141.63499999999999</v>
      </c>
      <c r="Q397" s="141">
        <f>Debt!Z45</f>
        <v>141.63499999999999</v>
      </c>
      <c r="R397" s="141">
        <f>Debt!AA45</f>
        <v>141.63499999999999</v>
      </c>
      <c r="S397" s="524">
        <f>G397</f>
        <v>142.1</v>
      </c>
      <c r="T397" s="141">
        <f>Debt!AC45</f>
        <v>141.63499999999999</v>
      </c>
      <c r="U397" s="141">
        <f>Debt!AD45</f>
        <v>141.63499999999999</v>
      </c>
      <c r="V397" s="141">
        <f>Debt!AE45</f>
        <v>141.63499999999999</v>
      </c>
      <c r="W397" s="141">
        <f>Debt!AF45</f>
        <v>141.63499999999999</v>
      </c>
      <c r="X397" s="141">
        <f>Debt!AG45</f>
        <v>141.63499999999999</v>
      </c>
      <c r="Y397" s="141">
        <f>Debt!AH45</f>
        <v>141.63499999999999</v>
      </c>
      <c r="Z397" s="141">
        <f>Debt!AI45</f>
        <v>139.75</v>
      </c>
      <c r="AA397" s="141">
        <f>Debt!AJ45</f>
        <v>139.75</v>
      </c>
      <c r="AB397" s="141">
        <f>Debt!AK45</f>
        <v>139.75</v>
      </c>
      <c r="AC397" s="141">
        <f>Debt!AL45</f>
        <v>139.75</v>
      </c>
      <c r="AD397" s="141">
        <f>Debt!AM45</f>
        <v>139.75</v>
      </c>
      <c r="AE397" s="141">
        <f>Debt!AN45</f>
        <v>139.75</v>
      </c>
      <c r="AF397" s="524">
        <f>T397</f>
        <v>141.63499999999999</v>
      </c>
      <c r="AG397" s="124">
        <f>Debt!AP45</f>
        <v>139.75</v>
      </c>
      <c r="AH397" s="124">
        <f>Debt!AQ45</f>
        <v>137.75</v>
      </c>
      <c r="AI397" s="124">
        <f>Debt!AR45</f>
        <v>135.63</v>
      </c>
      <c r="AJ397" s="124">
        <f>Debt!AS45</f>
        <v>133.38</v>
      </c>
      <c r="AK397" s="124">
        <f>Debt!AT45</f>
        <v>130.995</v>
      </c>
      <c r="AL397" s="124">
        <f>Debt!AU45</f>
        <v>128.47</v>
      </c>
      <c r="AM397" s="124">
        <f>Debt!AV45</f>
        <v>125.795</v>
      </c>
      <c r="AN397" s="124">
        <f>Debt!AW45</f>
        <v>122.955</v>
      </c>
      <c r="AO397" s="124">
        <f>Debt!AX45</f>
        <v>119.94499999999999</v>
      </c>
      <c r="AP397" s="124">
        <f>Debt!AY45</f>
        <v>116.755</v>
      </c>
      <c r="AQ397" s="124">
        <f>Debt!AZ45</f>
        <v>113.375</v>
      </c>
      <c r="AR397" s="130"/>
      <c r="AS397" s="130"/>
    </row>
    <row r="398" spans="1:45">
      <c r="A398" s="422">
        <f t="shared" si="281"/>
        <v>396</v>
      </c>
      <c r="B398" s="126" t="s">
        <v>305</v>
      </c>
      <c r="C398" s="141"/>
      <c r="D398" s="141"/>
      <c r="E398" s="141"/>
      <c r="F398" s="526"/>
      <c r="G398" s="141">
        <f>Debt!P49</f>
        <v>0</v>
      </c>
      <c r="H398" s="141">
        <f>Debt!Q49</f>
        <v>0</v>
      </c>
      <c r="I398" s="141">
        <f>Debt!R49</f>
        <v>0</v>
      </c>
      <c r="J398" s="141">
        <f>Debt!S49</f>
        <v>0</v>
      </c>
      <c r="K398" s="141">
        <f>Debt!T49</f>
        <v>0</v>
      </c>
      <c r="L398" s="141">
        <f>Debt!U49</f>
        <v>0.46500000000000002</v>
      </c>
      <c r="M398" s="141">
        <f>Debt!V49</f>
        <v>0</v>
      </c>
      <c r="N398" s="141">
        <f>Debt!W49</f>
        <v>0</v>
      </c>
      <c r="O398" s="141">
        <f>Debt!X49</f>
        <v>0</v>
      </c>
      <c r="P398" s="141">
        <f>Debt!Y49</f>
        <v>0</v>
      </c>
      <c r="Q398" s="141">
        <f>Debt!Z49</f>
        <v>0</v>
      </c>
      <c r="R398" s="141">
        <f>Debt!AA49</f>
        <v>0</v>
      </c>
      <c r="S398" s="524">
        <f>SUM(G398:R398)</f>
        <v>0.46500000000000002</v>
      </c>
      <c r="T398" s="141">
        <f>Debt!AC49</f>
        <v>0</v>
      </c>
      <c r="U398" s="141">
        <f>Debt!AD49</f>
        <v>0</v>
      </c>
      <c r="V398" s="141">
        <f>Debt!AE49</f>
        <v>0</v>
      </c>
      <c r="W398" s="141">
        <f>Debt!AF49</f>
        <v>0</v>
      </c>
      <c r="X398" s="141">
        <f>Debt!AG49</f>
        <v>0</v>
      </c>
      <c r="Y398" s="141">
        <f>Debt!AH49</f>
        <v>1.885</v>
      </c>
      <c r="Z398" s="141">
        <f>Debt!AI49</f>
        <v>0</v>
      </c>
      <c r="AA398" s="141">
        <f>Debt!AJ49</f>
        <v>0</v>
      </c>
      <c r="AB398" s="141">
        <f>Debt!AK49</f>
        <v>0</v>
      </c>
      <c r="AC398" s="141">
        <f>Debt!AL49</f>
        <v>0</v>
      </c>
      <c r="AD398" s="141">
        <f>Debt!AM49</f>
        <v>0</v>
      </c>
      <c r="AE398" s="141">
        <f>Debt!AN49</f>
        <v>0</v>
      </c>
      <c r="AF398" s="524">
        <f>SUM(T398:AE398)</f>
        <v>1.885</v>
      </c>
      <c r="AG398" s="124">
        <f>Debt!AP49</f>
        <v>2</v>
      </c>
      <c r="AH398" s="124">
        <f>Debt!AQ49</f>
        <v>2.12</v>
      </c>
      <c r="AI398" s="124">
        <f>Debt!AR49</f>
        <v>2.25</v>
      </c>
      <c r="AJ398" s="124">
        <f>Debt!AS49</f>
        <v>2.3849999999999998</v>
      </c>
      <c r="AK398" s="124">
        <f>Debt!AT49</f>
        <v>2.5249999999999999</v>
      </c>
      <c r="AL398" s="124">
        <f>Debt!AU49</f>
        <v>2.6749999999999998</v>
      </c>
      <c r="AM398" s="124">
        <f>Debt!AV49</f>
        <v>2.84</v>
      </c>
      <c r="AN398" s="124">
        <f>Debt!AW49</f>
        <v>3.01</v>
      </c>
      <c r="AO398" s="124">
        <f>Debt!AX49</f>
        <v>3.19</v>
      </c>
      <c r="AP398" s="124">
        <f>Debt!AY49</f>
        <v>3.38</v>
      </c>
      <c r="AQ398" s="124">
        <f>Debt!AZ49</f>
        <v>3.585</v>
      </c>
      <c r="AR398" s="130"/>
      <c r="AS398" s="130"/>
    </row>
    <row r="399" spans="1:45">
      <c r="A399" s="422">
        <f t="shared" si="281"/>
        <v>397</v>
      </c>
      <c r="B399" s="126" t="s">
        <v>306</v>
      </c>
      <c r="C399" s="156"/>
      <c r="D399" s="156"/>
      <c r="E399" s="156"/>
      <c r="F399" s="528"/>
      <c r="G399" s="156">
        <f>G400-G398</f>
        <v>2.5</v>
      </c>
      <c r="H399" s="156">
        <f t="shared" ref="H399:R399" si="282">H400-H398</f>
        <v>0</v>
      </c>
      <c r="I399" s="156">
        <f t="shared" si="282"/>
        <v>0</v>
      </c>
      <c r="J399" s="156">
        <f t="shared" si="282"/>
        <v>0</v>
      </c>
      <c r="K399" s="156">
        <f t="shared" si="282"/>
        <v>0</v>
      </c>
      <c r="L399" s="156">
        <f t="shared" si="282"/>
        <v>1.4944999999999999</v>
      </c>
      <c r="M399" s="156">
        <f t="shared" si="282"/>
        <v>2.5</v>
      </c>
      <c r="N399" s="156">
        <f t="shared" si="282"/>
        <v>0</v>
      </c>
      <c r="O399" s="156">
        <f t="shared" si="282"/>
        <v>0</v>
      </c>
      <c r="P399" s="156">
        <f t="shared" si="282"/>
        <v>0</v>
      </c>
      <c r="Q399" s="156">
        <f t="shared" si="282"/>
        <v>0</v>
      </c>
      <c r="R399" s="156">
        <f t="shared" si="282"/>
        <v>1.7639999999999998</v>
      </c>
      <c r="S399" s="524">
        <f>SUM(G399:R399)</f>
        <v>8.2584999999999997</v>
      </c>
      <c r="T399" s="156">
        <f>T400-T398</f>
        <v>2.5</v>
      </c>
      <c r="U399" s="156">
        <f t="shared" ref="U399:AE399" si="283">U400-U398</f>
        <v>0</v>
      </c>
      <c r="V399" s="156">
        <f t="shared" si="283"/>
        <v>0</v>
      </c>
      <c r="W399" s="156">
        <f t="shared" si="283"/>
        <v>0</v>
      </c>
      <c r="X399" s="156">
        <f t="shared" si="283"/>
        <v>0</v>
      </c>
      <c r="Y399" s="156">
        <f t="shared" si="283"/>
        <v>1.764</v>
      </c>
      <c r="Z399" s="156">
        <f t="shared" si="283"/>
        <v>2.5</v>
      </c>
      <c r="AA399" s="156">
        <f t="shared" si="283"/>
        <v>0</v>
      </c>
      <c r="AB399" s="156">
        <f t="shared" si="283"/>
        <v>0</v>
      </c>
      <c r="AC399" s="156">
        <f t="shared" si="283"/>
        <v>0</v>
      </c>
      <c r="AD399" s="156">
        <f t="shared" si="283"/>
        <v>0</v>
      </c>
      <c r="AE399" s="156">
        <f t="shared" si="283"/>
        <v>1.7639999999999998</v>
      </c>
      <c r="AF399" s="524">
        <f>SUM(T399:AE399)</f>
        <v>8.5280000000000005</v>
      </c>
      <c r="AG399" s="127">
        <f>Debt!AP48</f>
        <v>8.3149999999999995</v>
      </c>
      <c r="AH399" s="127">
        <f>Debt!AQ48</f>
        <v>8.1908000000000012</v>
      </c>
      <c r="AI399" s="127">
        <f>Debt!AR48</f>
        <v>8.0590499999999992</v>
      </c>
      <c r="AJ399" s="127">
        <f>Debt!AS48</f>
        <v>7.9193249999999988</v>
      </c>
      <c r="AK399" s="127">
        <f>Debt!AT48</f>
        <v>7.771325</v>
      </c>
      <c r="AL399" s="127">
        <f>Debt!AU48</f>
        <v>7.6145749999999994</v>
      </c>
      <c r="AM399" s="127">
        <f>Debt!AV48</f>
        <v>7.4482999999999997</v>
      </c>
      <c r="AN399" s="127">
        <f>Debt!AW48</f>
        <v>7.2719500000000004</v>
      </c>
      <c r="AO399" s="127">
        <f>Debt!AX48</f>
        <v>7.085049999999999</v>
      </c>
      <c r="AP399" s="127">
        <f>Debt!AY48</f>
        <v>6.8869999999999996</v>
      </c>
      <c r="AQ399" s="127">
        <f>Debt!AZ48</f>
        <v>6.6770249999999995</v>
      </c>
      <c r="AR399" s="130"/>
      <c r="AS399" s="130"/>
    </row>
    <row r="400" spans="1:45" ht="15.75" thickBot="1">
      <c r="A400" s="422">
        <f t="shared" si="281"/>
        <v>398</v>
      </c>
      <c r="B400" s="126" t="s">
        <v>335</v>
      </c>
      <c r="C400" s="152"/>
      <c r="D400" s="152"/>
      <c r="E400" s="152"/>
      <c r="F400" s="525"/>
      <c r="G400" s="152">
        <f>Debt!P50</f>
        <v>2.5</v>
      </c>
      <c r="H400" s="152">
        <f>Debt!Q50</f>
        <v>0</v>
      </c>
      <c r="I400" s="152">
        <f>Debt!R50</f>
        <v>0</v>
      </c>
      <c r="J400" s="152">
        <f>Debt!S50</f>
        <v>0</v>
      </c>
      <c r="K400" s="152">
        <f>Debt!T50</f>
        <v>0</v>
      </c>
      <c r="L400" s="152">
        <f>Debt!U50</f>
        <v>1.9595</v>
      </c>
      <c r="M400" s="152">
        <f>Debt!V50</f>
        <v>2.5</v>
      </c>
      <c r="N400" s="152">
        <f>Debt!W50</f>
        <v>0</v>
      </c>
      <c r="O400" s="152">
        <f>Debt!X50</f>
        <v>0</v>
      </c>
      <c r="P400" s="152">
        <f>Debt!Y50</f>
        <v>0</v>
      </c>
      <c r="Q400" s="152">
        <f>Debt!Z50</f>
        <v>0</v>
      </c>
      <c r="R400" s="152">
        <f>Debt!AA50</f>
        <v>1.7639999999999998</v>
      </c>
      <c r="S400" s="525">
        <f>SUM(G400:R400)</f>
        <v>8.7234999999999996</v>
      </c>
      <c r="T400" s="152">
        <f>Debt!AC50</f>
        <v>2.5</v>
      </c>
      <c r="U400" s="152">
        <f>Debt!AD50</f>
        <v>0</v>
      </c>
      <c r="V400" s="152">
        <f>Debt!AE50</f>
        <v>0</v>
      </c>
      <c r="W400" s="152">
        <f>Debt!AF50</f>
        <v>0</v>
      </c>
      <c r="X400" s="152">
        <f>Debt!AG50</f>
        <v>0</v>
      </c>
      <c r="Y400" s="152">
        <f>Debt!AH50</f>
        <v>3.649</v>
      </c>
      <c r="Z400" s="152">
        <f>Debt!AI50</f>
        <v>2.5</v>
      </c>
      <c r="AA400" s="152">
        <f>Debt!AJ50</f>
        <v>0</v>
      </c>
      <c r="AB400" s="152">
        <f>Debt!AK50</f>
        <v>0</v>
      </c>
      <c r="AC400" s="152">
        <f>Debt!AL50</f>
        <v>0</v>
      </c>
      <c r="AD400" s="152">
        <f>Debt!AM50</f>
        <v>0</v>
      </c>
      <c r="AE400" s="152">
        <f>Debt!AN50</f>
        <v>1.7639999999999998</v>
      </c>
      <c r="AF400" s="525">
        <f>SUM(T400:AE400)</f>
        <v>10.413</v>
      </c>
      <c r="AG400" s="125">
        <f>Debt!AP50</f>
        <v>10.315</v>
      </c>
      <c r="AH400" s="125">
        <f>Debt!AQ50</f>
        <v>10.3108</v>
      </c>
      <c r="AI400" s="125">
        <f>Debt!AR50</f>
        <v>10.309049999999999</v>
      </c>
      <c r="AJ400" s="125">
        <f>Debt!AS50</f>
        <v>10.304324999999999</v>
      </c>
      <c r="AK400" s="125">
        <f>Debt!AT50</f>
        <v>10.296325</v>
      </c>
      <c r="AL400" s="125">
        <f>Debt!AU50</f>
        <v>10.289574999999999</v>
      </c>
      <c r="AM400" s="125">
        <f>Debt!AV50</f>
        <v>10.2883</v>
      </c>
      <c r="AN400" s="125">
        <f>Debt!AW50</f>
        <v>10.28195</v>
      </c>
      <c r="AO400" s="125">
        <f>Debt!AX50</f>
        <v>10.275049999999998</v>
      </c>
      <c r="AP400" s="125">
        <f>Debt!AY50</f>
        <v>10.266999999999999</v>
      </c>
      <c r="AQ400" s="125">
        <f>Debt!AZ50</f>
        <v>10.262025</v>
      </c>
      <c r="AR400" s="130"/>
      <c r="AS400" s="130"/>
    </row>
    <row r="401" spans="1:45" ht="15.75" thickTop="1">
      <c r="A401" s="422">
        <f t="shared" si="281"/>
        <v>399</v>
      </c>
      <c r="B401" s="126"/>
      <c r="C401" s="141"/>
      <c r="D401" s="141"/>
      <c r="E401" s="141"/>
      <c r="F401" s="524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524"/>
      <c r="T401" s="141"/>
      <c r="U401" s="141"/>
      <c r="V401" s="141"/>
      <c r="W401" s="141"/>
      <c r="X401" s="141"/>
      <c r="Y401" s="141"/>
      <c r="Z401" s="141"/>
      <c r="AA401" s="141"/>
      <c r="AB401" s="141"/>
      <c r="AC401" s="141"/>
      <c r="AD401" s="141"/>
      <c r="AE401" s="141"/>
      <c r="AF401" s="5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30"/>
      <c r="AS401" s="130"/>
    </row>
    <row r="402" spans="1:45">
      <c r="A402" s="422">
        <f t="shared" si="281"/>
        <v>400</v>
      </c>
      <c r="B402" s="126"/>
      <c r="C402" s="141"/>
      <c r="D402" s="141"/>
      <c r="E402" s="141"/>
      <c r="F402" s="524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524"/>
      <c r="T402" s="141"/>
      <c r="U402" s="141"/>
      <c r="V402" s="141"/>
      <c r="W402" s="141"/>
      <c r="X402" s="141"/>
      <c r="Y402" s="141"/>
      <c r="Z402" s="141"/>
      <c r="AA402" s="141"/>
      <c r="AB402" s="141"/>
      <c r="AC402" s="141"/>
      <c r="AD402" s="141"/>
      <c r="AE402" s="141"/>
      <c r="AF402" s="5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30"/>
      <c r="AS402" s="130"/>
    </row>
    <row r="403" spans="1:45">
      <c r="A403" s="422">
        <f t="shared" si="281"/>
        <v>401</v>
      </c>
      <c r="B403" s="143" t="s">
        <v>943</v>
      </c>
      <c r="C403" s="141"/>
      <c r="D403" s="141"/>
      <c r="E403" s="141"/>
      <c r="F403" s="524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524"/>
      <c r="T403" s="141"/>
      <c r="U403" s="141"/>
      <c r="V403" s="141"/>
      <c r="W403" s="141"/>
      <c r="X403" s="141"/>
      <c r="Y403" s="141"/>
      <c r="Z403" s="141"/>
      <c r="AA403" s="141"/>
      <c r="AB403" s="141"/>
      <c r="AC403" s="141"/>
      <c r="AD403" s="141"/>
      <c r="AE403" s="141"/>
      <c r="AF403" s="5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30"/>
      <c r="AS403" s="130"/>
    </row>
    <row r="404" spans="1:45">
      <c r="A404" s="422">
        <f t="shared" si="281"/>
        <v>402</v>
      </c>
      <c r="B404" s="126" t="s">
        <v>334</v>
      </c>
      <c r="C404" s="141"/>
      <c r="D404" s="141"/>
      <c r="E404" s="141"/>
      <c r="F404" s="524"/>
      <c r="G404" s="141">
        <f>Pat.!F21</f>
        <v>42.844899140000003</v>
      </c>
      <c r="H404" s="141">
        <f>Pat.!G21</f>
        <v>42.844899140000003</v>
      </c>
      <c r="I404" s="141">
        <f>Pat.!H21</f>
        <v>42.529839986042084</v>
      </c>
      <c r="J404" s="141">
        <f>Pat.!I21</f>
        <v>42.529839986042084</v>
      </c>
      <c r="K404" s="141">
        <f>Pat.!J21</f>
        <v>42.529839986042084</v>
      </c>
      <c r="L404" s="141">
        <f>Pat.!K21</f>
        <v>42.210566916042083</v>
      </c>
      <c r="M404" s="141">
        <f>Pat.!L21</f>
        <v>42.210566916042083</v>
      </c>
      <c r="N404" s="141">
        <f>Pat.!M21</f>
        <v>42.210566916042083</v>
      </c>
      <c r="O404" s="141">
        <f>Pat.!N21</f>
        <v>41.887023566042082</v>
      </c>
      <c r="P404" s="141">
        <f>Pat.!O21</f>
        <v>41.887023566042082</v>
      </c>
      <c r="Q404" s="141">
        <f>Pat.!P21</f>
        <v>41.887023566042082</v>
      </c>
      <c r="R404" s="141">
        <f>Pat.!Q21</f>
        <v>41.55915282604208</v>
      </c>
      <c r="S404" s="524">
        <f>G404</f>
        <v>42.844899140000003</v>
      </c>
      <c r="T404" s="141">
        <f>Pat.!S21</f>
        <v>41.55915282604208</v>
      </c>
      <c r="U404" s="141">
        <f>Pat.!T21</f>
        <v>41.55915282604208</v>
      </c>
      <c r="V404" s="141">
        <f>Pat.!U21</f>
        <v>41.226896816042078</v>
      </c>
      <c r="W404" s="141">
        <f>Pat.!V21</f>
        <v>41.226896816042078</v>
      </c>
      <c r="X404" s="141">
        <f>Pat.!W21</f>
        <v>41.226896816042078</v>
      </c>
      <c r="Y404" s="141">
        <f>Pat.!X21</f>
        <v>40.890196876042076</v>
      </c>
      <c r="Z404" s="141">
        <f>Pat.!Y21</f>
        <v>40.890196876042076</v>
      </c>
      <c r="AA404" s="141">
        <f>Pat.!Z21</f>
        <v>40.890196876042076</v>
      </c>
      <c r="AB404" s="141">
        <f>Pat.!AA21</f>
        <v>40.548993576042079</v>
      </c>
      <c r="AC404" s="141">
        <f>Pat.!AB21</f>
        <v>40.548993576042079</v>
      </c>
      <c r="AD404" s="141">
        <f>Pat.!AC21</f>
        <v>40.548993576042079</v>
      </c>
      <c r="AE404" s="141">
        <f>Pat.!AD21</f>
        <v>40.203226686042079</v>
      </c>
      <c r="AF404" s="524">
        <f>T404</f>
        <v>41.55915282604208</v>
      </c>
      <c r="AG404" s="141">
        <f>Pat.!AF21</f>
        <v>40.203226686042079</v>
      </c>
      <c r="AH404" s="141">
        <f>Pat.!AG21</f>
        <v>38.773290106042076</v>
      </c>
      <c r="AI404" s="141">
        <f>Pat.!AH21</f>
        <v>37.265303386042078</v>
      </c>
      <c r="AJ404" s="141">
        <f>Pat.!AI21</f>
        <v>35.675006296042078</v>
      </c>
      <c r="AK404" s="141">
        <f>Pat.!AJ21</f>
        <v>33.997906116042074</v>
      </c>
      <c r="AL404" s="141">
        <f>Pat.!AK21</f>
        <v>32.229264846042071</v>
      </c>
      <c r="AM404" s="141">
        <f>Pat.!AL21</f>
        <v>30.36408593604207</v>
      </c>
      <c r="AN404" s="141">
        <f>Pat.!AM21</f>
        <v>28.397100066042071</v>
      </c>
      <c r="AO404" s="141">
        <f>Pat.!AN21</f>
        <v>26.322750306042071</v>
      </c>
      <c r="AP404" s="141">
        <f>Pat.!AO21</f>
        <v>24.135176426042072</v>
      </c>
      <c r="AQ404" s="141">
        <f>Pat.!AP21</f>
        <v>21.828198316042073</v>
      </c>
      <c r="AR404" s="149"/>
      <c r="AS404" s="149"/>
    </row>
    <row r="405" spans="1:45">
      <c r="A405" s="422">
        <f t="shared" si="281"/>
        <v>403</v>
      </c>
      <c r="B405" s="126" t="s">
        <v>305</v>
      </c>
      <c r="C405" s="141"/>
      <c r="D405" s="141"/>
      <c r="E405" s="141"/>
      <c r="F405" s="524"/>
      <c r="G405" s="141">
        <f>Pat.!F24</f>
        <v>0</v>
      </c>
      <c r="H405" s="141">
        <f>Pat.!G24</f>
        <v>0.31505915395791678</v>
      </c>
      <c r="I405" s="141">
        <f>Pat.!H24</f>
        <v>0</v>
      </c>
      <c r="J405" s="141">
        <f>Pat.!I24</f>
        <v>0</v>
      </c>
      <c r="K405" s="141">
        <f>Pat.!J24</f>
        <v>0.31927307000000005</v>
      </c>
      <c r="L405" s="141">
        <f>Pat.!K24</f>
        <v>0</v>
      </c>
      <c r="M405" s="141">
        <f>Pat.!L24</f>
        <v>0</v>
      </c>
      <c r="N405" s="141">
        <f>Pat.!M24</f>
        <v>0.32354335000000012</v>
      </c>
      <c r="O405" s="141">
        <f>Pat.!N24</f>
        <v>0</v>
      </c>
      <c r="P405" s="141">
        <f>Pat.!O24</f>
        <v>0</v>
      </c>
      <c r="Q405" s="141">
        <f>Pat.!P24</f>
        <v>0.3278707400000001</v>
      </c>
      <c r="R405" s="141">
        <f>Pat.!Q24</f>
        <v>0</v>
      </c>
      <c r="S405" s="524">
        <f>SUM(G405:R405)</f>
        <v>1.2857463139579171</v>
      </c>
      <c r="T405" s="141">
        <f>Pat.!S24</f>
        <v>0</v>
      </c>
      <c r="U405" s="141">
        <f>Pat.!T24</f>
        <v>0.33225600999999999</v>
      </c>
      <c r="V405" s="141">
        <f>Pat.!U24</f>
        <v>0</v>
      </c>
      <c r="W405" s="141">
        <f>Pat.!V24</f>
        <v>0</v>
      </c>
      <c r="X405" s="141">
        <f>Pat.!W24</f>
        <v>0.33669994000000009</v>
      </c>
      <c r="Y405" s="141">
        <f>Pat.!X24</f>
        <v>0</v>
      </c>
      <c r="Z405" s="141">
        <f>Pat.!Y24</f>
        <v>0</v>
      </c>
      <c r="AA405" s="141">
        <f>Pat.!Z24</f>
        <v>0.34120330000000004</v>
      </c>
      <c r="AB405" s="141">
        <f>Pat.!AA24</f>
        <v>0</v>
      </c>
      <c r="AC405" s="141">
        <f>Pat.!AB24</f>
        <v>0</v>
      </c>
      <c r="AD405" s="141">
        <f>Pat.!AC24</f>
        <v>0.34576688999999999</v>
      </c>
      <c r="AE405" s="141">
        <f>Pat.!AD24</f>
        <v>0</v>
      </c>
      <c r="AF405" s="524">
        <f>SUM(T405:AE405)</f>
        <v>1.35592614</v>
      </c>
      <c r="AG405" s="141">
        <f>Pat.!AF24</f>
        <v>1.4299365800000001</v>
      </c>
      <c r="AH405" s="141">
        <f>Pat.!AG24</f>
        <v>1.5079867200000001</v>
      </c>
      <c r="AI405" s="141">
        <f>Pat.!AH24</f>
        <v>1.5902970900000002</v>
      </c>
      <c r="AJ405" s="141">
        <f>Pat.!AI24</f>
        <v>1.6771001800000005</v>
      </c>
      <c r="AK405" s="141">
        <f>Pat.!AJ24</f>
        <v>1.7686412700000003</v>
      </c>
      <c r="AL405" s="141">
        <f>Pat.!AK24</f>
        <v>1.8651789100000002</v>
      </c>
      <c r="AM405" s="141">
        <f>Pat.!AL24</f>
        <v>1.96698587</v>
      </c>
      <c r="AN405" s="141">
        <f>Pat.!AM24</f>
        <v>2.07434976</v>
      </c>
      <c r="AO405" s="141">
        <f>Pat.!AN24</f>
        <v>2.1875738800000004</v>
      </c>
      <c r="AP405" s="141">
        <f>Pat.!AO24</f>
        <v>2.3069781100000002</v>
      </c>
      <c r="AQ405" s="141">
        <f>Pat.!AP24</f>
        <v>2.4328997700000006</v>
      </c>
      <c r="AR405" s="149"/>
      <c r="AS405" s="149"/>
    </row>
    <row r="406" spans="1:45">
      <c r="A406" s="422">
        <f t="shared" si="281"/>
        <v>404</v>
      </c>
      <c r="B406" s="126" t="s">
        <v>306</v>
      </c>
      <c r="C406" s="141"/>
      <c r="D406" s="141"/>
      <c r="E406" s="141"/>
      <c r="F406" s="524"/>
      <c r="G406" s="156">
        <f>G407-G405</f>
        <v>0</v>
      </c>
      <c r="H406" s="156">
        <f t="shared" ref="H406:R406" si="284">H407-H405</f>
        <v>0.57305052604208329</v>
      </c>
      <c r="I406" s="156">
        <f t="shared" si="284"/>
        <v>0</v>
      </c>
      <c r="J406" s="156">
        <f t="shared" si="284"/>
        <v>0</v>
      </c>
      <c r="K406" s="156">
        <f t="shared" si="284"/>
        <v>0.56883660999999996</v>
      </c>
      <c r="L406" s="156">
        <f t="shared" si="284"/>
        <v>0</v>
      </c>
      <c r="M406" s="156">
        <f t="shared" si="284"/>
        <v>0</v>
      </c>
      <c r="N406" s="156">
        <f t="shared" si="284"/>
        <v>0.56456632999999989</v>
      </c>
      <c r="O406" s="156">
        <f t="shared" si="284"/>
        <v>0</v>
      </c>
      <c r="P406" s="156">
        <f t="shared" si="284"/>
        <v>0</v>
      </c>
      <c r="Q406" s="156">
        <f t="shared" si="284"/>
        <v>0.56023893999999985</v>
      </c>
      <c r="R406" s="156">
        <f t="shared" si="284"/>
        <v>0</v>
      </c>
      <c r="S406" s="524">
        <f>SUM(G406:R406)</f>
        <v>2.266692406042083</v>
      </c>
      <c r="T406" s="156">
        <f>T407-T405</f>
        <v>0</v>
      </c>
      <c r="U406" s="156">
        <f t="shared" ref="U406:AD406" si="285">U407-U405</f>
        <v>0.55585367000000008</v>
      </c>
      <c r="V406" s="156">
        <f t="shared" si="285"/>
        <v>0</v>
      </c>
      <c r="W406" s="156">
        <f t="shared" si="285"/>
        <v>0</v>
      </c>
      <c r="X406" s="156">
        <f t="shared" si="285"/>
        <v>0.55140973999999998</v>
      </c>
      <c r="Y406" s="156">
        <f t="shared" si="285"/>
        <v>0</v>
      </c>
      <c r="Z406" s="156">
        <f t="shared" si="285"/>
        <v>0</v>
      </c>
      <c r="AA406" s="156">
        <f t="shared" si="285"/>
        <v>0.54690638000000003</v>
      </c>
      <c r="AB406" s="156">
        <f t="shared" si="285"/>
        <v>0</v>
      </c>
      <c r="AC406" s="156">
        <f t="shared" si="285"/>
        <v>0</v>
      </c>
      <c r="AD406" s="156">
        <f t="shared" si="285"/>
        <v>0.54234278999999996</v>
      </c>
      <c r="AE406" s="156">
        <f>AE407-AE405</f>
        <v>0</v>
      </c>
      <c r="AF406" s="524">
        <f>SUM(T406:AE406)</f>
        <v>2.1965125800000003</v>
      </c>
      <c r="AG406" s="156">
        <f>AG407-AG405</f>
        <v>2.1225021399999999</v>
      </c>
      <c r="AH406" s="156">
        <f t="shared" ref="AH406:AQ406" si="286">AH407-AH405</f>
        <v>2.0444519999999997</v>
      </c>
      <c r="AI406" s="156">
        <f t="shared" si="286"/>
        <v>1.9621416299999999</v>
      </c>
      <c r="AJ406" s="156">
        <f t="shared" si="286"/>
        <v>1.8753385399999996</v>
      </c>
      <c r="AK406" s="156">
        <f t="shared" si="286"/>
        <v>1.7837974499999998</v>
      </c>
      <c r="AL406" s="156">
        <f t="shared" si="286"/>
        <v>1.6872598099999998</v>
      </c>
      <c r="AM406" s="156">
        <f t="shared" si="286"/>
        <v>1.58545285</v>
      </c>
      <c r="AN406" s="156">
        <f t="shared" si="286"/>
        <v>1.47808896</v>
      </c>
      <c r="AO406" s="156">
        <f t="shared" si="286"/>
        <v>1.3648648399999996</v>
      </c>
      <c r="AP406" s="156">
        <f t="shared" si="286"/>
        <v>1.2454606099999999</v>
      </c>
      <c r="AQ406" s="156">
        <f t="shared" si="286"/>
        <v>1.1195389499999995</v>
      </c>
      <c r="AR406" s="149"/>
      <c r="AS406" s="149"/>
    </row>
    <row r="407" spans="1:45" ht="15.75" thickBot="1">
      <c r="A407" s="422">
        <f t="shared" si="281"/>
        <v>405</v>
      </c>
      <c r="B407" s="126" t="s">
        <v>335</v>
      </c>
      <c r="C407" s="152"/>
      <c r="D407" s="152"/>
      <c r="E407" s="152"/>
      <c r="F407" s="525"/>
      <c r="G407" s="152">
        <f>Pat.!F25</f>
        <v>0</v>
      </c>
      <c r="H407" s="152">
        <f>Pat.!G25</f>
        <v>0.88810968000000001</v>
      </c>
      <c r="I407" s="152">
        <f>Pat.!H25</f>
        <v>0</v>
      </c>
      <c r="J407" s="152">
        <f>Pat.!I25</f>
        <v>0</v>
      </c>
      <c r="K407" s="152">
        <f>Pat.!J25</f>
        <v>0.88810968000000001</v>
      </c>
      <c r="L407" s="152">
        <f>Pat.!K25</f>
        <v>0</v>
      </c>
      <c r="M407" s="152">
        <f>Pat.!L25</f>
        <v>0</v>
      </c>
      <c r="N407" s="152">
        <f>Pat.!M25</f>
        <v>0.88810968000000001</v>
      </c>
      <c r="O407" s="152">
        <f>Pat.!N25</f>
        <v>0</v>
      </c>
      <c r="P407" s="152">
        <f>Pat.!O25</f>
        <v>0</v>
      </c>
      <c r="Q407" s="152">
        <f>Pat.!P25</f>
        <v>0.88810968000000001</v>
      </c>
      <c r="R407" s="152">
        <f>Pat.!Q25</f>
        <v>0</v>
      </c>
      <c r="S407" s="525">
        <f>SUM(G407:R407)</f>
        <v>3.55243872</v>
      </c>
      <c r="T407" s="152">
        <f>Pat.!S25</f>
        <v>0</v>
      </c>
      <c r="U407" s="152">
        <f>Pat.!T25</f>
        <v>0.88810968000000001</v>
      </c>
      <c r="V407" s="152">
        <f>Pat.!U25</f>
        <v>0</v>
      </c>
      <c r="W407" s="152">
        <f>Pat.!V25</f>
        <v>0</v>
      </c>
      <c r="X407" s="152">
        <f>Pat.!W25</f>
        <v>0.88810968000000001</v>
      </c>
      <c r="Y407" s="152">
        <f>Pat.!X25</f>
        <v>0</v>
      </c>
      <c r="Z407" s="152">
        <f>Pat.!Y25</f>
        <v>0</v>
      </c>
      <c r="AA407" s="152">
        <f>Pat.!Z25</f>
        <v>0.88810968000000001</v>
      </c>
      <c r="AB407" s="152">
        <f>Pat.!AA25</f>
        <v>0</v>
      </c>
      <c r="AC407" s="152">
        <f>Pat.!AB25</f>
        <v>0</v>
      </c>
      <c r="AD407" s="152">
        <f>Pat.!AC25</f>
        <v>0.88810968000000001</v>
      </c>
      <c r="AE407" s="152">
        <f>Pat.!AD25</f>
        <v>0</v>
      </c>
      <c r="AF407" s="525">
        <f>SUM(T407:AE407)</f>
        <v>3.55243872</v>
      </c>
      <c r="AG407" s="152">
        <f>Pat.!AF25</f>
        <v>3.55243872</v>
      </c>
      <c r="AH407" s="152">
        <f>Pat.!AG25</f>
        <v>3.55243872</v>
      </c>
      <c r="AI407" s="152">
        <f>Pat.!AH25</f>
        <v>3.55243872</v>
      </c>
      <c r="AJ407" s="152">
        <f>Pat.!AI25</f>
        <v>3.55243872</v>
      </c>
      <c r="AK407" s="152">
        <f>Pat.!AJ25</f>
        <v>3.55243872</v>
      </c>
      <c r="AL407" s="152">
        <f>Pat.!AK25</f>
        <v>3.55243872</v>
      </c>
      <c r="AM407" s="152">
        <f>Pat.!AL25</f>
        <v>3.55243872</v>
      </c>
      <c r="AN407" s="152">
        <f>Pat.!AM25</f>
        <v>3.55243872</v>
      </c>
      <c r="AO407" s="152">
        <f>Pat.!AN25</f>
        <v>3.55243872</v>
      </c>
      <c r="AP407" s="152">
        <f>Pat.!AO25</f>
        <v>3.55243872</v>
      </c>
      <c r="AQ407" s="152">
        <f>Pat.!AP25</f>
        <v>3.55243872</v>
      </c>
      <c r="AR407" s="149"/>
      <c r="AS407" s="149"/>
    </row>
    <row r="408" spans="1:45" ht="15.75" thickTop="1">
      <c r="A408" s="422">
        <f t="shared" si="281"/>
        <v>406</v>
      </c>
      <c r="B408" s="126"/>
      <c r="C408" s="141"/>
      <c r="D408" s="141"/>
      <c r="E408" s="141"/>
      <c r="F408" s="524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524"/>
      <c r="T408" s="141"/>
      <c r="U408" s="141"/>
      <c r="V408" s="141"/>
      <c r="W408" s="141"/>
      <c r="X408" s="141"/>
      <c r="Y408" s="141"/>
      <c r="Z408" s="141"/>
      <c r="AA408" s="141"/>
      <c r="AB408" s="141"/>
      <c r="AC408" s="141"/>
      <c r="AD408" s="141"/>
      <c r="AE408" s="141"/>
      <c r="AF408" s="5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30"/>
      <c r="AS408" s="130"/>
    </row>
    <row r="409" spans="1:45">
      <c r="A409" s="422">
        <f t="shared" si="281"/>
        <v>407</v>
      </c>
      <c r="B409" s="126"/>
      <c r="C409" s="141"/>
      <c r="D409" s="141"/>
      <c r="E409" s="141"/>
      <c r="F409" s="524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524"/>
      <c r="T409" s="141"/>
      <c r="U409" s="141"/>
      <c r="V409" s="141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5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30"/>
      <c r="AS409" s="130"/>
    </row>
    <row r="410" spans="1:45">
      <c r="A410" s="422">
        <f t="shared" si="281"/>
        <v>408</v>
      </c>
      <c r="B410" s="143" t="s">
        <v>131</v>
      </c>
      <c r="C410" s="141"/>
      <c r="D410" s="141"/>
      <c r="E410" s="141"/>
      <c r="F410" s="524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524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41"/>
      <c r="AD410" s="141"/>
      <c r="AE410" s="141"/>
      <c r="AF410" s="5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30"/>
      <c r="AS410" s="130"/>
    </row>
    <row r="411" spans="1:45">
      <c r="A411" s="422">
        <f t="shared" si="281"/>
        <v>409</v>
      </c>
      <c r="B411" s="126" t="s">
        <v>334</v>
      </c>
      <c r="C411" s="141"/>
      <c r="D411" s="141"/>
      <c r="E411" s="141"/>
      <c r="F411" s="524"/>
      <c r="G411" s="141">
        <f>G359+G365+G371+G377+G383+G390+G397+G404</f>
        <v>925.24393489000011</v>
      </c>
      <c r="H411" s="141">
        <f t="shared" ref="H411:R411" si="287">H359+H365+H371+H377+H383+H390+H397+H404</f>
        <v>925.25497383000027</v>
      </c>
      <c r="I411" s="141">
        <f t="shared" si="287"/>
        <v>921.42644458604229</v>
      </c>
      <c r="J411" s="141">
        <f t="shared" si="287"/>
        <v>926.4816012760424</v>
      </c>
      <c r="K411" s="141">
        <f t="shared" si="287"/>
        <v>926.4923508260423</v>
      </c>
      <c r="L411" s="141">
        <f t="shared" si="287"/>
        <v>922.63281745604229</v>
      </c>
      <c r="M411" s="141">
        <f t="shared" si="287"/>
        <v>932.23902888604232</v>
      </c>
      <c r="N411" s="141">
        <f t="shared" si="287"/>
        <v>932.25017639604232</v>
      </c>
      <c r="O411" s="141">
        <f t="shared" si="287"/>
        <v>929.24572841604231</v>
      </c>
      <c r="P411" s="141">
        <f t="shared" si="287"/>
        <v>946.14402712604237</v>
      </c>
      <c r="Q411" s="141">
        <f t="shared" si="287"/>
        <v>946.15546109604236</v>
      </c>
      <c r="R411" s="141">
        <f t="shared" si="287"/>
        <v>943.12590868604241</v>
      </c>
      <c r="S411" s="524">
        <f>G411</f>
        <v>925.24393489000011</v>
      </c>
      <c r="T411" s="141">
        <f>T359+T365+T371+T377+T383+T390+T397+T404</f>
        <v>943.23074710604237</v>
      </c>
      <c r="U411" s="141">
        <f t="shared" ref="U411:AE411" si="288">U359+U365+U371+U377+U383+U390+U397+U404</f>
        <v>952.24247537604242</v>
      </c>
      <c r="V411" s="141">
        <f t="shared" si="288"/>
        <v>949.18759967604228</v>
      </c>
      <c r="W411" s="141">
        <f t="shared" si="288"/>
        <v>958.25526587604236</v>
      </c>
      <c r="X411" s="141">
        <f t="shared" si="288"/>
        <v>958.26665659604237</v>
      </c>
      <c r="Y411" s="141">
        <f t="shared" si="288"/>
        <v>955.1862366460424</v>
      </c>
      <c r="Z411" s="141">
        <f t="shared" si="288"/>
        <v>959.39673723604221</v>
      </c>
      <c r="AA411" s="141">
        <f t="shared" si="288"/>
        <v>959.40854963604227</v>
      </c>
      <c r="AB411" s="141">
        <f t="shared" si="288"/>
        <v>956.30668490604228</v>
      </c>
      <c r="AC411" s="141">
        <f t="shared" si="288"/>
        <v>960.07111577604246</v>
      </c>
      <c r="AD411" s="141">
        <f t="shared" si="288"/>
        <v>960.08323173604242</v>
      </c>
      <c r="AE411" s="141">
        <f t="shared" si="288"/>
        <v>956.95540829604226</v>
      </c>
      <c r="AF411" s="524">
        <f>T411</f>
        <v>943.23074710604237</v>
      </c>
      <c r="AG411" s="141">
        <f>AG359+AG365+AG371+AG377+AG383+AG390+AG397+AG404</f>
        <v>957.08700765604226</v>
      </c>
      <c r="AH411" s="141">
        <f t="shared" ref="AH411:AQ411" si="289">AH359+AH365+AH371+AH377+AH383+AH390+AH397+AH404</f>
        <v>942.90047395604245</v>
      </c>
      <c r="AI411" s="141">
        <f t="shared" si="289"/>
        <v>926.91235351825526</v>
      </c>
      <c r="AJ411" s="141">
        <f t="shared" si="289"/>
        <v>910.4396278986344</v>
      </c>
      <c r="AK411" s="141">
        <f t="shared" si="289"/>
        <v>893.45662827272497</v>
      </c>
      <c r="AL411" s="141">
        <f t="shared" si="289"/>
        <v>873.5251677969386</v>
      </c>
      <c r="AM411" s="141">
        <f t="shared" si="289"/>
        <v>811.75338625687846</v>
      </c>
      <c r="AN411" s="141">
        <f t="shared" si="289"/>
        <v>758.5444727320164</v>
      </c>
      <c r="AO411" s="141">
        <f t="shared" si="289"/>
        <v>739.05222695570842</v>
      </c>
      <c r="AP411" s="141">
        <f t="shared" si="289"/>
        <v>918.84319278951136</v>
      </c>
      <c r="AQ411" s="141">
        <f t="shared" si="289"/>
        <v>883.33490705072813</v>
      </c>
      <c r="AR411" s="149"/>
      <c r="AS411" s="149"/>
    </row>
    <row r="412" spans="1:45">
      <c r="A412" s="422">
        <f t="shared" si="281"/>
        <v>410</v>
      </c>
      <c r="B412" s="126" t="s">
        <v>305</v>
      </c>
      <c r="C412" s="141"/>
      <c r="D412" s="141"/>
      <c r="E412" s="141"/>
      <c r="F412" s="524"/>
      <c r="G412" s="141">
        <f>+G360+G366+G372+G378+G384+G391+G398+G405</f>
        <v>0</v>
      </c>
      <c r="H412" s="141">
        <f t="shared" ref="H412:R412" si="290">+H360+H366+H372+H378+H384+H391+H398+H405</f>
        <v>3.8285292439579179</v>
      </c>
      <c r="I412" s="141">
        <f t="shared" si="290"/>
        <v>-3.1915480000000001</v>
      </c>
      <c r="J412" s="141">
        <f t="shared" si="290"/>
        <v>0</v>
      </c>
      <c r="K412" s="141">
        <f t="shared" si="290"/>
        <v>3.8595333700000003</v>
      </c>
      <c r="L412" s="141">
        <f t="shared" si="290"/>
        <v>-7.6949539999999992</v>
      </c>
      <c r="M412" s="141">
        <f t="shared" si="290"/>
        <v>0</v>
      </c>
      <c r="N412" s="141">
        <f t="shared" si="290"/>
        <v>3.0044479800000006</v>
      </c>
      <c r="O412" s="141">
        <f t="shared" si="290"/>
        <v>-14.938104000000001</v>
      </c>
      <c r="P412" s="141">
        <f t="shared" si="290"/>
        <v>0</v>
      </c>
      <c r="Q412" s="141">
        <f t="shared" si="290"/>
        <v>3.0295524099999995</v>
      </c>
      <c r="R412" s="141">
        <f t="shared" si="290"/>
        <v>1.8840060000000001</v>
      </c>
      <c r="S412" s="524">
        <f>SUM(G412:R412)</f>
        <v>-10.218536996042083</v>
      </c>
      <c r="T412" s="141">
        <f>+T360+T366+T372+T378+T384+T391+T398+T405</f>
        <v>-9</v>
      </c>
      <c r="U412" s="141">
        <f t="shared" ref="U412:AQ412" si="291">+U360+U366+U372+U378+U384+U391+U398+U405</f>
        <v>3.0548756999999993</v>
      </c>
      <c r="V412" s="141">
        <f t="shared" si="291"/>
        <v>-7.0936209999999997</v>
      </c>
      <c r="W412" s="141">
        <f t="shared" si="291"/>
        <v>0</v>
      </c>
      <c r="X412" s="141">
        <f t="shared" si="291"/>
        <v>3.08041995</v>
      </c>
      <c r="Y412" s="141">
        <f t="shared" si="291"/>
        <v>-2.1859830000000002</v>
      </c>
      <c r="Z412" s="141">
        <f t="shared" si="291"/>
        <v>0</v>
      </c>
      <c r="AA412" s="141">
        <f t="shared" si="291"/>
        <v>3.1018647300000008</v>
      </c>
      <c r="AB412" s="141">
        <f t="shared" si="291"/>
        <v>-1.6880760000000006</v>
      </c>
      <c r="AC412" s="141">
        <f t="shared" si="291"/>
        <v>0</v>
      </c>
      <c r="AD412" s="141">
        <f t="shared" si="291"/>
        <v>3.1278234400000002</v>
      </c>
      <c r="AE412" s="141">
        <f t="shared" si="291"/>
        <v>1.9751030000000001</v>
      </c>
      <c r="AF412" s="524">
        <f>SUM(T412:AE412)</f>
        <v>-5.6275931800000007</v>
      </c>
      <c r="AG412" s="141">
        <f t="shared" si="291"/>
        <v>22.902846010000001</v>
      </c>
      <c r="AH412" s="141">
        <f t="shared" si="291"/>
        <v>25.221311457787145</v>
      </c>
      <c r="AI412" s="141">
        <f t="shared" si="291"/>
        <v>26.252561599620762</v>
      </c>
      <c r="AJ412" s="141">
        <f t="shared" si="291"/>
        <v>27.342434175909379</v>
      </c>
      <c r="AK412" s="141">
        <f t="shared" si="291"/>
        <v>30.888791945786455</v>
      </c>
      <c r="AL412" s="141">
        <f t="shared" si="291"/>
        <v>73.329009690060232</v>
      </c>
      <c r="AM412" s="141">
        <f t="shared" si="291"/>
        <v>65.451012784862058</v>
      </c>
      <c r="AN412" s="141">
        <f t="shared" si="291"/>
        <v>32.459805716307926</v>
      </c>
      <c r="AO412" s="141">
        <f t="shared" si="291"/>
        <v>-166.05495494380284</v>
      </c>
      <c r="AP412" s="141">
        <f t="shared" si="291"/>
        <v>35.508285738783094</v>
      </c>
      <c r="AQ412" s="141">
        <f t="shared" si="291"/>
        <v>37.162457318646581</v>
      </c>
      <c r="AR412" s="149"/>
      <c r="AS412" s="149"/>
    </row>
    <row r="413" spans="1:45">
      <c r="A413" s="422">
        <f t="shared" si="281"/>
        <v>411</v>
      </c>
      <c r="B413" s="126" t="s">
        <v>306</v>
      </c>
      <c r="C413" s="141"/>
      <c r="D413" s="141"/>
      <c r="E413" s="141"/>
      <c r="F413" s="524"/>
      <c r="G413" s="141">
        <f>G415-G412-G414</f>
        <v>3.6755841799997615</v>
      </c>
      <c r="H413" s="141">
        <f>H415-H412-H414</f>
        <v>3.8084895960420835</v>
      </c>
      <c r="I413" s="141">
        <f t="shared" ref="I413:R413" si="292">I415-I412-I414</f>
        <v>2.4878388200000003</v>
      </c>
      <c r="J413" s="141">
        <f>J415-J412-J414</f>
        <v>1.1280372100000002</v>
      </c>
      <c r="K413" s="141">
        <f t="shared" si="292"/>
        <v>3.8481889000000011</v>
      </c>
      <c r="L413" s="141">
        <f t="shared" si="292"/>
        <v>4.0276879747945191</v>
      </c>
      <c r="M413" s="141">
        <f t="shared" si="292"/>
        <v>3.6533863599999998</v>
      </c>
      <c r="N413" s="141">
        <f t="shared" si="292"/>
        <v>3.8162331100000002</v>
      </c>
      <c r="O413" s="141">
        <f t="shared" si="292"/>
        <v>2.6164215839726008</v>
      </c>
      <c r="P413" s="141">
        <f>P415-P412-P414</f>
        <v>1.1660609399999999</v>
      </c>
      <c r="Q413" s="141">
        <f t="shared" si="292"/>
        <v>3.7566983900000008</v>
      </c>
      <c r="R413" s="141">
        <f t="shared" si="292"/>
        <v>4.486997030410957</v>
      </c>
      <c r="S413" s="524">
        <f>SUM(G413:R413)</f>
        <v>38.471624095219923</v>
      </c>
      <c r="T413" s="141">
        <f>T415-T412-T414</f>
        <v>3.6787355100000001</v>
      </c>
      <c r="U413" s="141">
        <f t="shared" ref="U413:AB413" si="293">U415-U412-U414</f>
        <v>3.6969447900000008</v>
      </c>
      <c r="V413" s="141">
        <f t="shared" si="293"/>
        <v>2.6290735847945204</v>
      </c>
      <c r="W413" s="141">
        <f t="shared" si="293"/>
        <v>1.12803721</v>
      </c>
      <c r="X413" s="141">
        <f t="shared" si="293"/>
        <v>3.7402611400000008</v>
      </c>
      <c r="Y413" s="141">
        <f t="shared" si="293"/>
        <v>4.5508299968493153</v>
      </c>
      <c r="Z413" s="141">
        <f t="shared" si="293"/>
        <v>3.6533863599999998</v>
      </c>
      <c r="AA413" s="141">
        <f t="shared" si="293"/>
        <v>3.7137823399999998</v>
      </c>
      <c r="AB413" s="141">
        <f t="shared" si="293"/>
        <v>2.8416266124657534</v>
      </c>
      <c r="AC413" s="141">
        <f>AC415-AC412-AC414</f>
        <v>1.1660609399999999</v>
      </c>
      <c r="AD413" s="141">
        <f>AD415-AD412-AD414</f>
        <v>3.6543421700000005</v>
      </c>
      <c r="AE413" s="141">
        <f>AE415-AE412-AE414</f>
        <v>4.6117015160273978</v>
      </c>
      <c r="AF413" s="524">
        <f>SUM(T413:AE413)</f>
        <v>39.064782170136986</v>
      </c>
      <c r="AG413" s="141">
        <f>AG415-AG412-AG414</f>
        <v>38.406000359999993</v>
      </c>
      <c r="AH413" s="141">
        <f t="shared" ref="AH413:AQ413" si="294">AH415-AH412-AH414</f>
        <v>37.562512039999994</v>
      </c>
      <c r="AI413" s="141">
        <f t="shared" si="294"/>
        <v>36.43309545816637</v>
      </c>
      <c r="AJ413" s="141">
        <f t="shared" si="294"/>
        <v>35.344711461877765</v>
      </c>
      <c r="AK413" s="141">
        <f t="shared" si="294"/>
        <v>34.206043962000479</v>
      </c>
      <c r="AL413" s="141">
        <f t="shared" si="294"/>
        <v>31.984261467726895</v>
      </c>
      <c r="AM413" s="141">
        <f t="shared" si="294"/>
        <v>28.016451532925061</v>
      </c>
      <c r="AN413" s="141">
        <f t="shared" si="294"/>
        <v>25.600545811479218</v>
      </c>
      <c r="AO413" s="141">
        <f t="shared" si="294"/>
        <v>24.114480941589989</v>
      </c>
      <c r="AP413" s="141">
        <f t="shared" si="294"/>
        <v>49.31718226700405</v>
      </c>
      <c r="AQ413" s="141">
        <f t="shared" si="294"/>
        <v>47.628552997140552</v>
      </c>
      <c r="AR413" s="149"/>
      <c r="AS413" s="149"/>
    </row>
    <row r="414" spans="1:45">
      <c r="A414" s="422">
        <f t="shared" si="281"/>
        <v>412</v>
      </c>
      <c r="B414" s="126" t="s">
        <v>338</v>
      </c>
      <c r="C414" s="149"/>
      <c r="D414" s="149"/>
      <c r="E414" s="149"/>
      <c r="F414" s="524"/>
      <c r="G414" s="149">
        <f>Debt!P143</f>
        <v>0</v>
      </c>
      <c r="H414" s="149">
        <f>Debt!Q143</f>
        <v>0</v>
      </c>
      <c r="I414" s="149">
        <f>Debt!R143</f>
        <v>0</v>
      </c>
      <c r="J414" s="149">
        <f>Debt!S143</f>
        <v>0</v>
      </c>
      <c r="K414" s="149">
        <f>Debt!T143</f>
        <v>0</v>
      </c>
      <c r="L414" s="149">
        <f>Debt!U143</f>
        <v>0</v>
      </c>
      <c r="M414" s="149">
        <f>Debt!V143</f>
        <v>0</v>
      </c>
      <c r="N414" s="149">
        <f>Debt!W143</f>
        <v>0</v>
      </c>
      <c r="O414" s="149">
        <f>Debt!X143</f>
        <v>0</v>
      </c>
      <c r="P414" s="149">
        <f>Debt!Y143</f>
        <v>0</v>
      </c>
      <c r="Q414" s="149">
        <f>Debt!Z143</f>
        <v>0</v>
      </c>
      <c r="R414" s="149">
        <f>Debt!AA143</f>
        <v>0</v>
      </c>
      <c r="S414" s="524">
        <f>SUM(G414:R414)</f>
        <v>0</v>
      </c>
      <c r="T414" s="149">
        <f>Debt!AC143</f>
        <v>0</v>
      </c>
      <c r="U414" s="149">
        <f>Debt!AD143</f>
        <v>0</v>
      </c>
      <c r="V414" s="149">
        <f>Debt!AE143</f>
        <v>0</v>
      </c>
      <c r="W414" s="149">
        <f>Debt!AF143</f>
        <v>0</v>
      </c>
      <c r="X414" s="149">
        <f>Debt!AG143</f>
        <v>0</v>
      </c>
      <c r="Y414" s="149">
        <f>Debt!AH143</f>
        <v>0</v>
      </c>
      <c r="Z414" s="149">
        <f>Debt!AI143</f>
        <v>0.125</v>
      </c>
      <c r="AA414" s="149">
        <f>Debt!AJ143</f>
        <v>0</v>
      </c>
      <c r="AB414" s="149">
        <f>Debt!AK143</f>
        <v>0</v>
      </c>
      <c r="AC414" s="149">
        <f>Debt!AL143</f>
        <v>0</v>
      </c>
      <c r="AD414" s="149">
        <f>Debt!AM143</f>
        <v>0</v>
      </c>
      <c r="AE414" s="149">
        <f>Debt!AN143</f>
        <v>0</v>
      </c>
      <c r="AF414" s="524">
        <f>SUM(T414:AE414)</f>
        <v>0.125</v>
      </c>
      <c r="AG414" s="130">
        <f>Debt!AP143</f>
        <v>0</v>
      </c>
      <c r="AH414" s="130">
        <f>Debt!AQ143</f>
        <v>0</v>
      </c>
      <c r="AI414" s="130">
        <f>Debt!AR143</f>
        <v>0.2</v>
      </c>
      <c r="AJ414" s="130">
        <f>Debt!AS143</f>
        <v>0</v>
      </c>
      <c r="AK414" s="130">
        <f>Debt!AT143</f>
        <v>0.125</v>
      </c>
      <c r="AL414" s="130">
        <f>Debt!AU143</f>
        <v>0</v>
      </c>
      <c r="AM414" s="130">
        <f>Debt!AV143</f>
        <v>0</v>
      </c>
      <c r="AN414" s="130">
        <f>Debt!AW143</f>
        <v>0.2</v>
      </c>
      <c r="AO414" s="130">
        <f>Debt!AX143</f>
        <v>0</v>
      </c>
      <c r="AP414" s="130">
        <f>Debt!AY143</f>
        <v>0.125</v>
      </c>
      <c r="AQ414" s="130">
        <f>Debt!AZ143</f>
        <v>0</v>
      </c>
      <c r="AR414" s="130"/>
      <c r="AS414" s="130"/>
    </row>
    <row r="415" spans="1:45" ht="15.75" thickBot="1">
      <c r="A415" s="422">
        <f t="shared" si="281"/>
        <v>413</v>
      </c>
      <c r="B415" s="126" t="s">
        <v>335</v>
      </c>
      <c r="C415" s="152"/>
      <c r="D415" s="152"/>
      <c r="E415" s="152"/>
      <c r="F415" s="525"/>
      <c r="G415" s="152">
        <f>G362+G368+G374+G380+G386+G393+G400+G414+G407</f>
        <v>3.6755841799997615</v>
      </c>
      <c r="H415" s="152">
        <f t="shared" ref="H415:R415" si="295">H362+H368+H374+H380+H386+H393+H400+H414+H407</f>
        <v>7.6370188400000014</v>
      </c>
      <c r="I415" s="152">
        <f t="shared" si="295"/>
        <v>-0.70370917999999971</v>
      </c>
      <c r="J415" s="152">
        <f t="shared" si="295"/>
        <v>1.1280372100000002</v>
      </c>
      <c r="K415" s="152">
        <f t="shared" si="295"/>
        <v>7.7077222700000014</v>
      </c>
      <c r="L415" s="152">
        <f t="shared" si="295"/>
        <v>-3.6672660252054801</v>
      </c>
      <c r="M415" s="152">
        <f t="shared" si="295"/>
        <v>3.6533863599999998</v>
      </c>
      <c r="N415" s="152">
        <f t="shared" si="295"/>
        <v>6.8206810900000008</v>
      </c>
      <c r="O415" s="152">
        <f t="shared" si="295"/>
        <v>-12.3216824160274</v>
      </c>
      <c r="P415" s="152">
        <f t="shared" si="295"/>
        <v>1.1660609399999999</v>
      </c>
      <c r="Q415" s="152">
        <f t="shared" si="295"/>
        <v>6.7862508000000004</v>
      </c>
      <c r="R415" s="152">
        <f t="shared" si="295"/>
        <v>6.3710030304109573</v>
      </c>
      <c r="S415" s="525">
        <f>SUM(G415:R415)</f>
        <v>28.253087099177844</v>
      </c>
      <c r="T415" s="152">
        <f t="shared" ref="T415:AE415" si="296">T362+T368+T374+T380+T386+T393+T400+T414+T407</f>
        <v>-5.3212644899999999</v>
      </c>
      <c r="U415" s="152">
        <f t="shared" si="296"/>
        <v>6.7518204900000001</v>
      </c>
      <c r="V415" s="152">
        <f t="shared" si="296"/>
        <v>-4.4645474152054794</v>
      </c>
      <c r="W415" s="152">
        <f t="shared" si="296"/>
        <v>1.12803721</v>
      </c>
      <c r="X415" s="152">
        <f t="shared" si="296"/>
        <v>6.8206810900000008</v>
      </c>
      <c r="Y415" s="152">
        <f t="shared" si="296"/>
        <v>2.3648469968493151</v>
      </c>
      <c r="Z415" s="152">
        <f t="shared" si="296"/>
        <v>3.7783863599999998</v>
      </c>
      <c r="AA415" s="152">
        <f t="shared" si="296"/>
        <v>6.8156470700000007</v>
      </c>
      <c r="AB415" s="152">
        <f t="shared" si="296"/>
        <v>1.1535506124657529</v>
      </c>
      <c r="AC415" s="152">
        <f t="shared" si="296"/>
        <v>1.1660609399999999</v>
      </c>
      <c r="AD415" s="152">
        <f t="shared" si="296"/>
        <v>6.7821656100000007</v>
      </c>
      <c r="AE415" s="152">
        <f t="shared" si="296"/>
        <v>6.5868045160273976</v>
      </c>
      <c r="AF415" s="525">
        <f>SUM(T415:AE415)</f>
        <v>33.562188990136988</v>
      </c>
      <c r="AG415" s="152">
        <f>AG362+AG368+AG374+AG380+AG386+AG393+AG400+AG414+AG407</f>
        <v>61.308846369999998</v>
      </c>
      <c r="AH415" s="152">
        <f t="shared" ref="AH415:AQ415" si="297">AH362+AH368+AH374+AH380+AH386+AH393+AH400+AH414+AH407</f>
        <v>62.783823497787139</v>
      </c>
      <c r="AI415" s="152">
        <f t="shared" si="297"/>
        <v>62.885657057787135</v>
      </c>
      <c r="AJ415" s="152">
        <f t="shared" si="297"/>
        <v>62.687145637787147</v>
      </c>
      <c r="AK415" s="152">
        <f t="shared" si="297"/>
        <v>65.21983590778693</v>
      </c>
      <c r="AL415" s="152">
        <f t="shared" si="297"/>
        <v>105.31327115778713</v>
      </c>
      <c r="AM415" s="152">
        <f t="shared" si="297"/>
        <v>93.467464317787119</v>
      </c>
      <c r="AN415" s="152">
        <f t="shared" si="297"/>
        <v>58.260351527787144</v>
      </c>
      <c r="AO415" s="152">
        <f t="shared" si="297"/>
        <v>-141.94047400221285</v>
      </c>
      <c r="AP415" s="152">
        <f t="shared" si="297"/>
        <v>84.950468005787144</v>
      </c>
      <c r="AQ415" s="152">
        <f t="shared" si="297"/>
        <v>84.791010315787133</v>
      </c>
      <c r="AR415" s="149"/>
      <c r="AS415" s="149"/>
    </row>
    <row r="416" spans="1:45" ht="15.75" thickTop="1">
      <c r="A416" s="422">
        <f t="shared" si="281"/>
        <v>414</v>
      </c>
      <c r="B416" s="126" t="s">
        <v>290</v>
      </c>
      <c r="G416" s="141">
        <f>+G363+G369+G375+G381+G387+G394+G401+G408</f>
        <v>1.1038940000236034E-2</v>
      </c>
      <c r="H416" s="141">
        <f>+H363+H369+H375+H381+H387+H394+H401+H408</f>
        <v>0</v>
      </c>
      <c r="I416" s="141">
        <f t="shared" ref="I416:R416" si="298">+I363+I369+I375+I381+I387+I394+I401+I408</f>
        <v>1.86360869</v>
      </c>
      <c r="J416" s="141">
        <f t="shared" si="298"/>
        <v>1.0749549999999886E-2</v>
      </c>
      <c r="K416" s="141">
        <f t="shared" si="298"/>
        <v>0</v>
      </c>
      <c r="L416" s="141">
        <f t="shared" si="298"/>
        <v>1.91125743</v>
      </c>
      <c r="M416" s="141">
        <f t="shared" si="298"/>
        <v>1.1147510000000027E-2</v>
      </c>
      <c r="N416" s="141">
        <f t="shared" si="298"/>
        <v>0</v>
      </c>
      <c r="O416" s="141">
        <f t="shared" si="298"/>
        <v>1.9601947100000001</v>
      </c>
      <c r="P416" s="141">
        <f t="shared" si="298"/>
        <v>1.1433969999999904E-2</v>
      </c>
      <c r="Q416" s="141">
        <f t="shared" si="298"/>
        <v>0</v>
      </c>
      <c r="R416" s="141">
        <f t="shared" si="298"/>
        <v>1.9888444199999999</v>
      </c>
      <c r="S416" s="526">
        <f>SUM(G416:R416)</f>
        <v>7.7682752200002358</v>
      </c>
      <c r="T416" s="141">
        <f>+T363+T369+T375+T381+T387+T394+T401+T408</f>
        <v>1.1728270000000096E-2</v>
      </c>
      <c r="U416" s="141">
        <f>+U363+U369+U375+U381+U387+U394+U401+U408</f>
        <v>0</v>
      </c>
      <c r="V416" s="141">
        <f t="shared" ref="V416:AE416" si="299">+V363+V369+V375+V381+V387+V394+V401+V408</f>
        <v>1.9740452000000002</v>
      </c>
      <c r="W416" s="141">
        <f t="shared" si="299"/>
        <v>1.1390720000000076E-2</v>
      </c>
      <c r="X416" s="141">
        <f t="shared" si="299"/>
        <v>0</v>
      </c>
      <c r="Y416" s="141">
        <f t="shared" si="299"/>
        <v>2.0245175900000003</v>
      </c>
      <c r="Z416" s="141">
        <f t="shared" si="299"/>
        <v>1.1812399999999945E-2</v>
      </c>
      <c r="AA416" s="141">
        <f t="shared" si="299"/>
        <v>0</v>
      </c>
      <c r="AB416" s="141">
        <f t="shared" si="299"/>
        <v>2.0763548700000003</v>
      </c>
      <c r="AC416" s="141">
        <f t="shared" si="299"/>
        <v>1.2115960000000037E-2</v>
      </c>
      <c r="AD416" s="141">
        <f t="shared" si="299"/>
        <v>0</v>
      </c>
      <c r="AE416" s="141">
        <f t="shared" si="299"/>
        <v>2.1067023599999999</v>
      </c>
      <c r="AF416" s="526">
        <f>SUM(T416:AE416)</f>
        <v>8.2286673700000001</v>
      </c>
      <c r="AG416" s="141">
        <f>+AG363+AG369+AG375+AG381+AG387+AG394+AG401+AG408</f>
        <v>8.7163123100000028</v>
      </c>
      <c r="AH416" s="141">
        <f t="shared" ref="AH416:AQ416" si="300">+AH363+AH369+AH375+AH381+AH387+AH394+AH401+AH408</f>
        <v>9.2331910199999996</v>
      </c>
      <c r="AI416" s="141">
        <f t="shared" si="300"/>
        <v>9.7798359800000014</v>
      </c>
      <c r="AJ416" s="141">
        <f t="shared" si="300"/>
        <v>10.35943455</v>
      </c>
      <c r="AK416" s="141">
        <f t="shared" si="300"/>
        <v>10.95733147</v>
      </c>
      <c r="AL416" s="141">
        <f t="shared" si="300"/>
        <v>11.557228150000002</v>
      </c>
      <c r="AM416" s="141">
        <f t="shared" si="300"/>
        <v>12.242099259999998</v>
      </c>
      <c r="AN416" s="141">
        <f t="shared" si="300"/>
        <v>12.967559940000001</v>
      </c>
      <c r="AO416" s="141">
        <f t="shared" si="300"/>
        <v>13.736010889999999</v>
      </c>
      <c r="AP416" s="141">
        <f t="shared" si="300"/>
        <v>0</v>
      </c>
      <c r="AQ416" s="141">
        <f t="shared" si="300"/>
        <v>0</v>
      </c>
      <c r="AR416" s="149"/>
      <c r="AS416" s="149"/>
    </row>
  </sheetData>
  <phoneticPr fontId="6" type="noConversion"/>
  <printOptions horizontalCentered="1"/>
  <pageMargins left="0.25" right="0.25" top="0.75" bottom="0.75" header="0.3" footer="0.3"/>
  <pageSetup scale="45" fitToHeight="0" orientation="landscape" blackAndWhite="1" r:id="rId1"/>
  <headerFooter alignWithMargins="0">
    <oddFooter>Page &amp;P of &amp;N</oddFooter>
  </headerFooter>
  <rowBreaks count="6" manualBreakCount="6">
    <brk id="69" max="42" man="1"/>
    <brk id="128" max="42" man="1"/>
    <brk id="190" max="42" man="1"/>
    <brk id="250" max="42" man="1"/>
    <brk id="300" max="42" man="1"/>
    <brk id="355" max="42" man="1"/>
  </rowBreaks>
  <colBreaks count="2" manualBreakCount="2">
    <brk id="19" max="415" man="1"/>
    <brk id="32" max="41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6:BE574"/>
  <sheetViews>
    <sheetView workbookViewId="0">
      <pane xSplit="18" ySplit="8" topLeftCell="S520" activePane="bottomRight" state="frozen"/>
      <selection activeCell="B509" sqref="B509"/>
      <selection pane="topRight" activeCell="B509" sqref="B509"/>
      <selection pane="bottomLeft" activeCell="B509" sqref="B509"/>
      <selection pane="bottomRight" activeCell="V534" sqref="V534"/>
    </sheetView>
  </sheetViews>
  <sheetFormatPr defaultRowHeight="12.75"/>
  <cols>
    <col min="1" max="1" width="9.85546875" customWidth="1"/>
    <col min="2" max="2" width="12.28515625" customWidth="1"/>
    <col min="3" max="3" width="32.85546875" customWidth="1"/>
    <col min="4" max="4" width="11.28515625" hidden="1" customWidth="1"/>
    <col min="5" max="10" width="9.140625" hidden="1" customWidth="1"/>
    <col min="11" max="11" width="7.5703125" hidden="1" customWidth="1"/>
    <col min="12" max="16" width="9.140625" hidden="1" customWidth="1"/>
    <col min="17" max="17" width="9.85546875" hidden="1" customWidth="1"/>
    <col min="18" max="18" width="8.85546875" style="88" customWidth="1"/>
    <col min="19" max="19" width="9.140625" customWidth="1"/>
    <col min="27" max="27" width="10.28515625" customWidth="1"/>
    <col min="29" max="29" width="10.28515625" customWidth="1"/>
    <col min="30" max="30" width="10.140625" customWidth="1"/>
    <col min="31" max="31" width="9.140625" style="88"/>
    <col min="40" max="40" width="9.7109375" customWidth="1"/>
    <col min="42" max="43" width="10" customWidth="1"/>
    <col min="44" max="44" width="9.140625" style="88"/>
  </cols>
  <sheetData>
    <row r="6" spans="4:57"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1"/>
      <c r="S6" s="180">
        <f>'Stmts RUS'!G1</f>
        <v>2013</v>
      </c>
      <c r="T6" s="180">
        <f>'Stmts RUS'!H1</f>
        <v>2013</v>
      </c>
      <c r="U6" s="180">
        <f>'Stmts RUS'!I1</f>
        <v>2013</v>
      </c>
      <c r="V6" s="180">
        <f>'Stmts RUS'!J1</f>
        <v>2013</v>
      </c>
      <c r="W6" s="180">
        <f>'Stmts RUS'!K1</f>
        <v>2013</v>
      </c>
      <c r="X6" s="180">
        <f>'Stmts RUS'!L1</f>
        <v>2013</v>
      </c>
      <c r="Y6" s="180">
        <f>'Stmts RUS'!M1</f>
        <v>2013</v>
      </c>
      <c r="Z6" s="180">
        <f>'Stmts RUS'!N1</f>
        <v>2013</v>
      </c>
      <c r="AA6" s="180">
        <f>'Stmts RUS'!O1</f>
        <v>2013</v>
      </c>
      <c r="AB6" s="180">
        <f>'Stmts RUS'!P1</f>
        <v>2013</v>
      </c>
      <c r="AC6" s="180">
        <f>'Stmts RUS'!Q1</f>
        <v>2013</v>
      </c>
      <c r="AD6" s="180">
        <f>'Stmts RUS'!R1</f>
        <v>2013</v>
      </c>
      <c r="AE6" s="181">
        <f>'Stmts RUS'!S1</f>
        <v>0</v>
      </c>
      <c r="AF6" s="180">
        <f>'Stmts RUS'!T1</f>
        <v>2014</v>
      </c>
      <c r="AG6" s="180">
        <f>'Stmts RUS'!U1</f>
        <v>2014</v>
      </c>
      <c r="AH6" s="180">
        <f>'Stmts RUS'!V1</f>
        <v>2014</v>
      </c>
      <c r="AI6" s="180">
        <f>'Stmts RUS'!W1</f>
        <v>2014</v>
      </c>
      <c r="AJ6" s="180">
        <f>'Stmts RUS'!X1</f>
        <v>2014</v>
      </c>
      <c r="AK6" s="180">
        <f>'Stmts RUS'!Y1</f>
        <v>2014</v>
      </c>
      <c r="AL6" s="180">
        <f>'Stmts RUS'!Z1</f>
        <v>2014</v>
      </c>
      <c r="AM6" s="180">
        <f>'Stmts RUS'!AA1</f>
        <v>2014</v>
      </c>
      <c r="AN6" s="180">
        <f>'Stmts RUS'!AB1</f>
        <v>2014</v>
      </c>
      <c r="AO6" s="180">
        <f>'Stmts RUS'!AC1</f>
        <v>2014</v>
      </c>
      <c r="AP6" s="180">
        <f>'Stmts RUS'!AD1</f>
        <v>2014</v>
      </c>
      <c r="AQ6" s="180">
        <f>'Stmts RUS'!AE1</f>
        <v>2014</v>
      </c>
      <c r="AR6" s="181">
        <f>'Stmts RUS'!AF1</f>
        <v>0</v>
      </c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</row>
    <row r="7" spans="4:57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69"/>
      <c r="S7" s="1" t="str">
        <f>'Stmts RUS'!G2</f>
        <v>January</v>
      </c>
      <c r="T7" s="1" t="str">
        <f>'Stmts RUS'!H2</f>
        <v>February</v>
      </c>
      <c r="U7" s="1" t="str">
        <f>'Stmts RUS'!I2</f>
        <v>March</v>
      </c>
      <c r="V7" s="1" t="str">
        <f>'Stmts RUS'!J2</f>
        <v>April</v>
      </c>
      <c r="W7" s="1" t="str">
        <f>'Stmts RUS'!K2</f>
        <v>May</v>
      </c>
      <c r="X7" s="1" t="str">
        <f>'Stmts RUS'!L2</f>
        <v>June</v>
      </c>
      <c r="Y7" s="1" t="str">
        <f>'Stmts RUS'!M2</f>
        <v>July</v>
      </c>
      <c r="Z7" s="1" t="str">
        <f>'Stmts RUS'!N2</f>
        <v>August</v>
      </c>
      <c r="AA7" s="1" t="str">
        <f>'Stmts RUS'!O2</f>
        <v>September</v>
      </c>
      <c r="AB7" s="1" t="str">
        <f>'Stmts RUS'!P2</f>
        <v>October</v>
      </c>
      <c r="AC7" s="1" t="str">
        <f>'Stmts RUS'!Q2</f>
        <v>November</v>
      </c>
      <c r="AD7" s="1" t="str">
        <f>'Stmts RUS'!R2</f>
        <v>December</v>
      </c>
      <c r="AE7" s="169">
        <f>'Stmts RUS'!S2</f>
        <v>2013</v>
      </c>
      <c r="AF7" s="1" t="str">
        <f>'Stmts RUS'!T2</f>
        <v>January</v>
      </c>
      <c r="AG7" s="1" t="str">
        <f>'Stmts RUS'!U2</f>
        <v>February</v>
      </c>
      <c r="AH7" s="1" t="str">
        <f>'Stmts RUS'!V2</f>
        <v>March</v>
      </c>
      <c r="AI7" s="1" t="str">
        <f>'Stmts RUS'!W2</f>
        <v>April</v>
      </c>
      <c r="AJ7" s="1" t="str">
        <f>'Stmts RUS'!X2</f>
        <v>May</v>
      </c>
      <c r="AK7" s="1" t="str">
        <f>'Stmts RUS'!Y2</f>
        <v>June</v>
      </c>
      <c r="AL7" s="1" t="str">
        <f>'Stmts RUS'!Z2</f>
        <v>July</v>
      </c>
      <c r="AM7" s="1" t="str">
        <f>'Stmts RUS'!AA2</f>
        <v>August</v>
      </c>
      <c r="AN7" s="1" t="str">
        <f>'Stmts RUS'!AB2</f>
        <v>September</v>
      </c>
      <c r="AO7" s="1" t="str">
        <f>'Stmts RUS'!AC2</f>
        <v>October</v>
      </c>
      <c r="AP7" s="1" t="str">
        <f>'Stmts RUS'!AD2</f>
        <v>November</v>
      </c>
      <c r="AQ7" s="1" t="str">
        <f>'Stmts RUS'!AE2</f>
        <v>December</v>
      </c>
      <c r="AR7" s="169">
        <f>'Stmts RUS'!AF2</f>
        <v>2014</v>
      </c>
      <c r="AS7" s="1">
        <f>'Stmts RUS'!AG2</f>
        <v>2015</v>
      </c>
      <c r="AT7" s="1">
        <f>'Stmts RUS'!AH2</f>
        <v>2016</v>
      </c>
      <c r="AU7" s="1">
        <f>'Stmts RUS'!AI2</f>
        <v>2017</v>
      </c>
      <c r="AV7" s="1">
        <f>'Stmts RUS'!AJ2</f>
        <v>2018</v>
      </c>
      <c r="AW7" s="1">
        <f>'Stmts RUS'!AK2</f>
        <v>2019</v>
      </c>
      <c r="AX7" s="1">
        <f>'Stmts RUS'!AL2</f>
        <v>2020</v>
      </c>
      <c r="AY7" s="1">
        <f>'Stmts RUS'!AM2</f>
        <v>2021</v>
      </c>
      <c r="AZ7" s="1">
        <f>'Stmts RUS'!AN2</f>
        <v>2022</v>
      </c>
      <c r="BA7" s="1">
        <f>'Stmts RUS'!AO2</f>
        <v>2023</v>
      </c>
      <c r="BB7" s="1">
        <f>'Stmts RUS'!AP2</f>
        <v>2024</v>
      </c>
      <c r="BC7" s="1">
        <f>'Stmts RUS'!AQ2</f>
        <v>2025</v>
      </c>
      <c r="BD7" s="1"/>
      <c r="BE7" s="1"/>
    </row>
    <row r="432" spans="1:2" ht="18">
      <c r="A432" s="267" t="s">
        <v>817</v>
      </c>
      <c r="B432" s="13"/>
    </row>
    <row r="433" spans="1:57">
      <c r="A433" s="849" t="s">
        <v>607</v>
      </c>
      <c r="B433" s="846" t="s">
        <v>1026</v>
      </c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224"/>
      <c r="S433" s="106">
        <f>+'Regulatory Charge'!M433+Fuel!M433+PCM!N433+Interest!M433+'O&amp;M'!O433+'Capex &amp; Depr'!O433+Debt!P433+Pat.!F433+Rates!M433</f>
        <v>2.6912999999999999E-2</v>
      </c>
      <c r="T433" s="106">
        <f>+'Regulatory Charge'!N433+Fuel!N433+PCM!O433+Interest!N433+'O&amp;M'!P433+'Capex &amp; Depr'!P433+Debt!Q433+Pat.!G433+Rates!N433</f>
        <v>2.6912999999999999E-2</v>
      </c>
      <c r="U433" s="106">
        <f>+'Regulatory Charge'!O433+Fuel!O433+PCM!P433+Interest!O433+'O&amp;M'!Q433+'Capex &amp; Depr'!Q433+Debt!R433+Pat.!H433+Rates!O433</f>
        <v>2.6912999999999999E-2</v>
      </c>
      <c r="V433" s="106">
        <f>+'Regulatory Charge'!P433+Fuel!P433+PCM!Q433+Interest!P433+'O&amp;M'!R433+'Capex &amp; Depr'!R433+Debt!S433+Pat.!I433+Rates!P433</f>
        <v>2.6912999999999999E-2</v>
      </c>
      <c r="W433" s="106">
        <f>+'Regulatory Charge'!Q433+Fuel!Q433+PCM!R433+Interest!Q433+'O&amp;M'!S433+'Capex &amp; Depr'!S433+Debt!T433+Pat.!J433+Rates!Q433</f>
        <v>2.6962E-2</v>
      </c>
      <c r="X433" s="106">
        <f>+'Regulatory Charge'!R433+Fuel!R433+PCM!S433+Interest!R433+'O&amp;M'!T433+'Capex &amp; Depr'!T433+Debt!U433+Pat.!K433+Rates!R433</f>
        <v>2.6962E-2</v>
      </c>
      <c r="Y433" s="106">
        <f>+'Regulatory Charge'!S433+Fuel!S433+PCM!T433+Interest!S433+'O&amp;M'!U433+'Capex &amp; Depr'!U433+Debt!V433+Pat.!L433+Rates!S433</f>
        <v>2.7507E-2</v>
      </c>
      <c r="Z433" s="106">
        <f>+'Regulatory Charge'!T433+Fuel!T433+PCM!U433+Interest!T433+'O&amp;M'!V433+'Capex &amp; Depr'!V433+Debt!W433+Pat.!M433+Rates!T433</f>
        <v>2.7628E-2</v>
      </c>
      <c r="AA433" s="106">
        <f>+'Regulatory Charge'!U433+Fuel!U433+PCM!V433+Interest!U433+'O&amp;M'!W433+'Capex &amp; Depr'!W433+Debt!X433+Pat.!N433+Rates!U433</f>
        <v>2.9080000000000002E-2</v>
      </c>
      <c r="AB433" s="106">
        <f>+'Regulatory Charge'!V433+Fuel!V433+PCM!W433+Interest!V433+'O&amp;M'!X433+'Capex &amp; Depr'!X433+Debt!Y433+Pat.!O433+Rates!V433</f>
        <v>2.9113E-2</v>
      </c>
      <c r="AC433" s="106">
        <f>+'Regulatory Charge'!W433+Fuel!W433+PCM!X433+Interest!W433+'O&amp;M'!Y433+'Capex &amp; Depr'!Y433+Debt!Z433+Pat.!P433+Rates!W433</f>
        <v>2.9113E-2</v>
      </c>
      <c r="AD433" s="106">
        <f>+'Regulatory Charge'!X433+Fuel!X433+PCM!Y433+Interest!X433+'O&amp;M'!Z433+'Capex &amp; Depr'!Z433+Debt!AA433+Pat.!Q433+Rates!X433</f>
        <v>2.9149000000000001E-2</v>
      </c>
      <c r="AE433" s="224">
        <f>SUM(S433:AD433)</f>
        <v>0.33316599999999996</v>
      </c>
      <c r="AF433" s="106">
        <f>+'Regulatory Charge'!Z433+Fuel!Z433+PCM!AA433+Interest!Z433+'O&amp;M'!AB433+'Capex &amp; Depr'!AB433+Debt!AC433+Pat.!S433+Rates!Z433</f>
        <v>2.9149000000000001E-2</v>
      </c>
      <c r="AG433" s="106">
        <f>+'Regulatory Charge'!AA433+Fuel!AA433+PCM!AB433+Interest!AA433+'O&amp;M'!AC433+'Capex &amp; Depr'!AC433+Debt!AD433+Pat.!T433+Rates!AA433</f>
        <v>3.1254999999999998E-2</v>
      </c>
      <c r="AH433" s="106">
        <f>+'Regulatory Charge'!AB433+Fuel!AB433+PCM!AC433+Interest!AB433+'O&amp;M'!AD433+'Capex &amp; Depr'!AD433+Debt!AE433+Pat.!U433+Rates!AB433</f>
        <v>3.1254999999999998E-2</v>
      </c>
      <c r="AI433" s="106">
        <f>+'Regulatory Charge'!AC433+Fuel!AC433+PCM!AD433+Interest!AC433+'O&amp;M'!AE433+'Capex &amp; Depr'!AE433+Debt!AF433+Pat.!V433+Rates!AC433</f>
        <v>3.1281999999999997E-2</v>
      </c>
      <c r="AJ433" s="106">
        <f>+'Regulatory Charge'!AD433+Fuel!AD433+PCM!AE433+Interest!AD433+'O&amp;M'!AF433+'Capex &amp; Depr'!AF433+Debt!AG433+Pat.!W433+Rates!AD433</f>
        <v>3.1287000000000002E-2</v>
      </c>
      <c r="AK433" s="106">
        <f>+'Regulatory Charge'!AE433+Fuel!AE433+PCM!AF433+Interest!AE433+'O&amp;M'!AG433+'Capex &amp; Depr'!AG433+Debt!AH433+Pat.!X433+Rates!AE433</f>
        <v>3.1307000000000001E-2</v>
      </c>
      <c r="AL433" s="106">
        <f>+'Regulatory Charge'!AF433+Fuel!AF433+PCM!AG433+Interest!AF433+'O&amp;M'!AH433+'Capex &amp; Depr'!AH433+Debt!AI433+Pat.!Y433+Rates!AF433</f>
        <v>3.1550000000000002E-2</v>
      </c>
      <c r="AM433" s="106">
        <f>+'Regulatory Charge'!AG433+Fuel!AG433+PCM!AH433+Interest!AG433+'O&amp;M'!AI433+'Capex &amp; Depr'!AI433+Debt!AJ433+Pat.!Z433+Rates!AG433</f>
        <v>3.1593000000000003E-2</v>
      </c>
      <c r="AN433" s="106">
        <f>+'Regulatory Charge'!AH433+Fuel!AH433+PCM!AI433+Interest!AH433+'O&amp;M'!AJ433+'Capex &amp; Depr'!AJ433+Debt!AK433+Pat.!AA433+Rates!AH433</f>
        <v>3.1601999999999998E-2</v>
      </c>
      <c r="AO433" s="106">
        <f>+'Regulatory Charge'!AI433+Fuel!AI433+PCM!AJ433+Interest!AI433+'O&amp;M'!AK433+'Capex &amp; Depr'!AK433+Debt!AL433+Pat.!AB433+Rates!AI433</f>
        <v>3.1614000000000003E-2</v>
      </c>
      <c r="AP433" s="106">
        <f>+'Regulatory Charge'!AJ433+Fuel!AJ433+PCM!AK433+Interest!AJ433+'O&amp;M'!AL433+'Capex &amp; Depr'!AL433+Debt!AM433+Pat.!AC433+Rates!AJ433</f>
        <v>3.1623999999999999E-2</v>
      </c>
      <c r="AQ433" s="106">
        <f>+'Regulatory Charge'!AK433+Fuel!AK433+PCM!AL433+Interest!AK433+'O&amp;M'!AM433+'Capex &amp; Depr'!AM433+Debt!AN433+Pat.!AD433+Rates!AK433</f>
        <v>3.1623999999999999E-2</v>
      </c>
      <c r="AR433" s="224">
        <f>SUM(AF433:AQ433)</f>
        <v>0.37514199999999998</v>
      </c>
      <c r="AS433" s="106">
        <f>+'Regulatory Charge'!AM433+Fuel!AM433+PCM!AN433+Interest!AM433+'O&amp;M'!AO433+'Capex &amp; Depr'!AO433+Debt!AP433+Pat.!AF433+Rates!AM433</f>
        <v>0.38033799999999995</v>
      </c>
      <c r="AT433" s="106">
        <f>+'Regulatory Charge'!AN433+Fuel!AN433+PCM!AO433+Interest!AN433+'O&amp;M'!AP433+'Capex &amp; Depr'!AP433+Debt!AQ433+Pat.!AG433+Rates!AN433</f>
        <v>0.38602200000000003</v>
      </c>
      <c r="AU433" s="106">
        <f>+'Regulatory Charge'!AO433+Fuel!AO433+PCM!AP433+Interest!AO433+'O&amp;M'!AQ433+'Capex &amp; Depr'!AQ433+Debt!AR433+Pat.!AH433+Rates!AO433</f>
        <v>0.39290429519486786</v>
      </c>
      <c r="AV433" s="106">
        <f>+'Regulatory Charge'!AP433+Fuel!AP433+PCM!AQ433+Interest!AP433+'O&amp;M'!AR433+'Capex &amp; Depr'!AR433+Debt!AS433+Pat.!AI433+Rates!AP433</f>
        <v>0.40002318275160209</v>
      </c>
      <c r="AW433" s="106">
        <f>+'Regulatory Charge'!AQ433+Fuel!AQ433+PCM!AR433+Interest!AQ433+'O&amp;M'!AS433+'Capex &amp; Depr'!AS433+Debt!AT433+Pat.!AJ433+Rates!AQ433</f>
        <v>0.40636248943486941</v>
      </c>
      <c r="AX433" s="106">
        <f>+'Regulatory Charge'!AR433+Fuel!AR433+PCM!AS433+Interest!AR433+'O&amp;M'!AT433+'Capex &amp; Depr'!AT433+Debt!AU433+Pat.!AK433+Rates!AR433</f>
        <v>0.41364651167491517</v>
      </c>
      <c r="AY433" s="106">
        <f>+'Regulatory Charge'!AS433+Fuel!AS433+PCM!AT433+Interest!AS433+'O&amp;M'!AU433+'Capex &amp; Depr'!AU433+Debt!AV433+Pat.!AL433+Rates!AS433</f>
        <v>0.42114905458216223</v>
      </c>
      <c r="AZ433" s="106">
        <f>+'Regulatory Charge'!AT433+Fuel!AT433+PCM!AU433+Interest!AT433+'O&amp;M'!AV433+'Capex &amp; Depr'!AV433+Debt!AW433+Pat.!AM433+Rates!AT433</f>
        <v>0.42887667377662675</v>
      </c>
      <c r="BA433" s="106">
        <f>+'Regulatory Charge'!AU433+Fuel!AU433+PCM!AV433+Interest!AU433+'O&amp;M'!AW433+'Capex &amp; Depr'!AW433+Debt!AX433+Pat.!AN433+Rates!AU433</f>
        <v>0.43683612154692525</v>
      </c>
      <c r="BB433" s="106">
        <f>+'Regulatory Charge'!AV433+Fuel!AV433+PCM!AW433+Interest!AV433+'O&amp;M'!AX433+'Capex &amp; Depr'!AX433+Debt!AY433+Pat.!AO433+Rates!AV433</f>
        <v>0.44503435275033265</v>
      </c>
      <c r="BC433" s="106">
        <f>+'Regulatory Charge'!AW433+Fuel!AW433+PCM!AX433+Interest!AW433+'O&amp;M'!AY433+'Capex &amp; Depr'!AY433+Debt!AZ433+Pat.!AP433+Rates!AW433</f>
        <v>0.45347853088984236</v>
      </c>
      <c r="BD433" s="106"/>
      <c r="BE433" s="106"/>
    </row>
    <row r="434" spans="1:57">
      <c r="A434" s="849" t="s">
        <v>818</v>
      </c>
      <c r="B434" s="846" t="s">
        <v>1027</v>
      </c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224"/>
      <c r="S434" s="106">
        <f>+'Regulatory Charge'!M434+Fuel!M434+PCM!N434+Interest!M434+'O&amp;M'!O434+'Capex &amp; Depr'!O434+Debt!P434+Pat.!F434+Rates!M434</f>
        <v>1.06E-2</v>
      </c>
      <c r="T434" s="106">
        <f>+'Regulatory Charge'!N434+Fuel!N434+PCM!O434+Interest!N434+'O&amp;M'!P434+'Capex &amp; Depr'!P434+Debt!Q434+Pat.!G434+Rates!N434</f>
        <v>1.06E-2</v>
      </c>
      <c r="U434" s="106">
        <f>+'Regulatory Charge'!O434+Fuel!O434+PCM!P434+Interest!O434+'O&amp;M'!Q434+'Capex &amp; Depr'!Q434+Debt!R434+Pat.!H434+Rates!O434</f>
        <v>1.06E-2</v>
      </c>
      <c r="V434" s="106">
        <f>+'Regulatory Charge'!P434+Fuel!P434+PCM!Q434+Interest!P434+'O&amp;M'!R434+'Capex &amp; Depr'!R434+Debt!S434+Pat.!I434+Rates!P434</f>
        <v>1.0606000000000001E-2</v>
      </c>
      <c r="W434" s="106">
        <f>+'Regulatory Charge'!Q434+Fuel!Q434+PCM!R434+Interest!Q434+'O&amp;M'!S434+'Capex &amp; Depr'!S434+Debt!T434+Pat.!J434+Rates!Q434</f>
        <v>1.0614E-2</v>
      </c>
      <c r="X434" s="106">
        <f>+'Regulatory Charge'!R434+Fuel!R434+PCM!S434+Interest!R434+'O&amp;M'!T434+'Capex &amp; Depr'!T434+Debt!U434+Pat.!K434+Rates!R434</f>
        <v>1.0614E-2</v>
      </c>
      <c r="Y434" s="106">
        <f>+'Regulatory Charge'!S434+Fuel!S434+PCM!T434+Interest!S434+'O&amp;M'!U434+'Capex &amp; Depr'!U434+Debt!V434+Pat.!L434+Rates!S434</f>
        <v>1.0614E-2</v>
      </c>
      <c r="Z434" s="106">
        <f>+'Regulatory Charge'!T434+Fuel!T434+PCM!U434+Interest!T434+'O&amp;M'!V434+'Capex &amp; Depr'!V434+Debt!W434+Pat.!M434+Rates!T434</f>
        <v>1.0614E-2</v>
      </c>
      <c r="AA434" s="106">
        <f>+'Regulatory Charge'!U434+Fuel!U434+PCM!V434+Interest!U434+'O&amp;M'!W434+'Capex &amp; Depr'!W434+Debt!X434+Pat.!N434+Rates!U434</f>
        <v>1.1339999999999999E-2</v>
      </c>
      <c r="AB434" s="106">
        <f>+'Regulatory Charge'!V434+Fuel!V434+PCM!W434+Interest!V434+'O&amp;M'!X434+'Capex &amp; Depr'!X434+Debt!Y434+Pat.!O434+Rates!V434</f>
        <v>1.1339999999999999E-2</v>
      </c>
      <c r="AC434" s="106">
        <f>+'Regulatory Charge'!W434+Fuel!W434+PCM!X434+Interest!W434+'O&amp;M'!Y434+'Capex &amp; Depr'!Y434+Debt!Z434+Pat.!P434+Rates!W434</f>
        <v>1.1339999999999999E-2</v>
      </c>
      <c r="AD434" s="106">
        <f>+'Regulatory Charge'!X434+Fuel!X434+PCM!Y434+Interest!X434+'O&amp;M'!Z434+'Capex &amp; Depr'!Z434+Debt!AA434+Pat.!Q434+Rates!X434</f>
        <v>1.1384999999999999E-2</v>
      </c>
      <c r="AE434" s="224">
        <f t="shared" ref="AE434:AE458" si="0">SUM(S434:AD434)</f>
        <v>0.13026699999999999</v>
      </c>
      <c r="AF434" s="106">
        <f>+'Regulatory Charge'!Z434+Fuel!Z434+PCM!AA434+Interest!Z434+'O&amp;M'!AB434+'Capex &amp; Depr'!AB434+Debt!AC434+Pat.!S434+Rates!Z434</f>
        <v>1.1384999999999999E-2</v>
      </c>
      <c r="AG434" s="106">
        <f>+'Regulatory Charge'!AA434+Fuel!AA434+PCM!AB434+Interest!AA434+'O&amp;M'!AC434+'Capex &amp; Depr'!AC434+Debt!AD434+Pat.!T434+Rates!AA434</f>
        <v>1.1384999999999999E-2</v>
      </c>
      <c r="AH434" s="106">
        <f>+'Regulatory Charge'!AB434+Fuel!AB434+PCM!AC434+Interest!AB434+'O&amp;M'!AD434+'Capex &amp; Depr'!AD434+Debt!AE434+Pat.!U434+Rates!AB434</f>
        <v>1.1384999999999999E-2</v>
      </c>
      <c r="AI434" s="106">
        <f>+'Regulatory Charge'!AC434+Fuel!AC434+PCM!AD434+Interest!AC434+'O&amp;M'!AE434+'Capex &amp; Depr'!AE434+Debt!AF434+Pat.!V434+Rates!AC434</f>
        <v>1.1391E-2</v>
      </c>
      <c r="AJ434" s="106">
        <f>+'Regulatory Charge'!AD434+Fuel!AD434+PCM!AE434+Interest!AD434+'O&amp;M'!AF434+'Capex &amp; Depr'!AF434+Debt!AG434+Pat.!W434+Rates!AD434</f>
        <v>1.1405E-2</v>
      </c>
      <c r="AK434" s="106">
        <f>+'Regulatory Charge'!AE434+Fuel!AE434+PCM!AF434+Interest!AE434+'O&amp;M'!AG434+'Capex &amp; Depr'!AG434+Debt!AH434+Pat.!X434+Rates!AE434</f>
        <v>1.1435000000000001E-2</v>
      </c>
      <c r="AL434" s="106">
        <f>+'Regulatory Charge'!AF434+Fuel!AF434+PCM!AG434+Interest!AF434+'O&amp;M'!AH434+'Capex &amp; Depr'!AH434+Debt!AI434+Pat.!Y434+Rates!AF434</f>
        <v>1.1435000000000001E-2</v>
      </c>
      <c r="AM434" s="106">
        <f>+'Regulatory Charge'!AG434+Fuel!AG434+PCM!AH434+Interest!AG434+'O&amp;M'!AI434+'Capex &amp; Depr'!AI434+Debt!AJ434+Pat.!Z434+Rates!AG434</f>
        <v>1.1435000000000001E-2</v>
      </c>
      <c r="AN434" s="106">
        <f>+'Regulatory Charge'!AH434+Fuel!AH434+PCM!AI434+Interest!AH434+'O&amp;M'!AJ434+'Capex &amp; Depr'!AJ434+Debt!AK434+Pat.!AA434+Rates!AH434</f>
        <v>1.1435000000000001E-2</v>
      </c>
      <c r="AO434" s="106">
        <f>+'Regulatory Charge'!AI434+Fuel!AI434+PCM!AJ434+Interest!AI434+'O&amp;M'!AK434+'Capex &amp; Depr'!AK434+Debt!AL434+Pat.!AB434+Rates!AI434</f>
        <v>1.1435000000000001E-2</v>
      </c>
      <c r="AP434" s="106">
        <f>+'Regulatory Charge'!AJ434+Fuel!AJ434+PCM!AK434+Interest!AJ434+'O&amp;M'!AL434+'Capex &amp; Depr'!AL434+Debt!AM434+Pat.!AC434+Rates!AJ434</f>
        <v>1.1435000000000001E-2</v>
      </c>
      <c r="AQ434" s="106">
        <f>+'Regulatory Charge'!AK434+Fuel!AK434+PCM!AL434+Interest!AK434+'O&amp;M'!AM434+'Capex &amp; Depr'!AM434+Debt!AN434+Pat.!AD434+Rates!AK434</f>
        <v>1.1435000000000001E-2</v>
      </c>
      <c r="AR434" s="224">
        <f t="shared" ref="AR434:AR458" si="1">SUM(AF434:AQ434)</f>
        <v>0.13699600000000001</v>
      </c>
      <c r="AS434" s="106">
        <f>+'Regulatory Charge'!AM434+Fuel!AM434+PCM!AN434+Interest!AM434+'O&amp;M'!AO434+'Capex &amp; Depr'!AO434+Debt!AP434+Pat.!AF434+Rates!AM434</f>
        <v>0.13791699999999996</v>
      </c>
      <c r="AT434" s="106">
        <f>+'Regulatory Charge'!AN434+Fuel!AN434+PCM!AO434+Interest!AN434+'O&amp;M'!AP434+'Capex &amp; Depr'!AP434+Debt!AQ434+Pat.!AG434+Rates!AN434</f>
        <v>0.13814699999999999</v>
      </c>
      <c r="AU434" s="106">
        <f>+'Regulatory Charge'!AO434+Fuel!AO434+PCM!AP434+Interest!AO434+'O&amp;M'!AQ434+'Capex &amp; Depr'!AQ434+Debt!AR434+Pat.!AH434+Rates!AO434</f>
        <v>0.14060999028108606</v>
      </c>
      <c r="AV434" s="106">
        <f>+'Regulatory Charge'!AP434+Fuel!AP434+PCM!AQ434+Interest!AP434+'O&amp;M'!AR434+'Capex &amp; Depr'!AR434+Debt!AS434+Pat.!AI434+Rates!AP434</f>
        <v>0.14315765067168598</v>
      </c>
      <c r="AW434" s="106">
        <f>+'Regulatory Charge'!AQ434+Fuel!AQ434+PCM!AR434+Interest!AQ434+'O&amp;M'!AS434+'Capex &amp; Depr'!AS434+Debt!AT434+Pat.!AJ434+Rates!AQ434</f>
        <v>0.14542631981586257</v>
      </c>
      <c r="AX434" s="106">
        <f>+'Regulatory Charge'!AR434+Fuel!AR434+PCM!AS434+Interest!AR434+'O&amp;M'!AT434+'Capex &amp; Depr'!AT434+Debt!AU434+Pat.!AK434+Rates!AR434</f>
        <v>0.14803307751463518</v>
      </c>
      <c r="AY434" s="106">
        <f>+'Regulatory Charge'!AS434+Fuel!AS434+PCM!AT434+Interest!AS434+'O&amp;M'!AU434+'Capex &amp; Depr'!AU434+Debt!AV434+Pat.!AL434+Rates!AS434</f>
        <v>0.15071803794437094</v>
      </c>
      <c r="AZ434" s="106">
        <f>+'Regulatory Charge'!AT434+Fuel!AT434+PCM!AU434+Interest!AT434+'O&amp;M'!AV434+'Capex &amp; Depr'!AV434+Debt!AW434+Pat.!AM434+Rates!AT434</f>
        <v>0.1534835471869988</v>
      </c>
      <c r="BA434" s="106">
        <f>+'Regulatory Charge'!AU434+Fuel!AU434+PCM!AV434+Interest!AU434+'O&amp;M'!AW434+'Capex &amp; Depr'!AW434+Debt!AX434+Pat.!AN434+Rates!AU434</f>
        <v>0.15633202170690552</v>
      </c>
      <c r="BB434" s="106">
        <f>+'Regulatory Charge'!AV434+Fuel!AV434+PCM!AW434+Interest!AV434+'O&amp;M'!AX434+'Capex &amp; Depr'!AX434+Debt!AY434+Pat.!AO434+Rates!AV434</f>
        <v>0.15926595046240941</v>
      </c>
      <c r="BC434" s="106">
        <f>+'Regulatory Charge'!AW434+Fuel!AW434+PCM!AX434+Interest!AW434+'O&amp;M'!AY434+'Capex &amp; Depr'!AY434+Debt!AZ434+Pat.!AP434+Rates!AW434</f>
        <v>0.16228789708057845</v>
      </c>
      <c r="BD434" s="106"/>
      <c r="BE434" s="106"/>
    </row>
    <row r="435" spans="1:57">
      <c r="A435" s="849" t="s">
        <v>607</v>
      </c>
      <c r="B435" s="846" t="s">
        <v>1026</v>
      </c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224"/>
      <c r="S435" s="106">
        <f>+'Regulatory Charge'!M435+Fuel!M435+PCM!N435+Interest!M435+'O&amp;M'!O435+'Capex &amp; Depr'!O435+Debt!P435+Pat.!F435+Rates!M435</f>
        <v>0.22923099999999999</v>
      </c>
      <c r="T435" s="106">
        <f>+'Regulatory Charge'!N435+Fuel!N435+PCM!O435+Interest!N435+'O&amp;M'!P435+'Capex &amp; Depr'!P435+Debt!Q435+Pat.!G435+Rates!N435</f>
        <v>0.229243</v>
      </c>
      <c r="U435" s="106">
        <f>+'Regulatory Charge'!O435+Fuel!O435+PCM!P435+Interest!O435+'O&amp;M'!Q435+'Capex &amp; Depr'!Q435+Debt!R435+Pat.!H435+Rates!O435</f>
        <v>0.229294</v>
      </c>
      <c r="V435" s="106">
        <f>+'Regulatory Charge'!P435+Fuel!P435+PCM!Q435+Interest!P435+'O&amp;M'!R435+'Capex &amp; Depr'!R435+Debt!S435+Pat.!I435+Rates!P435</f>
        <v>0.22933400000000001</v>
      </c>
      <c r="W435" s="106">
        <f>+'Regulatory Charge'!Q435+Fuel!Q435+PCM!R435+Interest!Q435+'O&amp;M'!S435+'Capex &amp; Depr'!S435+Debt!T435+Pat.!J435+Rates!Q435</f>
        <v>0.234149</v>
      </c>
      <c r="X435" s="106">
        <f>+'Regulatory Charge'!R435+Fuel!R435+PCM!S435+Interest!R435+'O&amp;M'!T435+'Capex &amp; Depr'!T435+Debt!U435+Pat.!K435+Rates!R435</f>
        <v>0.24001500000000001</v>
      </c>
      <c r="Y435" s="106">
        <f>+'Regulatory Charge'!S435+Fuel!S435+PCM!T435+Interest!S435+'O&amp;M'!U435+'Capex &amp; Depr'!U435+Debt!V435+Pat.!L435+Rates!S435</f>
        <v>0.24004300000000001</v>
      </c>
      <c r="Z435" s="106">
        <f>+'Regulatory Charge'!T435+Fuel!T435+PCM!U435+Interest!T435+'O&amp;M'!V435+'Capex &amp; Depr'!V435+Debt!W435+Pat.!M435+Rates!T435</f>
        <v>0.240172</v>
      </c>
      <c r="AA435" s="106">
        <f>+'Regulatory Charge'!U435+Fuel!U435+PCM!V435+Interest!U435+'O&amp;M'!W435+'Capex &amp; Depr'!W435+Debt!X435+Pat.!N435+Rates!U435</f>
        <v>0.25711200000000001</v>
      </c>
      <c r="AB435" s="106">
        <f>+'Regulatory Charge'!V435+Fuel!V435+PCM!W435+Interest!V435+'O&amp;M'!X435+'Capex &amp; Depr'!X435+Debt!Y435+Pat.!O435+Rates!V435</f>
        <v>0.25883699999999998</v>
      </c>
      <c r="AC435" s="106">
        <f>+'Regulatory Charge'!W435+Fuel!W435+PCM!X435+Interest!W435+'O&amp;M'!Y435+'Capex &amp; Depr'!Y435+Debt!Z435+Pat.!P435+Rates!W435</f>
        <v>0.25887300000000002</v>
      </c>
      <c r="AD435" s="106">
        <f>+'Regulatory Charge'!X435+Fuel!X435+PCM!Y435+Interest!X435+'O&amp;M'!Z435+'Capex &amp; Depr'!Z435+Debt!AA435+Pat.!Q435+Rates!X435</f>
        <v>0.25892799999999999</v>
      </c>
      <c r="AE435" s="224">
        <f t="shared" si="0"/>
        <v>2.9052310000000001</v>
      </c>
      <c r="AF435" s="106">
        <f>+'Regulatory Charge'!Z435+Fuel!Z435+PCM!AA435+Interest!Z435+'O&amp;M'!AB435+'Capex &amp; Depr'!AB435+Debt!AC435+Pat.!S435+Rates!Z435</f>
        <v>0.25894</v>
      </c>
      <c r="AG435" s="106">
        <f>+'Regulatory Charge'!AA435+Fuel!AA435+PCM!AB435+Interest!AA435+'O&amp;M'!AC435+'Capex &amp; Depr'!AC435+Debt!AD435+Pat.!T435+Rates!AA435</f>
        <v>0.25896400000000003</v>
      </c>
      <c r="AH435" s="106">
        <f>+'Regulatory Charge'!AB435+Fuel!AB435+PCM!AC435+Interest!AB435+'O&amp;M'!AD435+'Capex &amp; Depr'!AD435+Debt!AE435+Pat.!U435+Rates!AB435</f>
        <v>0.25956299999999999</v>
      </c>
      <c r="AI435" s="106">
        <f>+'Regulatory Charge'!AC435+Fuel!AC435+PCM!AD435+Interest!AC435+'O&amp;M'!AE435+'Capex &amp; Depr'!AE435+Debt!AF435+Pat.!V435+Rates!AC435</f>
        <v>0.25977600000000001</v>
      </c>
      <c r="AJ435" s="106">
        <f>+'Regulatory Charge'!AD435+Fuel!AD435+PCM!AE435+Interest!AD435+'O&amp;M'!AF435+'Capex &amp; Depr'!AF435+Debt!AG435+Pat.!W435+Rates!AD435</f>
        <v>0.27156599999999997</v>
      </c>
      <c r="AK435" s="106">
        <f>+'Regulatory Charge'!AE435+Fuel!AE435+PCM!AF435+Interest!AE435+'O&amp;M'!AG435+'Capex &amp; Depr'!AG435+Debt!AH435+Pat.!X435+Rates!AE435</f>
        <v>0.27362599999999998</v>
      </c>
      <c r="AL435" s="106">
        <f>+'Regulatory Charge'!AF435+Fuel!AF435+PCM!AG435+Interest!AF435+'O&amp;M'!AH435+'Capex &amp; Depr'!AH435+Debt!AI435+Pat.!Y435+Rates!AF435</f>
        <v>0.27377600000000002</v>
      </c>
      <c r="AM435" s="106">
        <f>+'Regulatory Charge'!AG435+Fuel!AG435+PCM!AH435+Interest!AG435+'O&amp;M'!AI435+'Capex &amp; Depr'!AI435+Debt!AJ435+Pat.!Z435+Rates!AG435</f>
        <v>0.27573900000000001</v>
      </c>
      <c r="AN435" s="106">
        <f>+'Regulatory Charge'!AH435+Fuel!AH435+PCM!AI435+Interest!AH435+'O&amp;M'!AJ435+'Capex &amp; Depr'!AJ435+Debt!AK435+Pat.!AA435+Rates!AH435</f>
        <v>0.276424</v>
      </c>
      <c r="AO435" s="106">
        <f>+'Regulatory Charge'!AI435+Fuel!AI435+PCM!AJ435+Interest!AI435+'O&amp;M'!AK435+'Capex &amp; Depr'!AK435+Debt!AL435+Pat.!AB435+Rates!AI435</f>
        <v>0.276509</v>
      </c>
      <c r="AP435" s="106">
        <f>+'Regulatory Charge'!AJ435+Fuel!AJ435+PCM!AK435+Interest!AJ435+'O&amp;M'!AL435+'Capex &amp; Depr'!AL435+Debt!AM435+Pat.!AC435+Rates!AJ435</f>
        <v>0.27671600000000002</v>
      </c>
      <c r="AQ435" s="106">
        <f>+'Regulatory Charge'!AK435+Fuel!AK435+PCM!AL435+Interest!AK435+'O&amp;M'!AM435+'Capex &amp; Depr'!AM435+Debt!AN435+Pat.!AD435+Rates!AK435</f>
        <v>0.27674100000000001</v>
      </c>
      <c r="AR435" s="224">
        <f t="shared" si="1"/>
        <v>3.23834</v>
      </c>
      <c r="AS435" s="106">
        <f>+'Regulatory Charge'!AM435+Fuel!AM435+PCM!AN435+Interest!AM435+'O&amp;M'!AO435+'Capex &amp; Depr'!AO435+Debt!AP435+Pat.!AF435+Rates!AM435</f>
        <v>3.4791149999999997</v>
      </c>
      <c r="AT435" s="106">
        <f>+'Regulatory Charge'!AN435+Fuel!AN435+PCM!AO435+Interest!AN435+'O&amp;M'!AP435+'Capex &amp; Depr'!AP435+Debt!AQ435+Pat.!AG435+Rates!AN435</f>
        <v>3.7133859999999994</v>
      </c>
      <c r="AU435" s="106">
        <f>+'Regulatory Charge'!AO435+Fuel!AO435+PCM!AP435+Interest!AO435+'O&amp;M'!AQ435+'Capex &amp; Depr'!AQ435+Debt!AR435+Pat.!AH435+Rates!AO435</f>
        <v>3.7795910831934174</v>
      </c>
      <c r="AV435" s="106">
        <f>+'Regulatory Charge'!AP435+Fuel!AP435+PCM!AQ435+Interest!AP435+'O&amp;M'!AR435+'Capex &amp; Depr'!AR435+Debt!AS435+Pat.!AI435+Rates!AP435</f>
        <v>3.8480720956454304</v>
      </c>
      <c r="AW435" s="106">
        <f>+'Regulatory Charge'!AQ435+Fuel!AQ435+PCM!AR435+Interest!AQ435+'O&amp;M'!AS435+'Capex &amp; Depr'!AS435+Debt!AT435+Pat.!AJ435+Rates!AQ435</f>
        <v>3.9090538342182355</v>
      </c>
      <c r="AX435" s="106">
        <f>+'Regulatory Charge'!AR435+Fuel!AR435+PCM!AS435+Interest!AR435+'O&amp;M'!AT435+'Capex &amp; Depr'!AT435+Debt!AU435+Pat.!AK435+Rates!AR435</f>
        <v>3.9791233800209995</v>
      </c>
      <c r="AY435" s="106">
        <f>+'Regulatory Charge'!AS435+Fuel!AS435+PCM!AT435+Interest!AS435+'O&amp;M'!AU435+'Capex &amp; Depr'!AU435+Debt!AV435+Pat.!AL435+Rates!AS435</f>
        <v>4.051295012197845</v>
      </c>
      <c r="AZ435" s="106">
        <f>+'Regulatory Charge'!AT435+Fuel!AT435+PCM!AU435+Interest!AT435+'O&amp;M'!AV435+'Capex &amp; Depr'!AV435+Debt!AW435+Pat.!AM435+Rates!AT435</f>
        <v>4.1256317933399966</v>
      </c>
      <c r="BA435" s="106">
        <f>+'Regulatory Charge'!AU435+Fuel!AU435+PCM!AV435+Interest!AU435+'O&amp;M'!AW435+'Capex &amp; Depr'!AW435+Debt!AX435+Pat.!AN435+Rates!AU435</f>
        <v>4.2021986779164138</v>
      </c>
      <c r="BB435" s="106">
        <f>+'Regulatory Charge'!AV435+Fuel!AV435+PCM!AW435+Interest!AV435+'O&amp;M'!AX435+'Capex &amp; Depr'!AX435+Debt!AY435+Pat.!AO435+Rates!AV435</f>
        <v>4.2810625690301229</v>
      </c>
      <c r="BC435" s="106">
        <f>+'Regulatory Charge'!AW435+Fuel!AW435+PCM!AX435+Interest!AW435+'O&amp;M'!AY435+'Capex &amp; Depr'!AY435+Debt!AZ435+Pat.!AP435+Rates!AW435</f>
        <v>4.3622923768772441</v>
      </c>
      <c r="BD435" s="106"/>
      <c r="BE435" s="106"/>
    </row>
    <row r="436" spans="1:57">
      <c r="A436" s="849" t="s">
        <v>818</v>
      </c>
      <c r="B436" s="846" t="s">
        <v>1028</v>
      </c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224"/>
      <c r="S436" s="106">
        <f>+'Regulatory Charge'!M436+Fuel!M436+PCM!N436+Interest!M436+'O&amp;M'!O436+'Capex &amp; Depr'!O436+Debt!P436+Pat.!F436+Rates!M436</f>
        <v>0.23419499999999999</v>
      </c>
      <c r="T436" s="106">
        <f>+'Regulatory Charge'!N436+Fuel!N436+PCM!O436+Interest!N436+'O&amp;M'!P436+'Capex &amp; Depr'!P436+Debt!Q436+Pat.!G436+Rates!N436</f>
        <v>0.23419499999999999</v>
      </c>
      <c r="U436" s="106">
        <f>+'Regulatory Charge'!O436+Fuel!O436+PCM!P436+Interest!O436+'O&amp;M'!Q436+'Capex &amp; Depr'!Q436+Debt!R436+Pat.!H436+Rates!O436</f>
        <v>0.23419499999999999</v>
      </c>
      <c r="V436" s="106">
        <f>+'Regulatory Charge'!P436+Fuel!P436+PCM!Q436+Interest!P436+'O&amp;M'!R436+'Capex &amp; Depr'!R436+Debt!S436+Pat.!I436+Rates!P436</f>
        <v>0.234234</v>
      </c>
      <c r="W436" s="106">
        <f>+'Regulatory Charge'!Q436+Fuel!Q436+PCM!R436+Interest!Q436+'O&amp;M'!S436+'Capex &amp; Depr'!S436+Debt!T436+Pat.!J436+Rates!Q436</f>
        <v>0.23505000000000001</v>
      </c>
      <c r="X436" s="106">
        <f>+'Regulatory Charge'!R436+Fuel!R436+PCM!S436+Interest!R436+'O&amp;M'!T436+'Capex &amp; Depr'!T436+Debt!U436+Pat.!K436+Rates!R436</f>
        <v>0.236567</v>
      </c>
      <c r="Y436" s="106">
        <f>+'Regulatory Charge'!S436+Fuel!S436+PCM!T436+Interest!S436+'O&amp;M'!U436+'Capex &amp; Depr'!U436+Debt!V436+Pat.!L436+Rates!S436</f>
        <v>0.236567</v>
      </c>
      <c r="Z436" s="106">
        <f>+'Regulatory Charge'!T436+Fuel!T436+PCM!U436+Interest!T436+'O&amp;M'!V436+'Capex &amp; Depr'!V436+Debt!W436+Pat.!M436+Rates!T436</f>
        <v>0.236567</v>
      </c>
      <c r="AA436" s="106">
        <f>+'Regulatory Charge'!U436+Fuel!U436+PCM!V436+Interest!U436+'O&amp;M'!W436+'Capex &amp; Depr'!W436+Debt!X436+Pat.!N436+Rates!U436</f>
        <v>0.25175599999999998</v>
      </c>
      <c r="AB436" s="106">
        <f>+'Regulatory Charge'!V436+Fuel!V436+PCM!W436+Interest!V436+'O&amp;M'!X436+'Capex &amp; Depr'!X436+Debt!Y436+Pat.!O436+Rates!V436</f>
        <v>0.25175599999999998</v>
      </c>
      <c r="AC436" s="106">
        <f>+'Regulatory Charge'!W436+Fuel!W436+PCM!X436+Interest!W436+'O&amp;M'!Y436+'Capex &amp; Depr'!Y436+Debt!Z436+Pat.!P436+Rates!W436</f>
        <v>0.25175599999999998</v>
      </c>
      <c r="AD436" s="106">
        <f>+'Regulatory Charge'!X436+Fuel!X436+PCM!Y436+Interest!X436+'O&amp;M'!Z436+'Capex &amp; Depr'!Z436+Debt!AA436+Pat.!Q436+Rates!X436</f>
        <v>0.25175599999999998</v>
      </c>
      <c r="AE436" s="224">
        <f t="shared" si="0"/>
        <v>2.8885939999999994</v>
      </c>
      <c r="AF436" s="106">
        <f>+'Regulatory Charge'!Z436+Fuel!Z436+PCM!AA436+Interest!Z436+'O&amp;M'!AB436+'Capex &amp; Depr'!AB436+Debt!AC436+Pat.!S436+Rates!Z436</f>
        <v>0.25175599999999998</v>
      </c>
      <c r="AG436" s="106">
        <f>+'Regulatory Charge'!AA436+Fuel!AA436+PCM!AB436+Interest!AA436+'O&amp;M'!AC436+'Capex &amp; Depr'!AC436+Debt!AD436+Pat.!T436+Rates!AA436</f>
        <v>0.25175599999999998</v>
      </c>
      <c r="AH436" s="106">
        <f>+'Regulatory Charge'!AB436+Fuel!AB436+PCM!AC436+Interest!AB436+'O&amp;M'!AD436+'Capex &amp; Depr'!AD436+Debt!AE436+Pat.!U436+Rates!AB436</f>
        <v>0.25175599999999998</v>
      </c>
      <c r="AI436" s="106">
        <f>+'Regulatory Charge'!AC436+Fuel!AC436+PCM!AD436+Interest!AC436+'O&amp;M'!AE436+'Capex &amp; Depr'!AE436+Debt!AF436+Pat.!V436+Rates!AC436</f>
        <v>0.25183499999999998</v>
      </c>
      <c r="AJ436" s="106">
        <f>+'Regulatory Charge'!AD436+Fuel!AD436+PCM!AE436+Interest!AD436+'O&amp;M'!AF436+'Capex &amp; Depr'!AF436+Debt!AG436+Pat.!W436+Rates!AD436</f>
        <v>0.25273699999999999</v>
      </c>
      <c r="AK436" s="106">
        <f>+'Regulatory Charge'!AE436+Fuel!AE436+PCM!AF436+Interest!AE436+'O&amp;M'!AG436+'Capex &amp; Depr'!AG436+Debt!AH436+Pat.!X436+Rates!AE436</f>
        <v>0.25335299999999999</v>
      </c>
      <c r="AL436" s="106">
        <f>+'Regulatory Charge'!AF436+Fuel!AF436+PCM!AG436+Interest!AF436+'O&amp;M'!AH436+'Capex &amp; Depr'!AH436+Debt!AI436+Pat.!Y436+Rates!AF436</f>
        <v>0.25335299999999999</v>
      </c>
      <c r="AM436" s="106">
        <f>+'Regulatory Charge'!AG436+Fuel!AG436+PCM!AH436+Interest!AG436+'O&amp;M'!AI436+'Capex &amp; Depr'!AI436+Debt!AJ436+Pat.!Z436+Rates!AG436</f>
        <v>0.25339</v>
      </c>
      <c r="AN436" s="106">
        <f>+'Regulatory Charge'!AH436+Fuel!AH436+PCM!AI436+Interest!AH436+'O&amp;M'!AJ436+'Capex &amp; Depr'!AJ436+Debt!AK436+Pat.!AA436+Rates!AH436</f>
        <v>0.31686900000000001</v>
      </c>
      <c r="AO436" s="106">
        <f>+'Regulatory Charge'!AI436+Fuel!AI436+PCM!AJ436+Interest!AI436+'O&amp;M'!AK436+'Capex &amp; Depr'!AK436+Debt!AL436+Pat.!AB436+Rates!AI436</f>
        <v>0.31907000000000002</v>
      </c>
      <c r="AP436" s="106">
        <f>+'Regulatory Charge'!AJ436+Fuel!AJ436+PCM!AK436+Interest!AJ436+'O&amp;M'!AL436+'Capex &amp; Depr'!AL436+Debt!AM436+Pat.!AC436+Rates!AJ436</f>
        <v>0.32127</v>
      </c>
      <c r="AQ436" s="106">
        <f>+'Regulatory Charge'!AK436+Fuel!AK436+PCM!AL436+Interest!AK436+'O&amp;M'!AM436+'Capex &amp; Depr'!AM436+Debt!AN436+Pat.!AD436+Rates!AK436</f>
        <v>0.32127</v>
      </c>
      <c r="AR436" s="224">
        <f t="shared" si="1"/>
        <v>3.2984149999999999</v>
      </c>
      <c r="AS436" s="106">
        <f>+'Regulatory Charge'!AM436+Fuel!AM436+PCM!AN436+Interest!AM436+'O&amp;M'!AO436+'Capex &amp; Depr'!AO436+Debt!AP436+Pat.!AF436+Rates!AM436</f>
        <v>3.8768970000000009</v>
      </c>
      <c r="AT436" s="106">
        <f>+'Regulatory Charge'!AN436+Fuel!AN436+PCM!AO436+Interest!AN436+'O&amp;M'!AP436+'Capex &amp; Depr'!AP436+Debt!AQ436+Pat.!AG436+Rates!AN436</f>
        <v>3.9240689999999989</v>
      </c>
      <c r="AU436" s="106">
        <f>+'Regulatory Charge'!AO436+Fuel!AO436+PCM!AP436+Interest!AO436+'O&amp;M'!AQ436+'Capex &amp; Depr'!AQ436+Debt!AR436+Pat.!AH436+Rates!AO436</f>
        <v>3.9940303007109161</v>
      </c>
      <c r="AV436" s="106">
        <f>+'Regulatory Charge'!AP436+Fuel!AP436+PCM!AQ436+Interest!AP436+'O&amp;M'!AR436+'Capex &amp; Depr'!AR436+Debt!AS436+Pat.!AI436+Rates!AP436</f>
        <v>4.0663966580062683</v>
      </c>
      <c r="AW436" s="106">
        <f>+'Regulatory Charge'!AQ436+Fuel!AQ436+PCM!AR436+Interest!AQ436+'O&amp;M'!AS436+'Capex &amp; Depr'!AS436+Debt!AT436+Pat.!AJ436+Rates!AQ436</f>
        <v>4.1308382619493136</v>
      </c>
      <c r="AX436" s="106">
        <f>+'Regulatory Charge'!AR436+Fuel!AR436+PCM!AS436+Interest!AR436+'O&amp;M'!AT436+'Capex &amp; Depr'!AT436+Debt!AU436+Pat.!AK436+Rates!AR436</f>
        <v>4.2048832797655882</v>
      </c>
      <c r="AY436" s="106">
        <f>+'Regulatory Charge'!AS436+Fuel!AS436+PCM!AT436+Interest!AS436+'O&amp;M'!AU436+'Capex &amp; Depr'!AU436+Debt!AV436+Pat.!AL436+Rates!AS436</f>
        <v>4.2811496481163509</v>
      </c>
      <c r="AZ436" s="106">
        <f>+'Regulatory Charge'!AT436+Fuel!AT436+PCM!AU436+Interest!AT436+'O&amp;M'!AV436+'Capex &amp; Depr'!AV436+Debt!AW436+Pat.!AM436+Rates!AT436</f>
        <v>4.3597040075176361</v>
      </c>
      <c r="BA436" s="106">
        <f>+'Regulatory Charge'!AU436+Fuel!AU436+PCM!AV436+Interest!AU436+'O&amp;M'!AW436+'Capex &amp; Depr'!AW436+Debt!AX436+Pat.!AN436+Rates!AU436</f>
        <v>4.4406149977009619</v>
      </c>
      <c r="BB436" s="106">
        <f>+'Regulatory Charge'!AV436+Fuel!AV436+PCM!AW436+Interest!AV436+'O&amp;M'!AX436+'Capex &amp; Depr'!AX436+Debt!AY436+Pat.!AO436+Rates!AV436</f>
        <v>4.5239533175897853</v>
      </c>
      <c r="BC436" s="106">
        <f>+'Regulatory Charge'!AW436+Fuel!AW436+PCM!AX436+Interest!AW436+'O&amp;M'!AY436+'Capex &amp; Depr'!AY436+Debt!AZ436+Pat.!AP436+Rates!AW436</f>
        <v>4.6097917870752756</v>
      </c>
      <c r="BD436" s="106"/>
      <c r="BE436" s="106"/>
    </row>
    <row r="437" spans="1:57">
      <c r="A437" s="849" t="s">
        <v>607</v>
      </c>
      <c r="B437" s="846" t="s">
        <v>1026</v>
      </c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224"/>
      <c r="S437" s="106">
        <f>+'Regulatory Charge'!M437+Fuel!M437+PCM!N437+Interest!M437+'O&amp;M'!O437+'Capex &amp; Depr'!O437+Debt!P437+Pat.!F437+Rates!M437</f>
        <v>0.42905599999999999</v>
      </c>
      <c r="T437" s="106">
        <f>+'Regulatory Charge'!N437+Fuel!N437+PCM!O437+Interest!N437+'O&amp;M'!P437+'Capex &amp; Depr'!P437+Debt!Q437+Pat.!G437+Rates!N437</f>
        <v>0.42944300000000002</v>
      </c>
      <c r="U437" s="106">
        <f>+'Regulatory Charge'!O437+Fuel!O437+PCM!P437+Interest!O437+'O&amp;M'!Q437+'Capex &amp; Depr'!Q437+Debt!R437+Pat.!H437+Rates!O437</f>
        <v>0.42944300000000002</v>
      </c>
      <c r="V437" s="106">
        <f>+'Regulatory Charge'!P437+Fuel!P437+PCM!Q437+Interest!P437+'O&amp;M'!R437+'Capex &amp; Depr'!R437+Debt!S437+Pat.!I437+Rates!P437</f>
        <v>0.43083900000000003</v>
      </c>
      <c r="W437" s="106">
        <f>+'Regulatory Charge'!Q437+Fuel!Q437+PCM!R437+Interest!Q437+'O&amp;M'!S437+'Capex &amp; Depr'!S437+Debt!T437+Pat.!J437+Rates!Q437</f>
        <v>0.43217299999999997</v>
      </c>
      <c r="X437" s="106">
        <f>+'Regulatory Charge'!R437+Fuel!R437+PCM!S437+Interest!R437+'O&amp;M'!T437+'Capex &amp; Depr'!T437+Debt!U437+Pat.!K437+Rates!R437</f>
        <v>0.43263099999999999</v>
      </c>
      <c r="Y437" s="106">
        <f>+'Regulatory Charge'!S437+Fuel!S437+PCM!T437+Interest!S437+'O&amp;M'!U437+'Capex &amp; Depr'!U437+Debt!V437+Pat.!L437+Rates!S437</f>
        <v>0.43555100000000002</v>
      </c>
      <c r="Z437" s="106">
        <f>+'Regulatory Charge'!T437+Fuel!T437+PCM!U437+Interest!T437+'O&amp;M'!V437+'Capex &amp; Depr'!V437+Debt!W437+Pat.!M437+Rates!T437</f>
        <v>0.43887799999999999</v>
      </c>
      <c r="AA437" s="106">
        <f>+'Regulatory Charge'!U437+Fuel!U437+PCM!V437+Interest!U437+'O&amp;M'!W437+'Capex &amp; Depr'!W437+Debt!X437+Pat.!N437+Rates!U437</f>
        <v>0.46490599999999999</v>
      </c>
      <c r="AB437" s="106">
        <f>+'Regulatory Charge'!V437+Fuel!V437+PCM!W437+Interest!V437+'O&amp;M'!X437+'Capex &amp; Depr'!X437+Debt!Y437+Pat.!O437+Rates!V437</f>
        <v>0.466138</v>
      </c>
      <c r="AC437" s="106">
        <f>+'Regulatory Charge'!W437+Fuel!W437+PCM!X437+Interest!W437+'O&amp;M'!Y437+'Capex &amp; Depr'!Y437+Debt!Z437+Pat.!P437+Rates!W437</f>
        <v>0.46651300000000001</v>
      </c>
      <c r="AD437" s="106">
        <f>+'Regulatory Charge'!X437+Fuel!X437+PCM!Y437+Interest!X437+'O&amp;M'!Z437+'Capex &amp; Depr'!Z437+Debt!AA437+Pat.!Q437+Rates!X437</f>
        <v>0.46651300000000001</v>
      </c>
      <c r="AE437" s="224">
        <f t="shared" si="0"/>
        <v>5.3220840000000003</v>
      </c>
      <c r="AF437" s="106">
        <f>+'Regulatory Charge'!Z437+Fuel!Z437+PCM!AA437+Interest!Z437+'O&amp;M'!AB437+'Capex &amp; Depr'!AB437+Debt!AC437+Pat.!S437+Rates!Z437</f>
        <v>0.46651300000000001</v>
      </c>
      <c r="AG437" s="106">
        <f>+'Regulatory Charge'!AA437+Fuel!AA437+PCM!AB437+Interest!AA437+'O&amp;M'!AC437+'Capex &amp; Depr'!AC437+Debt!AD437+Pat.!T437+Rates!AA437</f>
        <v>0.46762599999999999</v>
      </c>
      <c r="AH437" s="106">
        <f>+'Regulatory Charge'!AB437+Fuel!AB437+PCM!AC437+Interest!AB437+'O&amp;M'!AD437+'Capex &amp; Depr'!AD437+Debt!AE437+Pat.!U437+Rates!AB437</f>
        <v>0.46762599999999999</v>
      </c>
      <c r="AI437" s="106">
        <f>+'Regulatory Charge'!AC437+Fuel!AC437+PCM!AD437+Interest!AC437+'O&amp;M'!AE437+'Capex &amp; Depr'!AE437+Debt!AF437+Pat.!V437+Rates!AC437</f>
        <v>0.46985300000000002</v>
      </c>
      <c r="AJ437" s="106">
        <f>+'Regulatory Charge'!AD437+Fuel!AD437+PCM!AE437+Interest!AD437+'O&amp;M'!AF437+'Capex &amp; Depr'!AF437+Debt!AG437+Pat.!W437+Rates!AD437</f>
        <v>0.47047499999999998</v>
      </c>
      <c r="AK437" s="106">
        <f>+'Regulatory Charge'!AE437+Fuel!AE437+PCM!AF437+Interest!AE437+'O&amp;M'!AG437+'Capex &amp; Depr'!AG437+Debt!AH437+Pat.!X437+Rates!AE437</f>
        <v>0.47663100000000003</v>
      </c>
      <c r="AL437" s="106">
        <f>+'Regulatory Charge'!AF437+Fuel!AF437+PCM!AG437+Interest!AF437+'O&amp;M'!AH437+'Capex &amp; Depr'!AH437+Debt!AI437+Pat.!Y437+Rates!AF437</f>
        <v>0.47847499999999998</v>
      </c>
      <c r="AM437" s="106">
        <f>+'Regulatory Charge'!AG437+Fuel!AG437+PCM!AH437+Interest!AG437+'O&amp;M'!AI437+'Capex &amp; Depr'!AI437+Debt!AJ437+Pat.!Z437+Rates!AG437</f>
        <v>0.47887800000000003</v>
      </c>
      <c r="AN437" s="106">
        <f>+'Regulatory Charge'!AH437+Fuel!AH437+PCM!AI437+Interest!AH437+'O&amp;M'!AJ437+'Capex &amp; Depr'!AJ437+Debt!AK437+Pat.!AA437+Rates!AH437</f>
        <v>0.47919800000000001</v>
      </c>
      <c r="AO437" s="106">
        <f>+'Regulatory Charge'!AI437+Fuel!AI437+PCM!AJ437+Interest!AI437+'O&amp;M'!AK437+'Capex &amp; Depr'!AK437+Debt!AL437+Pat.!AB437+Rates!AI437</f>
        <v>0.47953699999999999</v>
      </c>
      <c r="AP437" s="106">
        <f>+'Regulatory Charge'!AJ437+Fuel!AJ437+PCM!AK437+Interest!AJ437+'O&amp;M'!AL437+'Capex &amp; Depr'!AL437+Debt!AM437+Pat.!AC437+Rates!AJ437</f>
        <v>0.47953699999999999</v>
      </c>
      <c r="AQ437" s="106">
        <f>+'Regulatory Charge'!AK437+Fuel!AK437+PCM!AL437+Interest!AK437+'O&amp;M'!AM437+'Capex &amp; Depr'!AM437+Debt!AN437+Pat.!AD437+Rates!AK437</f>
        <v>0.47953699999999999</v>
      </c>
      <c r="AR437" s="224">
        <f t="shared" si="1"/>
        <v>5.6938859999999991</v>
      </c>
      <c r="AS437" s="106">
        <f>+'Regulatory Charge'!AM437+Fuel!AM437+PCM!AN437+Interest!AM437+'O&amp;M'!AO437+'Capex &amp; Depr'!AO437+Debt!AP437+Pat.!AF437+Rates!AM437</f>
        <v>5.9164810000000001</v>
      </c>
      <c r="AT437" s="106">
        <f>+'Regulatory Charge'!AN437+Fuel!AN437+PCM!AO437+Interest!AN437+'O&amp;M'!AP437+'Capex &amp; Depr'!AP437+Debt!AQ437+Pat.!AG437+Rates!AN437</f>
        <v>6.1800649999999999</v>
      </c>
      <c r="AU437" s="106">
        <f>+'Regulatory Charge'!AO437+Fuel!AO437+PCM!AP437+Interest!AO437+'O&amp;M'!AQ437+'Capex &amp; Depr'!AQ437+Debt!AR437+Pat.!AH437+Rates!AO437</f>
        <v>6.2902479213191755</v>
      </c>
      <c r="AV437" s="106">
        <f>+'Regulatory Charge'!AP437+Fuel!AP437+PCM!AQ437+Interest!AP437+'O&amp;M'!AR437+'Capex &amp; Depr'!AR437+Debt!AS437+Pat.!AI437+Rates!AP437</f>
        <v>6.4042185961208924</v>
      </c>
      <c r="AW437" s="106">
        <f>+'Regulatory Charge'!AQ437+Fuel!AQ437+PCM!AR437+Interest!AQ437+'O&amp;M'!AS437+'Capex &amp; Depr'!AS437+Debt!AT437+Pat.!AJ437+Rates!AQ437</f>
        <v>6.5057084784527976</v>
      </c>
      <c r="AX437" s="106">
        <f>+'Regulatory Charge'!AR437+Fuel!AR437+PCM!AS437+Interest!AR437+'O&amp;M'!AT437+'Capex &amp; Depr'!AT437+Debt!AU437+Pat.!AK437+Rates!AR437</f>
        <v>6.6223228965557253</v>
      </c>
      <c r="AY437" s="106">
        <f>+'Regulatory Charge'!AS437+Fuel!AS437+PCM!AT437+Interest!AS437+'O&amp;M'!AU437+'Capex &amp; Depr'!AU437+Debt!AV437+Pat.!AL437+Rates!AS437</f>
        <v>6.74243574720174</v>
      </c>
      <c r="AZ437" s="106">
        <f>+'Regulatory Charge'!AT437+Fuel!AT437+PCM!AU437+Interest!AT437+'O&amp;M'!AV437+'Capex &amp; Depr'!AV437+Debt!AW437+Pat.!AM437+Rates!AT437</f>
        <v>6.8661519833671347</v>
      </c>
      <c r="BA437" s="106">
        <f>+'Regulatory Charge'!AU437+Fuel!AU437+PCM!AV437+Interest!AU437+'O&amp;M'!AW437+'Capex &amp; Depr'!AW437+Debt!AX437+Pat.!AN437+Rates!AU437</f>
        <v>6.9935797066174938</v>
      </c>
      <c r="BB437" s="106">
        <f>+'Regulatory Charge'!AV437+Fuel!AV437+PCM!AW437+Interest!AV437+'O&amp;M'!AX437+'Capex &amp; Depr'!AX437+Debt!AY437+Pat.!AO437+Rates!AV437</f>
        <v>7.1248302615653616</v>
      </c>
      <c r="BC437" s="106">
        <f>+'Regulatory Charge'!AW437+Fuel!AW437+PCM!AX437+Interest!AW437+'O&amp;M'!AY437+'Capex &amp; Depr'!AY437+Debt!AZ437+Pat.!AP437+Rates!AW437</f>
        <v>7.2600183331616677</v>
      </c>
      <c r="BD437" s="106"/>
      <c r="BE437" s="106"/>
    </row>
    <row r="438" spans="1:57">
      <c r="A438" s="849" t="s">
        <v>818</v>
      </c>
      <c r="B438" s="846" t="s">
        <v>1028</v>
      </c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224"/>
      <c r="S438" s="106">
        <f>+'Regulatory Charge'!M438+Fuel!M438+PCM!N438+Interest!M438+'O&amp;M'!O438+'Capex &amp; Depr'!O438+Debt!P438+Pat.!F438+Rates!M438</f>
        <v>0.23527699999999999</v>
      </c>
      <c r="T438" s="106">
        <f>+'Regulatory Charge'!N438+Fuel!N438+PCM!O438+Interest!N438+'O&amp;M'!P438+'Capex &amp; Depr'!P438+Debt!Q438+Pat.!G438+Rates!N438</f>
        <v>0.23527699999999999</v>
      </c>
      <c r="U438" s="106">
        <f>+'Regulatory Charge'!O438+Fuel!O438+PCM!P438+Interest!O438+'O&amp;M'!Q438+'Capex &amp; Depr'!Q438+Debt!R438+Pat.!H438+Rates!O438</f>
        <v>0.23527699999999999</v>
      </c>
      <c r="V438" s="106">
        <f>+'Regulatory Charge'!P438+Fuel!P438+PCM!Q438+Interest!P438+'O&amp;M'!R438+'Capex &amp; Depr'!R438+Debt!S438+Pat.!I438+Rates!P438</f>
        <v>0.235317</v>
      </c>
      <c r="W438" s="106">
        <f>+'Regulatory Charge'!Q438+Fuel!Q438+PCM!R438+Interest!Q438+'O&amp;M'!S438+'Capex &amp; Depr'!S438+Debt!T438+Pat.!J438+Rates!Q438</f>
        <v>0.235374</v>
      </c>
      <c r="X438" s="106">
        <f>+'Regulatory Charge'!R438+Fuel!R438+PCM!S438+Interest!R438+'O&amp;M'!T438+'Capex &amp; Depr'!T438+Debt!U438+Pat.!K438+Rates!R438</f>
        <v>0.23603499999999999</v>
      </c>
      <c r="Y438" s="106">
        <f>+'Regulatory Charge'!S438+Fuel!S438+PCM!T438+Interest!S438+'O&amp;M'!U438+'Capex &amp; Depr'!U438+Debt!V438+Pat.!L438+Rates!S438</f>
        <v>0.236346</v>
      </c>
      <c r="Z438" s="106">
        <f>+'Regulatory Charge'!T438+Fuel!T438+PCM!U438+Interest!T438+'O&amp;M'!V438+'Capex &amp; Depr'!V438+Debt!W438+Pat.!M438+Rates!T438</f>
        <v>0.236346</v>
      </c>
      <c r="AA438" s="106">
        <f>+'Regulatory Charge'!U438+Fuel!U438+PCM!V438+Interest!U438+'O&amp;M'!W438+'Capex &amp; Depr'!W438+Debt!X438+Pat.!N438+Rates!U438</f>
        <v>0.248391</v>
      </c>
      <c r="AB438" s="106">
        <f>+'Regulatory Charge'!V438+Fuel!V438+PCM!W438+Interest!V438+'O&amp;M'!X438+'Capex &amp; Depr'!X438+Debt!Y438+Pat.!O438+Rates!V438</f>
        <v>0.24868399999999999</v>
      </c>
      <c r="AC438" s="106">
        <f>+'Regulatory Charge'!W438+Fuel!W438+PCM!X438+Interest!W438+'O&amp;M'!Y438+'Capex &amp; Depr'!Y438+Debt!Z438+Pat.!P438+Rates!W438</f>
        <v>0.24868399999999999</v>
      </c>
      <c r="AD438" s="106">
        <f>+'Regulatory Charge'!X438+Fuel!X438+PCM!Y438+Interest!X438+'O&amp;M'!Z438+'Capex &amp; Depr'!Z438+Debt!AA438+Pat.!Q438+Rates!X438</f>
        <v>0.24868399999999999</v>
      </c>
      <c r="AE438" s="224">
        <f t="shared" si="0"/>
        <v>2.8796919999999995</v>
      </c>
      <c r="AF438" s="106">
        <f>+'Regulatory Charge'!Z438+Fuel!Z438+PCM!AA438+Interest!Z438+'O&amp;M'!AB438+'Capex &amp; Depr'!AB438+Debt!AC438+Pat.!S438+Rates!Z438</f>
        <v>0.24868399999999999</v>
      </c>
      <c r="AG438" s="106">
        <f>+'Regulatory Charge'!AA438+Fuel!AA438+PCM!AB438+Interest!AA438+'O&amp;M'!AC438+'Capex &amp; Depr'!AC438+Debt!AD438+Pat.!T438+Rates!AA438</f>
        <v>0.24868399999999999</v>
      </c>
      <c r="AH438" s="106">
        <f>+'Regulatory Charge'!AB438+Fuel!AB438+PCM!AC438+Interest!AB438+'O&amp;M'!AD438+'Capex &amp; Depr'!AD438+Debt!AE438+Pat.!U438+Rates!AB438</f>
        <v>0.24868399999999999</v>
      </c>
      <c r="AI438" s="106">
        <f>+'Regulatory Charge'!AC438+Fuel!AC438+PCM!AD438+Interest!AC438+'O&amp;M'!AE438+'Capex &amp; Depr'!AE438+Debt!AF438+Pat.!V438+Rates!AC438</f>
        <v>0.25119999999999998</v>
      </c>
      <c r="AJ438" s="106">
        <f>+'Regulatory Charge'!AD438+Fuel!AD438+PCM!AE438+Interest!AD438+'O&amp;M'!AF438+'Capex &amp; Depr'!AF438+Debt!AG438+Pat.!W438+Rates!AD438</f>
        <v>0.25197999999999998</v>
      </c>
      <c r="AK438" s="106">
        <f>+'Regulatory Charge'!AE438+Fuel!AE438+PCM!AF438+Interest!AE438+'O&amp;M'!AG438+'Capex &amp; Depr'!AG438+Debt!AH438+Pat.!X438+Rates!AE438</f>
        <v>0.25566899999999998</v>
      </c>
      <c r="AL438" s="106">
        <f>+'Regulatory Charge'!AF438+Fuel!AF438+PCM!AG438+Interest!AF438+'O&amp;M'!AH438+'Capex &amp; Depr'!AH438+Debt!AI438+Pat.!Y438+Rates!AF438</f>
        <v>0.25569799999999998</v>
      </c>
      <c r="AM438" s="106">
        <f>+'Regulatory Charge'!AG438+Fuel!AG438+PCM!AH438+Interest!AG438+'O&amp;M'!AI438+'Capex &amp; Depr'!AI438+Debt!AJ438+Pat.!Z438+Rates!AG438</f>
        <v>0.25628499999999999</v>
      </c>
      <c r="AN438" s="106">
        <f>+'Regulatory Charge'!AH438+Fuel!AH438+PCM!AI438+Interest!AH438+'O&amp;M'!AJ438+'Capex &amp; Depr'!AJ438+Debt!AK438+Pat.!AA438+Rates!AH438</f>
        <v>0.29563699999999998</v>
      </c>
      <c r="AO438" s="106">
        <f>+'Regulatory Charge'!AI438+Fuel!AI438+PCM!AJ438+Interest!AI438+'O&amp;M'!AK438+'Capex &amp; Depr'!AK438+Debt!AL438+Pat.!AB438+Rates!AI438</f>
        <v>0.29617900000000003</v>
      </c>
      <c r="AP438" s="106">
        <f>+'Regulatory Charge'!AJ438+Fuel!AJ438+PCM!AK438+Interest!AJ438+'O&amp;M'!AL438+'Capex &amp; Depr'!AL438+Debt!AM438+Pat.!AC438+Rates!AJ438</f>
        <v>0.29617900000000003</v>
      </c>
      <c r="AQ438" s="106">
        <f>+'Regulatory Charge'!AK438+Fuel!AK438+PCM!AL438+Interest!AK438+'O&amp;M'!AM438+'Capex &amp; Depr'!AM438+Debt!AN438+Pat.!AD438+Rates!AK438</f>
        <v>0.29617900000000003</v>
      </c>
      <c r="AR438" s="224">
        <f t="shared" si="1"/>
        <v>3.2010579999999997</v>
      </c>
      <c r="AS438" s="106">
        <f>+'Regulatory Charge'!AM438+Fuel!AM438+PCM!AN438+Interest!AM438+'O&amp;M'!AO438+'Capex &amp; Depr'!AO438+Debt!AP438+Pat.!AF438+Rates!AM438</f>
        <v>3.5931329999999999</v>
      </c>
      <c r="AT438" s="106">
        <f>+'Regulatory Charge'!AN438+Fuel!AN438+PCM!AO438+Interest!AN438+'O&amp;M'!AP438+'Capex &amp; Depr'!AP438+Debt!AQ438+Pat.!AG438+Rates!AN438</f>
        <v>3.6745599999999996</v>
      </c>
      <c r="AU438" s="106">
        <f>+'Regulatory Charge'!AO438+Fuel!AO438+PCM!AP438+Interest!AO438+'O&amp;M'!AQ438+'Capex &amp; Depr'!AQ438+Debt!AR438+Pat.!AH438+Rates!AO438</f>
        <v>3.740072863596513</v>
      </c>
      <c r="AV438" s="106">
        <f>+'Regulatory Charge'!AP438+Fuel!AP438+PCM!AQ438+Interest!AP438+'O&amp;M'!AR438+'Capex &amp; Depr'!AR438+Debt!AS438+Pat.!AI438+Rates!AP438</f>
        <v>3.8078378600487186</v>
      </c>
      <c r="AW438" s="106">
        <f>+'Regulatory Charge'!AQ438+Fuel!AQ438+PCM!AR438+Interest!AQ438+'O&amp;M'!AS438+'Capex &amp; Depr'!AS438+Debt!AT438+Pat.!AJ438+Rates!AQ438</f>
        <v>3.8681819926786383</v>
      </c>
      <c r="AX438" s="106">
        <f>+'Regulatory Charge'!AR438+Fuel!AR438+PCM!AS438+Interest!AR438+'O&amp;M'!AT438+'Capex &amp; Depr'!AT438+Debt!AU438+Pat.!AK438+Rates!AR438</f>
        <v>3.9375189132748285</v>
      </c>
      <c r="AY438" s="106">
        <f>+'Regulatory Charge'!AS438+Fuel!AS438+PCM!AT438+Interest!AS438+'O&amp;M'!AU438+'Capex &amp; Depr'!AU438+Debt!AV438+Pat.!AL438+Rates!AS438</f>
        <v>4.008935941488903</v>
      </c>
      <c r="AZ438" s="106">
        <f>+'Regulatory Charge'!AT438+Fuel!AT438+PCM!AU438+Interest!AT438+'O&amp;M'!AV438+'Capex &amp; Depr'!AV438+Debt!AW438+Pat.!AM438+Rates!AT438</f>
        <v>4.0824954805494</v>
      </c>
      <c r="BA438" s="106">
        <f>+'Regulatory Charge'!AU438+Fuel!AU438+PCM!AV438+Interest!AU438+'O&amp;M'!AW438+'Capex &amp; Depr'!AW438+Debt!AX438+Pat.!AN438+Rates!AU438</f>
        <v>4.1582618057817138</v>
      </c>
      <c r="BB438" s="106">
        <f>+'Regulatory Charge'!AV438+Fuel!AV438+PCM!AW438+Interest!AV438+'O&amp;M'!AX438+'Capex &amp; Depr'!AX438+Debt!AY438+Pat.!AO438+Rates!AV438</f>
        <v>4.236301120770996</v>
      </c>
      <c r="BC438" s="106">
        <f>+'Regulatory Charge'!AW438+Fuel!AW438+PCM!AX438+Interest!AW438+'O&amp;M'!AY438+'Capex &amp; Depr'!AY438+Debt!AZ438+Pat.!AP438+Rates!AW438</f>
        <v>4.3166816152099576</v>
      </c>
      <c r="BD438" s="106"/>
      <c r="BE438" s="106"/>
    </row>
    <row r="439" spans="1:57">
      <c r="A439" s="849" t="s">
        <v>607</v>
      </c>
      <c r="B439" s="846" t="s">
        <v>1026</v>
      </c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224"/>
      <c r="S439" s="106">
        <f>+'Regulatory Charge'!M439+Fuel!M439+PCM!N439+Interest!M439+'O&amp;M'!O439+'Capex &amp; Depr'!O439+Debt!P439+Pat.!F439+Rates!M439</f>
        <v>0.98775299999999999</v>
      </c>
      <c r="T439" s="106">
        <f>+'Regulatory Charge'!N439+Fuel!N439+PCM!O439+Interest!N439+'O&amp;M'!P439+'Capex &amp; Depr'!P439+Debt!Q439+Pat.!G439+Rates!N439</f>
        <v>0.98775299999999999</v>
      </c>
      <c r="U439" s="106">
        <f>+'Regulatory Charge'!O439+Fuel!O439+PCM!P439+Interest!O439+'O&amp;M'!Q439+'Capex &amp; Depr'!Q439+Debt!R439+Pat.!H439+Rates!O439</f>
        <v>0.98783699999999997</v>
      </c>
      <c r="V439" s="106">
        <f>+'Regulatory Charge'!P439+Fuel!P439+PCM!Q439+Interest!P439+'O&amp;M'!R439+'Capex &amp; Depr'!R439+Debt!S439+Pat.!I439+Rates!P439</f>
        <v>0.98813899999999999</v>
      </c>
      <c r="W439" s="106">
        <f>+'Regulatory Charge'!Q439+Fuel!Q439+PCM!R439+Interest!Q439+'O&amp;M'!S439+'Capex &amp; Depr'!S439+Debt!T439+Pat.!J439+Rates!Q439</f>
        <v>0.98831599999999997</v>
      </c>
      <c r="X439" s="106">
        <f>+'Regulatory Charge'!R439+Fuel!R439+PCM!S439+Interest!R439+'O&amp;M'!T439+'Capex &amp; Depr'!T439+Debt!U439+Pat.!K439+Rates!R439</f>
        <v>0.988402</v>
      </c>
      <c r="Y439" s="106">
        <f>+'Regulatory Charge'!S439+Fuel!S439+PCM!T439+Interest!S439+'O&amp;M'!U439+'Capex &amp; Depr'!U439+Debt!V439+Pat.!L439+Rates!S439</f>
        <v>0.98851</v>
      </c>
      <c r="Z439" s="106">
        <f>+'Regulatory Charge'!T439+Fuel!T439+PCM!U439+Interest!T439+'O&amp;M'!V439+'Capex &amp; Depr'!V439+Debt!W439+Pat.!M439+Rates!T439</f>
        <v>0.98851</v>
      </c>
      <c r="AA439" s="106">
        <f>+'Regulatory Charge'!U439+Fuel!U439+PCM!V439+Interest!U439+'O&amp;M'!W439+'Capex &amp; Depr'!W439+Debt!X439+Pat.!N439+Rates!U439</f>
        <v>1.0416129999999999</v>
      </c>
      <c r="AB439" s="106">
        <f>+'Regulatory Charge'!V439+Fuel!V439+PCM!W439+Interest!V439+'O&amp;M'!X439+'Capex &amp; Depr'!X439+Debt!Y439+Pat.!O439+Rates!V439</f>
        <v>1.0425679999999999</v>
      </c>
      <c r="AC439" s="106">
        <f>+'Regulatory Charge'!W439+Fuel!W439+PCM!X439+Interest!W439+'O&amp;M'!Y439+'Capex &amp; Depr'!Y439+Debt!Z439+Pat.!P439+Rates!W439</f>
        <v>1.0497449999999999</v>
      </c>
      <c r="AD439" s="106">
        <f>+'Regulatory Charge'!X439+Fuel!X439+PCM!Y439+Interest!X439+'O&amp;M'!Z439+'Capex &amp; Depr'!Z439+Debt!AA439+Pat.!Q439+Rates!X439</f>
        <v>1.0506519999999999</v>
      </c>
      <c r="AE439" s="224">
        <f t="shared" si="0"/>
        <v>12.089797999999996</v>
      </c>
      <c r="AF439" s="106">
        <f>+'Regulatory Charge'!Z439+Fuel!Z439+PCM!AA439+Interest!Z439+'O&amp;M'!AB439+'Capex &amp; Depr'!AB439+Debt!AC439+Pat.!S439+Rates!Z439</f>
        <v>1.0506519999999999</v>
      </c>
      <c r="AG439" s="106">
        <f>+'Regulatory Charge'!AA439+Fuel!AA439+PCM!AB439+Interest!AA439+'O&amp;M'!AC439+'Capex &amp; Depr'!AC439+Debt!AD439+Pat.!T439+Rates!AA439</f>
        <v>1.0506519999999999</v>
      </c>
      <c r="AH439" s="106">
        <f>+'Regulatory Charge'!AB439+Fuel!AB439+PCM!AC439+Interest!AB439+'O&amp;M'!AD439+'Capex &amp; Depr'!AD439+Debt!AE439+Pat.!U439+Rates!AB439</f>
        <v>1.0506519999999999</v>
      </c>
      <c r="AI439" s="106">
        <f>+'Regulatory Charge'!AC439+Fuel!AC439+PCM!AD439+Interest!AC439+'O&amp;M'!AE439+'Capex &amp; Depr'!AE439+Debt!AF439+Pat.!V439+Rates!AC439</f>
        <v>1.0506819999999999</v>
      </c>
      <c r="AJ439" s="106">
        <f>+'Regulatory Charge'!AD439+Fuel!AD439+PCM!AE439+Interest!AD439+'O&amp;M'!AF439+'Capex &amp; Depr'!AF439+Debt!AG439+Pat.!W439+Rates!AD439</f>
        <v>1.0506819999999999</v>
      </c>
      <c r="AK439" s="106">
        <f>+'Regulatory Charge'!AE439+Fuel!AE439+PCM!AF439+Interest!AE439+'O&amp;M'!AG439+'Capex &amp; Depr'!AG439+Debt!AH439+Pat.!X439+Rates!AE439</f>
        <v>1.05084</v>
      </c>
      <c r="AL439" s="106">
        <f>+'Regulatory Charge'!AF439+Fuel!AF439+PCM!AG439+Interest!AF439+'O&amp;M'!AH439+'Capex &amp; Depr'!AH439+Debt!AI439+Pat.!Y439+Rates!AF439</f>
        <v>1.050962</v>
      </c>
      <c r="AM439" s="106">
        <f>+'Regulatory Charge'!AG439+Fuel!AG439+PCM!AH439+Interest!AG439+'O&amp;M'!AI439+'Capex &amp; Depr'!AI439+Debt!AJ439+Pat.!Z439+Rates!AG439</f>
        <v>1.050962</v>
      </c>
      <c r="AN439" s="106">
        <f>+'Regulatory Charge'!AH439+Fuel!AH439+PCM!AI439+Interest!AH439+'O&amp;M'!AJ439+'Capex &amp; Depr'!AJ439+Debt!AK439+Pat.!AA439+Rates!AH439</f>
        <v>1.050962</v>
      </c>
      <c r="AO439" s="106">
        <f>+'Regulatory Charge'!AI439+Fuel!AI439+PCM!AJ439+Interest!AI439+'O&amp;M'!AK439+'Capex &amp; Depr'!AK439+Debt!AL439+Pat.!AB439+Rates!AI439</f>
        <v>1.0512360000000001</v>
      </c>
      <c r="AP439" s="106">
        <f>+'Regulatory Charge'!AJ439+Fuel!AJ439+PCM!AK439+Interest!AJ439+'O&amp;M'!AL439+'Capex &amp; Depr'!AL439+Debt!AM439+Pat.!AC439+Rates!AJ439</f>
        <v>1.051261</v>
      </c>
      <c r="AQ439" s="106">
        <f>+'Regulatory Charge'!AK439+Fuel!AK439+PCM!AL439+Interest!AK439+'O&amp;M'!AM439+'Capex &amp; Depr'!AM439+Debt!AN439+Pat.!AD439+Rates!AK439</f>
        <v>1.051261</v>
      </c>
      <c r="AR439" s="224">
        <f t="shared" si="1"/>
        <v>12.610804</v>
      </c>
      <c r="AS439" s="106">
        <f>+'Regulatory Charge'!AM439+Fuel!AM439+PCM!AN439+Interest!AM439+'O&amp;M'!AO439+'Capex &amp; Depr'!AO439+Debt!AP439+Pat.!AF439+Rates!AM439</f>
        <v>12.622690000000002</v>
      </c>
      <c r="AT439" s="106">
        <f>+'Regulatory Charge'!AN439+Fuel!AN439+PCM!AO439+Interest!AN439+'O&amp;M'!AP439+'Capex &amp; Depr'!AP439+Debt!AQ439+Pat.!AG439+Rates!AN439</f>
        <v>12.648496999999997</v>
      </c>
      <c r="AU439" s="106">
        <f>+'Regulatory Charge'!AO439+Fuel!AO439+PCM!AP439+Interest!AO439+'O&amp;M'!AQ439+'Capex &amp; Depr'!AQ439+Debt!AR439+Pat.!AH439+Rates!AO439</f>
        <v>12.874004069870107</v>
      </c>
      <c r="AV439" s="106">
        <f>+'Regulatory Charge'!AP439+Fuel!AP439+PCM!AQ439+Interest!AP439+'O&amp;M'!AR439+'Capex &amp; Depr'!AR439+Debt!AS439+Pat.!AI439+Rates!AP439</f>
        <v>13.107263386449706</v>
      </c>
      <c r="AW439" s="106">
        <f>+'Regulatory Charge'!AQ439+Fuel!AQ439+PCM!AR439+Interest!AQ439+'O&amp;M'!AS439+'Capex &amp; Depr'!AS439+Debt!AT439+Pat.!AJ439+Rates!AQ439</f>
        <v>13.314978753877954</v>
      </c>
      <c r="AX439" s="106">
        <f>+'Regulatory Charge'!AR439+Fuel!AR439+PCM!AS439+Interest!AR439+'O&amp;M'!AT439+'Capex &amp; Depr'!AT439+Debt!AU439+Pat.!AK439+Rates!AR439</f>
        <v>13.553648916332818</v>
      </c>
      <c r="AY439" s="106">
        <f>+'Regulatory Charge'!AS439+Fuel!AS439+PCM!AT439+Interest!AS439+'O&amp;M'!AU439+'Capex &amp; Depr'!AU439+Debt!AV439+Pat.!AL439+Rates!AS439</f>
        <v>13.799479183661328</v>
      </c>
      <c r="AZ439" s="106">
        <f>+'Regulatory Charge'!AT439+Fuel!AT439+PCM!AU439+Interest!AT439+'O&amp;M'!AV439+'Capex &amp; Depr'!AV439+Debt!AW439+Pat.!AM439+Rates!AT439</f>
        <v>14.052684359009692</v>
      </c>
      <c r="BA439" s="106">
        <f>+'Regulatory Charge'!AU439+Fuel!AU439+PCM!AV439+Interest!AU439+'O&amp;M'!AW439+'Capex &amp; Depr'!AW439+Debt!AX439+Pat.!AN439+Rates!AU439</f>
        <v>14.313485689618512</v>
      </c>
      <c r="BB439" s="106">
        <f>+'Regulatory Charge'!AV439+Fuel!AV439+PCM!AW439+Interest!AV439+'O&amp;M'!AX439+'Capex &amp; Depr'!AX439+Debt!AY439+Pat.!AO439+Rates!AV439</f>
        <v>14.582111060145593</v>
      </c>
      <c r="BC439" s="106">
        <f>+'Regulatory Charge'!AW439+Fuel!AW439+PCM!AX439+Interest!AW439+'O&amp;M'!AY439+'Capex &amp; Depr'!AY439+Debt!AZ439+Pat.!AP439+Rates!AW439</f>
        <v>14.858795191788488</v>
      </c>
      <c r="BD439" s="106"/>
      <c r="BE439" s="106"/>
    </row>
    <row r="440" spans="1:57">
      <c r="A440" s="849" t="s">
        <v>818</v>
      </c>
      <c r="B440" s="846" t="s">
        <v>1027</v>
      </c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224"/>
      <c r="S440" s="106">
        <f>+'Regulatory Charge'!M440+Fuel!M440+PCM!N440+Interest!M440+'O&amp;M'!O440+'Capex &amp; Depr'!O440+Debt!P440+Pat.!F440+Rates!M440</f>
        <v>0.61127900000000002</v>
      </c>
      <c r="T440" s="106">
        <f>+'Regulatory Charge'!N440+Fuel!N440+PCM!O440+Interest!N440+'O&amp;M'!P440+'Capex &amp; Depr'!P440+Debt!Q440+Pat.!G440+Rates!N440</f>
        <v>0.61127900000000002</v>
      </c>
      <c r="U440" s="106">
        <f>+'Regulatory Charge'!O440+Fuel!O440+PCM!P440+Interest!O440+'O&amp;M'!Q440+'Capex &amp; Depr'!Q440+Debt!R440+Pat.!H440+Rates!O440</f>
        <v>0.61127900000000002</v>
      </c>
      <c r="V440" s="106">
        <f>+'Regulatory Charge'!P440+Fuel!P440+PCM!Q440+Interest!P440+'O&amp;M'!R440+'Capex &amp; Depr'!R440+Debt!S440+Pat.!I440+Rates!P440</f>
        <v>0.61131500000000005</v>
      </c>
      <c r="W440" s="106">
        <f>+'Regulatory Charge'!Q440+Fuel!Q440+PCM!R440+Interest!Q440+'O&amp;M'!S440+'Capex &amp; Depr'!S440+Debt!T440+Pat.!J440+Rates!Q440</f>
        <v>0.61136800000000002</v>
      </c>
      <c r="X440" s="106">
        <f>+'Regulatory Charge'!R440+Fuel!R440+PCM!S440+Interest!R440+'O&amp;M'!T440+'Capex &amp; Depr'!T440+Debt!U440+Pat.!K440+Rates!R440</f>
        <v>0.61143700000000001</v>
      </c>
      <c r="Y440" s="106">
        <f>+'Regulatory Charge'!S440+Fuel!S440+PCM!T440+Interest!S440+'O&amp;M'!U440+'Capex &amp; Depr'!U440+Debt!V440+Pat.!L440+Rates!S440</f>
        <v>0.61143700000000001</v>
      </c>
      <c r="Z440" s="106">
        <f>+'Regulatory Charge'!T440+Fuel!T440+PCM!U440+Interest!T440+'O&amp;M'!V440+'Capex &amp; Depr'!V440+Debt!W440+Pat.!M440+Rates!T440</f>
        <v>0.61143700000000001</v>
      </c>
      <c r="AA440" s="106">
        <f>+'Regulatory Charge'!U440+Fuel!U440+PCM!V440+Interest!U440+'O&amp;M'!W440+'Capex &amp; Depr'!W440+Debt!X440+Pat.!N440+Rates!U440</f>
        <v>0.61999899999999997</v>
      </c>
      <c r="AB440" s="106">
        <f>+'Regulatory Charge'!V440+Fuel!V440+PCM!W440+Interest!V440+'O&amp;M'!X440+'Capex &amp; Depr'!X440+Debt!Y440+Pat.!O440+Rates!V440</f>
        <v>0.61999899999999997</v>
      </c>
      <c r="AC440" s="106">
        <f>+'Regulatory Charge'!W440+Fuel!W440+PCM!X440+Interest!W440+'O&amp;M'!Y440+'Capex &amp; Depr'!Y440+Debt!Z440+Pat.!P440+Rates!W440</f>
        <v>0.61999899999999997</v>
      </c>
      <c r="AD440" s="106">
        <f>+'Regulatory Charge'!X440+Fuel!X440+PCM!Y440+Interest!X440+'O&amp;M'!Z440+'Capex &amp; Depr'!Z440+Debt!AA440+Pat.!Q440+Rates!X440</f>
        <v>0.61999899999999997</v>
      </c>
      <c r="AE440" s="224">
        <f t="shared" si="0"/>
        <v>7.3708270000000002</v>
      </c>
      <c r="AF440" s="106">
        <f>+'Regulatory Charge'!Z440+Fuel!Z440+PCM!AA440+Interest!Z440+'O&amp;M'!AB440+'Capex &amp; Depr'!AB440+Debt!AC440+Pat.!S440+Rates!Z440</f>
        <v>0.61999899999999997</v>
      </c>
      <c r="AG440" s="106">
        <f>+'Regulatory Charge'!AA440+Fuel!AA440+PCM!AB440+Interest!AA440+'O&amp;M'!AC440+'Capex &amp; Depr'!AC440+Debt!AD440+Pat.!T440+Rates!AA440</f>
        <v>0.61999899999999997</v>
      </c>
      <c r="AH440" s="106">
        <f>+'Regulatory Charge'!AB440+Fuel!AB440+PCM!AC440+Interest!AB440+'O&amp;M'!AD440+'Capex &amp; Depr'!AD440+Debt!AE440+Pat.!U440+Rates!AB440</f>
        <v>0.61999899999999997</v>
      </c>
      <c r="AI440" s="106">
        <f>+'Regulatory Charge'!AC440+Fuel!AC440+PCM!AD440+Interest!AC440+'O&amp;M'!AE440+'Capex &amp; Depr'!AE440+Debt!AF440+Pat.!V440+Rates!AC440</f>
        <v>0.62003799999999998</v>
      </c>
      <c r="AJ440" s="106">
        <f>+'Regulatory Charge'!AD440+Fuel!AD440+PCM!AE440+Interest!AD440+'O&amp;M'!AF440+'Capex &amp; Depr'!AF440+Debt!AG440+Pat.!W440+Rates!AD440</f>
        <v>0.62017</v>
      </c>
      <c r="AK440" s="106">
        <f>+'Regulatory Charge'!AE440+Fuel!AE440+PCM!AF440+Interest!AE440+'O&amp;M'!AG440+'Capex &amp; Depr'!AG440+Debt!AH440+Pat.!X440+Rates!AE440</f>
        <v>0.62017</v>
      </c>
      <c r="AL440" s="106">
        <f>+'Regulatory Charge'!AF440+Fuel!AF440+PCM!AG440+Interest!AF440+'O&amp;M'!AH440+'Capex &amp; Depr'!AH440+Debt!AI440+Pat.!Y440+Rates!AF440</f>
        <v>0.62017</v>
      </c>
      <c r="AM440" s="106">
        <f>+'Regulatory Charge'!AG440+Fuel!AG440+PCM!AH440+Interest!AG440+'O&amp;M'!AI440+'Capex &amp; Depr'!AI440+Debt!AJ440+Pat.!Z440+Rates!AG440</f>
        <v>0.62017</v>
      </c>
      <c r="AN440" s="106">
        <f>+'Regulatory Charge'!AH440+Fuel!AH440+PCM!AI440+Interest!AH440+'O&amp;M'!AJ440+'Capex &amp; Depr'!AJ440+Debt!AK440+Pat.!AA440+Rates!AH440</f>
        <v>0.64411600000000002</v>
      </c>
      <c r="AO440" s="106">
        <f>+'Regulatory Charge'!AI440+Fuel!AI440+PCM!AJ440+Interest!AI440+'O&amp;M'!AK440+'Capex &amp; Depr'!AK440+Debt!AL440+Pat.!AB440+Rates!AI440</f>
        <v>0.64411600000000002</v>
      </c>
      <c r="AP440" s="106">
        <f>+'Regulatory Charge'!AJ440+Fuel!AJ440+PCM!AK440+Interest!AJ440+'O&amp;M'!AL440+'Capex &amp; Depr'!AL440+Debt!AM440+Pat.!AC440+Rates!AJ440</f>
        <v>0.64411600000000002</v>
      </c>
      <c r="AQ440" s="106">
        <f>+'Regulatory Charge'!AK440+Fuel!AK440+PCM!AL440+Interest!AK440+'O&amp;M'!AM440+'Capex &amp; Depr'!AM440+Debt!AN440+Pat.!AD440+Rates!AK440</f>
        <v>0.64411600000000002</v>
      </c>
      <c r="AR440" s="224">
        <f t="shared" si="1"/>
        <v>7.537179000000001</v>
      </c>
      <c r="AS440" s="106">
        <f>+'Regulatory Charge'!AM440+Fuel!AM440+PCM!AN440+Interest!AM440+'O&amp;M'!AO440+'Capex &amp; Depr'!AO440+Debt!AP440+Pat.!AF440+Rates!AM440</f>
        <v>7.7645290000000013</v>
      </c>
      <c r="AT440" s="106">
        <f>+'Regulatory Charge'!AN440+Fuel!AN440+PCM!AO440+Interest!AN440+'O&amp;M'!AP440+'Capex &amp; Depr'!AP440+Debt!AQ440+Pat.!AG440+Rates!AN440</f>
        <v>7.8976320000000015</v>
      </c>
      <c r="AU440" s="106">
        <f>+'Regulatory Charge'!AO440+Fuel!AO440+PCM!AP440+Interest!AO440+'O&amp;M'!AQ440+'Capex &amp; Depr'!AQ440+Debt!AR440+Pat.!AH440+Rates!AO440</f>
        <v>8.0384370182746974</v>
      </c>
      <c r="AV440" s="106">
        <f>+'Regulatory Charge'!AP440+Fuel!AP440+PCM!AQ440+Interest!AP440+'O&amp;M'!AR440+'Capex &amp; Depr'!AR440+Debt!AS440+Pat.!AI440+Rates!AP440</f>
        <v>8.184082484523941</v>
      </c>
      <c r="AW440" s="106">
        <f>+'Regulatory Charge'!AQ440+Fuel!AQ440+PCM!AR440+Interest!AQ440+'O&amp;M'!AS440+'Capex &amp; Depr'!AS440+Debt!AT440+Pat.!AJ440+Rates!AQ440</f>
        <v>8.3137784897246458</v>
      </c>
      <c r="AX440" s="106">
        <f>+'Regulatory Charge'!AR440+Fuel!AR440+PCM!AS440+Interest!AR440+'O&amp;M'!AT440+'Capex &amp; Depr'!AT440+Debt!AU440+Pat.!AK440+Rates!AR440</f>
        <v>8.4628024498401242</v>
      </c>
      <c r="AY440" s="106">
        <f>+'Regulatory Charge'!AS440+Fuel!AS440+PCM!AT440+Interest!AS440+'O&amp;M'!AU440+'Capex &amp; Depr'!AU440+Debt!AV440+Pat.!AL440+Rates!AS440</f>
        <v>8.6162971287590651</v>
      </c>
      <c r="AZ440" s="106">
        <f>+'Regulatory Charge'!AT440+Fuel!AT440+PCM!AU440+Interest!AT440+'O&amp;M'!AV440+'Capex &amp; Depr'!AV440+Debt!AW440+Pat.!AM440+Rates!AT440</f>
        <v>8.7743966480455757</v>
      </c>
      <c r="BA440" s="106">
        <f>+'Regulatory Charge'!AU440+Fuel!AU440+PCM!AV440+Interest!AU440+'O&amp;M'!AW440+'Capex &amp; Depr'!AW440+Debt!AX440+Pat.!AN440+Rates!AU440</f>
        <v>8.9372391529106814</v>
      </c>
      <c r="BB440" s="106">
        <f>+'Regulatory Charge'!AV440+Fuel!AV440+PCM!AW440+Interest!AV440+'O&amp;M'!AX440+'Capex &amp; Depr'!AX440+Debt!AY440+Pat.!AO440+Rates!AV440</f>
        <v>9.1049669329217409</v>
      </c>
      <c r="BC440" s="106">
        <f>+'Regulatory Charge'!AW440+Fuel!AW440+PCM!AX440+Interest!AW440+'O&amp;M'!AY440+'Capex &amp; Depr'!AY440+Debt!AZ440+Pat.!AP440+Rates!AW440</f>
        <v>9.2777265463331329</v>
      </c>
      <c r="BD440" s="106"/>
      <c r="BE440" s="106"/>
    </row>
    <row r="441" spans="1:57">
      <c r="A441" s="849" t="s">
        <v>612</v>
      </c>
      <c r="B441" s="846" t="s">
        <v>819</v>
      </c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224"/>
      <c r="S441" s="106">
        <f>+'Regulatory Charge'!M441+Fuel!M441+PCM!N441+Interest!M441+'O&amp;M'!O441+'Capex &amp; Depr'!O441+Debt!P441+Pat.!F441+Rates!M441</f>
        <v>2.4695000000000002E-2</v>
      </c>
      <c r="T441" s="106">
        <f>+'Regulatory Charge'!N441+Fuel!N441+PCM!O441+Interest!N441+'O&amp;M'!P441+'Capex &amp; Depr'!P441+Debt!Q441+Pat.!G441+Rates!N441</f>
        <v>2.4695000000000002E-2</v>
      </c>
      <c r="U441" s="106">
        <f>+'Regulatory Charge'!O441+Fuel!O441+PCM!P441+Interest!O441+'O&amp;M'!Q441+'Capex &amp; Depr'!Q441+Debt!R441+Pat.!H441+Rates!O441</f>
        <v>2.4695000000000002E-2</v>
      </c>
      <c r="V441" s="106">
        <f>+'Regulatory Charge'!P441+Fuel!P441+PCM!Q441+Interest!P441+'O&amp;M'!R441+'Capex &amp; Depr'!R441+Debt!S441+Pat.!I441+Rates!P441</f>
        <v>2.4695000000000002E-2</v>
      </c>
      <c r="W441" s="106">
        <f>+'Regulatory Charge'!Q441+Fuel!Q441+PCM!R441+Interest!Q441+'O&amp;M'!S441+'Capex &amp; Depr'!S441+Debt!T441+Pat.!J441+Rates!Q441</f>
        <v>2.4695000000000002E-2</v>
      </c>
      <c r="X441" s="106">
        <f>+'Regulatory Charge'!R441+Fuel!R441+PCM!S441+Interest!R441+'O&amp;M'!T441+'Capex &amp; Depr'!T441+Debt!U441+Pat.!K441+Rates!R441</f>
        <v>2.4695000000000002E-2</v>
      </c>
      <c r="Y441" s="106">
        <f>+'Regulatory Charge'!S441+Fuel!S441+PCM!T441+Interest!S441+'O&amp;M'!U441+'Capex &amp; Depr'!U441+Debt!V441+Pat.!L441+Rates!S441</f>
        <v>2.4695000000000002E-2</v>
      </c>
      <c r="Z441" s="106">
        <f>+'Regulatory Charge'!T441+Fuel!T441+PCM!U441+Interest!T441+'O&amp;M'!V441+'Capex &amp; Depr'!V441+Debt!W441+Pat.!M441+Rates!T441</f>
        <v>2.4695000000000002E-2</v>
      </c>
      <c r="AA441" s="106">
        <f>+'Regulatory Charge'!U441+Fuel!U441+PCM!V441+Interest!U441+'O&amp;M'!W441+'Capex &amp; Depr'!W441+Debt!X441+Pat.!N441+Rates!U441</f>
        <v>2.5804000000000001E-2</v>
      </c>
      <c r="AB441" s="106">
        <f>+'Regulatory Charge'!V441+Fuel!V441+PCM!W441+Interest!V441+'O&amp;M'!X441+'Capex &amp; Depr'!X441+Debt!Y441+Pat.!O441+Rates!V441</f>
        <v>2.5804000000000001E-2</v>
      </c>
      <c r="AC441" s="106">
        <f>+'Regulatory Charge'!W441+Fuel!W441+PCM!X441+Interest!W441+'O&amp;M'!Y441+'Capex &amp; Depr'!Y441+Debt!Z441+Pat.!P441+Rates!W441</f>
        <v>2.5804000000000001E-2</v>
      </c>
      <c r="AD441" s="106">
        <f>+'Regulatory Charge'!X441+Fuel!X441+PCM!Y441+Interest!X441+'O&amp;M'!Z441+'Capex &amp; Depr'!Z441+Debt!AA441+Pat.!Q441+Rates!X441</f>
        <v>2.5804000000000001E-2</v>
      </c>
      <c r="AE441" s="224">
        <f t="shared" si="0"/>
        <v>0.30077599999999999</v>
      </c>
      <c r="AF441" s="106">
        <f>+'Regulatory Charge'!Z441+Fuel!Z441+PCM!AA441+Interest!Z441+'O&amp;M'!AB441+'Capex &amp; Depr'!AB441+Debt!AC441+Pat.!S441+Rates!Z441</f>
        <v>2.5804000000000001E-2</v>
      </c>
      <c r="AG441" s="106">
        <f>+'Regulatory Charge'!AA441+Fuel!AA441+PCM!AB441+Interest!AA441+'O&amp;M'!AC441+'Capex &amp; Depr'!AC441+Debt!AD441+Pat.!T441+Rates!AA441</f>
        <v>2.5804000000000001E-2</v>
      </c>
      <c r="AH441" s="106">
        <f>+'Regulatory Charge'!AB441+Fuel!AB441+PCM!AC441+Interest!AB441+'O&amp;M'!AD441+'Capex &amp; Depr'!AD441+Debt!AE441+Pat.!U441+Rates!AB441</f>
        <v>2.5804000000000001E-2</v>
      </c>
      <c r="AI441" s="106">
        <f>+'Regulatory Charge'!AC441+Fuel!AC441+PCM!AD441+Interest!AC441+'O&amp;M'!AE441+'Capex &amp; Depr'!AE441+Debt!AF441+Pat.!V441+Rates!AC441</f>
        <v>2.5804000000000001E-2</v>
      </c>
      <c r="AJ441" s="106">
        <f>+'Regulatory Charge'!AD441+Fuel!AD441+PCM!AE441+Interest!AD441+'O&amp;M'!AF441+'Capex &amp; Depr'!AF441+Debt!AG441+Pat.!W441+Rates!AD441</f>
        <v>2.5804000000000001E-2</v>
      </c>
      <c r="AK441" s="106">
        <f>+'Regulatory Charge'!AE441+Fuel!AE441+PCM!AF441+Interest!AE441+'O&amp;M'!AG441+'Capex &amp; Depr'!AG441+Debt!AH441+Pat.!X441+Rates!AE441</f>
        <v>2.5804000000000001E-2</v>
      </c>
      <c r="AL441" s="106">
        <f>+'Regulatory Charge'!AF441+Fuel!AF441+PCM!AG441+Interest!AF441+'O&amp;M'!AH441+'Capex &amp; Depr'!AH441+Debt!AI441+Pat.!Y441+Rates!AF441</f>
        <v>2.5804000000000001E-2</v>
      </c>
      <c r="AM441" s="106">
        <f>+'Regulatory Charge'!AG441+Fuel!AG441+PCM!AH441+Interest!AG441+'O&amp;M'!AI441+'Capex &amp; Depr'!AI441+Debt!AJ441+Pat.!Z441+Rates!AG441</f>
        <v>2.5804000000000001E-2</v>
      </c>
      <c r="AN441" s="106">
        <f>+'Regulatory Charge'!AH441+Fuel!AH441+PCM!AI441+Interest!AH441+'O&amp;M'!AJ441+'Capex &amp; Depr'!AJ441+Debt!AK441+Pat.!AA441+Rates!AH441</f>
        <v>2.5804000000000001E-2</v>
      </c>
      <c r="AO441" s="106">
        <f>+'Regulatory Charge'!AI441+Fuel!AI441+PCM!AJ441+Interest!AI441+'O&amp;M'!AK441+'Capex &amp; Depr'!AK441+Debt!AL441+Pat.!AB441+Rates!AI441</f>
        <v>2.6096000000000001E-2</v>
      </c>
      <c r="AP441" s="106">
        <f>+'Regulatory Charge'!AJ441+Fuel!AJ441+PCM!AK441+Interest!AJ441+'O&amp;M'!AL441+'Capex &amp; Depr'!AL441+Debt!AM441+Pat.!AC441+Rates!AJ441</f>
        <v>2.9652000000000001E-2</v>
      </c>
      <c r="AQ441" s="106">
        <f>+'Regulatory Charge'!AK441+Fuel!AK441+PCM!AL441+Interest!AK441+'O&amp;M'!AM441+'Capex &amp; Depr'!AM441+Debt!AN441+Pat.!AD441+Rates!AK441</f>
        <v>2.9652000000000001E-2</v>
      </c>
      <c r="AR441" s="224">
        <f t="shared" si="1"/>
        <v>0.31763599999999997</v>
      </c>
      <c r="AS441" s="106">
        <f>+'Regulatory Charge'!AM441+Fuel!AM441+PCM!AN441+Interest!AM441+'O&amp;M'!AO441+'Capex &amp; Depr'!AO441+Debt!AP441+Pat.!AF441+Rates!AM441</f>
        <v>0.3558420000000001</v>
      </c>
      <c r="AT441" s="106">
        <f>+'Regulatory Charge'!AN441+Fuel!AN441+PCM!AO441+Interest!AN441+'O&amp;M'!AP441+'Capex &amp; Depr'!AP441+Debt!AQ441+Pat.!AG441+Rates!AN441</f>
        <v>0.36287700000000012</v>
      </c>
      <c r="AU441" s="106">
        <f>+'Regulatory Charge'!AO441+Fuel!AO441+PCM!AP441+Interest!AO441+'O&amp;M'!AQ441+'Capex &amp; Depr'!AQ441+Debt!AR441+Pat.!AH441+Rates!AO441</f>
        <v>0.36934664844860676</v>
      </c>
      <c r="AV441" s="106">
        <f>+'Regulatory Charge'!AP441+Fuel!AP441+PCM!AQ441+Interest!AP441+'O&amp;M'!AR441+'Capex &amp; Depr'!AR441+Debt!AS441+Pat.!AI441+Rates!AP441</f>
        <v>0.3760387037198738</v>
      </c>
      <c r="AW441" s="106">
        <f>+'Regulatory Charge'!AQ441+Fuel!AQ441+PCM!AR441+Interest!AQ441+'O&amp;M'!AS441+'Capex &amp; Depr'!AS441+Debt!AT441+Pat.!AJ441+Rates!AQ441</f>
        <v>0.38199792001144267</v>
      </c>
      <c r="AX441" s="106">
        <f>+'Regulatory Charge'!AR441+Fuel!AR441+PCM!AS441+Interest!AR441+'O&amp;M'!AT441+'Capex &amp; Depr'!AT441+Debt!AU441+Pat.!AK441+Rates!AR441</f>
        <v>0.38884520886648483</v>
      </c>
      <c r="AY441" s="106">
        <f>+'Regulatory Charge'!AS441+Fuel!AS441+PCM!AT441+Interest!AS441+'O&amp;M'!AU441+'Capex &amp; Depr'!AU441+Debt!AV441+Pat.!AL441+Rates!AS441</f>
        <v>0.39589791638717819</v>
      </c>
      <c r="AZ441" s="106">
        <f>+'Regulatory Charge'!AT441+Fuel!AT441+PCM!AU441+Interest!AT441+'O&amp;M'!AV441+'Capex &amp; Depr'!AV441+Debt!AW441+Pat.!AM441+Rates!AT441</f>
        <v>0.40316220513349238</v>
      </c>
      <c r="BA441" s="106">
        <f>+'Regulatory Charge'!AU441+Fuel!AU441+PCM!AV441+Interest!AU441+'O&amp;M'!AW441+'Capex &amp; Depr'!AW441+Debt!AX441+Pat.!AN441+Rates!AU441</f>
        <v>0.41064442254219607</v>
      </c>
      <c r="BB441" s="106">
        <f>+'Regulatory Charge'!AV441+Fuel!AV441+PCM!AW441+Interest!AV441+'O&amp;M'!AX441+'Capex &amp; Depr'!AX441+Debt!AY441+Pat.!AO441+Rates!AV441</f>
        <v>0.41835110647316082</v>
      </c>
      <c r="BC441" s="106">
        <f>+'Regulatory Charge'!AW441+Fuel!AW441+PCM!AX441+Interest!AW441+'O&amp;M'!AY441+'Capex &amp; Depr'!AY441+Debt!AZ441+Pat.!AP441+Rates!AW441</f>
        <v>0.42628899092205458</v>
      </c>
      <c r="BD441" s="106"/>
      <c r="BE441" s="106"/>
    </row>
    <row r="442" spans="1:57">
      <c r="A442" s="849">
        <v>403.5</v>
      </c>
      <c r="B442" s="846" t="s">
        <v>820</v>
      </c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224"/>
      <c r="S442" s="106">
        <f>+'Regulatory Charge'!M442+Fuel!M442+PCM!N442+Interest!M442+'O&amp;M'!O442+'Capex &amp; Depr'!O442+Debt!P442+Pat.!F442+Rates!M442</f>
        <v>0.24737400000000001</v>
      </c>
      <c r="T442" s="106">
        <f>+'Regulatory Charge'!N442+Fuel!N442+PCM!O442+Interest!N442+'O&amp;M'!P442+'Capex &amp; Depr'!P442+Debt!Q442+Pat.!G442+Rates!N442</f>
        <v>0.24786900000000001</v>
      </c>
      <c r="U442" s="106">
        <f>+'Regulatory Charge'!O442+Fuel!O442+PCM!P442+Interest!O442+'O&amp;M'!Q442+'Capex &amp; Depr'!Q442+Debt!R442+Pat.!H442+Rates!O442</f>
        <v>0.248698</v>
      </c>
      <c r="V442" s="106">
        <f>+'Regulatory Charge'!P442+Fuel!P442+PCM!Q442+Interest!P442+'O&amp;M'!R442+'Capex &amp; Depr'!R442+Debt!S442+Pat.!I442+Rates!P442</f>
        <v>0.24904000000000001</v>
      </c>
      <c r="W442" s="106">
        <f>+'Regulatory Charge'!Q442+Fuel!Q442+PCM!R442+Interest!Q442+'O&amp;M'!S442+'Capex &amp; Depr'!S442+Debt!T442+Pat.!J442+Rates!Q442</f>
        <v>0.249809</v>
      </c>
      <c r="X442" s="106">
        <f>+'Regulatory Charge'!R442+Fuel!R442+PCM!S442+Interest!R442+'O&amp;M'!T442+'Capex &amp; Depr'!T442+Debt!U442+Pat.!K442+Rates!R442</f>
        <v>0.25025900000000001</v>
      </c>
      <c r="Y442" s="106">
        <f>+'Regulatory Charge'!S442+Fuel!S442+PCM!T442+Interest!S442+'O&amp;M'!U442+'Capex &amp; Depr'!U442+Debt!V442+Pat.!L442+Rates!S442</f>
        <v>0.25105499999999997</v>
      </c>
      <c r="Z442" s="106">
        <f>+'Regulatory Charge'!T442+Fuel!T442+PCM!U442+Interest!T442+'O&amp;M'!V442+'Capex &amp; Depr'!V442+Debt!W442+Pat.!M442+Rates!T442</f>
        <v>0.25141000000000002</v>
      </c>
      <c r="AA442" s="106">
        <f>+'Regulatory Charge'!U442+Fuel!U442+PCM!V442+Interest!U442+'O&amp;M'!W442+'Capex &amp; Depr'!W442+Debt!X442+Pat.!N442+Rates!U442</f>
        <v>0.25860699999999998</v>
      </c>
      <c r="AB442" s="106">
        <f>+'Regulatory Charge'!V442+Fuel!V442+PCM!W442+Interest!V442+'O&amp;M'!X442+'Capex &amp; Depr'!X442+Debt!Y442+Pat.!O442+Rates!V442</f>
        <v>0.25895400000000002</v>
      </c>
      <c r="AC442" s="106">
        <f>+'Regulatory Charge'!W442+Fuel!W442+PCM!X442+Interest!W442+'O&amp;M'!Y442+'Capex &amp; Depr'!Y442+Debt!Z442+Pat.!P442+Rates!W442</f>
        <v>0.25958300000000001</v>
      </c>
      <c r="AD442" s="106">
        <f>+'Regulatory Charge'!X442+Fuel!X442+PCM!Y442+Interest!X442+'O&amp;M'!Z442+'Capex &amp; Depr'!Z442+Debt!AA442+Pat.!Q442+Rates!X442</f>
        <v>0.26196900000000001</v>
      </c>
      <c r="AE442" s="224">
        <f t="shared" si="0"/>
        <v>3.0346270000000004</v>
      </c>
      <c r="AF442" s="106">
        <f>+'Regulatory Charge'!Z442+Fuel!Z442+PCM!AA442+Interest!Z442+'O&amp;M'!AB442+'Capex &amp; Depr'!AB442+Debt!AC442+Pat.!S442+Rates!Z442</f>
        <v>0.26208599999999999</v>
      </c>
      <c r="AG442" s="106">
        <f>+'Regulatory Charge'!AA442+Fuel!AA442+PCM!AB442+Interest!AA442+'O&amp;M'!AC442+'Capex &amp; Depr'!AC442+Debt!AD442+Pat.!T442+Rates!AA442</f>
        <v>0.26221899999999998</v>
      </c>
      <c r="AH442" s="106">
        <f>+'Regulatory Charge'!AB442+Fuel!AB442+PCM!AC442+Interest!AB442+'O&amp;M'!AD442+'Capex &amp; Depr'!AD442+Debt!AE442+Pat.!U442+Rates!AB442</f>
        <v>0.26245099999999999</v>
      </c>
      <c r="AI442" s="106">
        <f>+'Regulatory Charge'!AC442+Fuel!AC442+PCM!AD442+Interest!AC442+'O&amp;M'!AE442+'Capex &amp; Depr'!AE442+Debt!AF442+Pat.!V442+Rates!AC442</f>
        <v>0.26269300000000001</v>
      </c>
      <c r="AJ442" s="106">
        <f>+'Regulatory Charge'!AD442+Fuel!AD442+PCM!AE442+Interest!AD442+'O&amp;M'!AF442+'Capex &amp; Depr'!AF442+Debt!AG442+Pat.!W442+Rates!AD442</f>
        <v>0.26297900000000002</v>
      </c>
      <c r="AK442" s="106">
        <f>+'Regulatory Charge'!AE442+Fuel!AE442+PCM!AF442+Interest!AE442+'O&amp;M'!AG442+'Capex &amp; Depr'!AG442+Debt!AH442+Pat.!X442+Rates!AE442</f>
        <v>0.26325300000000001</v>
      </c>
      <c r="AL442" s="106">
        <f>+'Regulatory Charge'!AF442+Fuel!AF442+PCM!AG442+Interest!AF442+'O&amp;M'!AH442+'Capex &amp; Depr'!AH442+Debt!AI442+Pat.!Y442+Rates!AF442</f>
        <v>0.26344699999999999</v>
      </c>
      <c r="AM442" s="106">
        <f>+'Regulatory Charge'!AG442+Fuel!AG442+PCM!AH442+Interest!AG442+'O&amp;M'!AI442+'Capex &amp; Depr'!AI442+Debt!AJ442+Pat.!Z442+Rates!AG442</f>
        <v>0.26370500000000002</v>
      </c>
      <c r="AN442" s="106">
        <f>+'Regulatory Charge'!AH442+Fuel!AH442+PCM!AI442+Interest!AH442+'O&amp;M'!AJ442+'Capex &amp; Depr'!AJ442+Debt!AK442+Pat.!AA442+Rates!AH442</f>
        <v>0.26415699999999998</v>
      </c>
      <c r="AO442" s="106">
        <f>+'Regulatory Charge'!AI442+Fuel!AI442+PCM!AJ442+Interest!AI442+'O&amp;M'!AK442+'Capex &amp; Depr'!AK442+Debt!AL442+Pat.!AB442+Rates!AI442</f>
        <v>0.264575</v>
      </c>
      <c r="AP442" s="106">
        <f>+'Regulatory Charge'!AJ442+Fuel!AJ442+PCM!AK442+Interest!AJ442+'O&amp;M'!AL442+'Capex &amp; Depr'!AL442+Debt!AM442+Pat.!AC442+Rates!AJ442</f>
        <v>0.26502300000000001</v>
      </c>
      <c r="AQ442" s="106">
        <f>+'Regulatory Charge'!AK442+Fuel!AK442+PCM!AL442+Interest!AK442+'O&amp;M'!AM442+'Capex &amp; Depr'!AM442+Debt!AN442+Pat.!AD442+Rates!AK442</f>
        <v>0.26531900000000003</v>
      </c>
      <c r="AR442" s="224">
        <f t="shared" si="1"/>
        <v>3.1619070000000002</v>
      </c>
      <c r="AS442" s="106">
        <f>+'Regulatory Charge'!AM442+Fuel!AM442+PCM!AN442+Interest!AM442+'O&amp;M'!AO442+'Capex &amp; Depr'!AO442+Debt!AP442+Pat.!AF442+Rates!AM442</f>
        <v>3.201619</v>
      </c>
      <c r="AT442" s="106">
        <f>+'Regulatory Charge'!AN442+Fuel!AN442+PCM!AO442+Interest!AN442+'O&amp;M'!AP442+'Capex &amp; Depr'!AP442+Debt!AQ442+Pat.!AG442+Rates!AN442</f>
        <v>3.2365219999999999</v>
      </c>
      <c r="AU442" s="106">
        <f>+'Regulatory Charge'!AO442+Fuel!AO442+PCM!AP442+Interest!AO442+'O&amp;M'!AQ442+'Capex &amp; Depr'!AQ442+Debt!AR442+Pat.!AH442+Rates!AO442</f>
        <v>3.2942251874055981</v>
      </c>
      <c r="AV442" s="106">
        <f>+'Regulatory Charge'!AP442+Fuel!AP442+PCM!AQ442+Interest!AP442+'O&amp;M'!AR442+'Capex &amp; Depr'!AR442+Debt!AS442+Pat.!AI442+Rates!AP442</f>
        <v>3.3539120347689519</v>
      </c>
      <c r="AW442" s="106">
        <f>+'Regulatory Charge'!AQ442+Fuel!AQ442+PCM!AR442+Interest!AQ442+'O&amp;M'!AS442+'Capex &amp; Depr'!AS442+Debt!AT442+Pat.!AJ442+Rates!AQ442</f>
        <v>3.4070626467681171</v>
      </c>
      <c r="AX442" s="106">
        <f>+'Regulatory Charge'!AR442+Fuel!AR442+PCM!AS442+Interest!AR442+'O&amp;M'!AT442+'Capex &amp; Depr'!AT442+Debt!AU442+Pat.!AK442+Rates!AR442</f>
        <v>3.4681340318922742</v>
      </c>
      <c r="AY442" s="106">
        <f>+'Regulatory Charge'!AS442+Fuel!AS442+PCM!AT442+Interest!AS442+'O&amp;M'!AU442+'Capex &amp; Depr'!AU442+Debt!AV442+Pat.!AL442+Rates!AS442</f>
        <v>3.5310375585701554</v>
      </c>
      <c r="AZ442" s="106">
        <f>+'Regulatory Charge'!AT442+Fuel!AT442+PCM!AU442+Interest!AT442+'O&amp;M'!AV442+'Capex &amp; Depr'!AV442+Debt!AW442+Pat.!AM442+Rates!AT442</f>
        <v>3.5958281910483731</v>
      </c>
      <c r="BA442" s="106">
        <f>+'Regulatory Charge'!AU442+Fuel!AU442+PCM!AV442+Interest!AU442+'O&amp;M'!AW442+'Capex &amp; Depr'!AW442+Debt!AX442+Pat.!AN442+Rates!AU442</f>
        <v>3.6625625425009383</v>
      </c>
      <c r="BB442" s="106">
        <f>+'Regulatory Charge'!AV442+Fuel!AV442+PCM!AW442+Interest!AV442+'O&amp;M'!AX442+'Capex &amp; Depr'!AX442+Debt!AY442+Pat.!AO442+Rates!AV442</f>
        <v>3.73129892449708</v>
      </c>
      <c r="BC442" s="106">
        <f>+'Regulatory Charge'!AW442+Fuel!AW442+PCM!AX442+Interest!AW442+'O&amp;M'!AY442+'Capex &amp; Depr'!AY442+Debt!AZ442+Pat.!AP442+Rates!AW442</f>
        <v>3.8020973979531063</v>
      </c>
      <c r="BD442" s="106"/>
      <c r="BE442" s="106"/>
    </row>
    <row r="443" spans="1:57">
      <c r="A443" s="849">
        <v>403.5</v>
      </c>
      <c r="B443" s="846" t="s">
        <v>821</v>
      </c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224"/>
      <c r="S443" s="106">
        <f>+'Regulatory Charge'!M443+Fuel!M443+PCM!N443+Interest!M443+'O&amp;M'!O443+'Capex &amp; Depr'!O443+Debt!P443+Pat.!F443+Rates!M443</f>
        <v>0.14991499999999999</v>
      </c>
      <c r="T443" s="106">
        <f>+'Regulatory Charge'!N443+Fuel!N443+PCM!O443+Interest!N443+'O&amp;M'!P443+'Capex &amp; Depr'!P443+Debt!Q443+Pat.!G443+Rates!N443</f>
        <v>0.15024799999999999</v>
      </c>
      <c r="U443" s="106">
        <f>+'Regulatory Charge'!O443+Fuel!O443+PCM!P443+Interest!O443+'O&amp;M'!Q443+'Capex &amp; Depr'!Q443+Debt!R443+Pat.!H443+Rates!O443</f>
        <v>0.15070900000000001</v>
      </c>
      <c r="V443" s="106">
        <f>+'Regulatory Charge'!P443+Fuel!P443+PCM!Q443+Interest!P443+'O&amp;M'!R443+'Capex &amp; Depr'!R443+Debt!S443+Pat.!I443+Rates!P443</f>
        <v>0.15116599999999999</v>
      </c>
      <c r="W443" s="106">
        <f>+'Regulatory Charge'!Q443+Fuel!Q443+PCM!R443+Interest!Q443+'O&amp;M'!S443+'Capex &amp; Depr'!S443+Debt!T443+Pat.!J443+Rates!Q443</f>
        <v>0.15162400000000001</v>
      </c>
      <c r="X443" s="106">
        <f>+'Regulatory Charge'!R443+Fuel!R443+PCM!S443+Interest!R443+'O&amp;M'!T443+'Capex &amp; Depr'!T443+Debt!U443+Pat.!K443+Rates!R443</f>
        <v>0.152055</v>
      </c>
      <c r="Y443" s="106">
        <f>+'Regulatory Charge'!S443+Fuel!S443+PCM!T443+Interest!S443+'O&amp;M'!U443+'Capex &amp; Depr'!U443+Debt!V443+Pat.!L443+Rates!S443</f>
        <v>0.152471</v>
      </c>
      <c r="Z443" s="106">
        <f>+'Regulatory Charge'!T443+Fuel!T443+PCM!U443+Interest!T443+'O&amp;M'!V443+'Capex &amp; Depr'!V443+Debt!W443+Pat.!M443+Rates!T443</f>
        <v>0.152889</v>
      </c>
      <c r="AA443" s="106">
        <f>+'Regulatory Charge'!U443+Fuel!U443+PCM!V443+Interest!U443+'O&amp;M'!W443+'Capex &amp; Depr'!W443+Debt!X443+Pat.!N443+Rates!U443</f>
        <v>0.15648999999999999</v>
      </c>
      <c r="AB443" s="106">
        <f>+'Regulatory Charge'!V443+Fuel!V443+PCM!W443+Interest!V443+'O&amp;M'!X443+'Capex &amp; Depr'!X443+Debt!Y443+Pat.!O443+Rates!V443</f>
        <v>0.15678300000000001</v>
      </c>
      <c r="AC443" s="106">
        <f>+'Regulatory Charge'!W443+Fuel!W443+PCM!X443+Interest!W443+'O&amp;M'!Y443+'Capex &amp; Depr'!Y443+Debt!Z443+Pat.!P443+Rates!W443</f>
        <v>0.15703600000000001</v>
      </c>
      <c r="AD443" s="106">
        <f>+'Regulatory Charge'!X443+Fuel!X443+PCM!Y443+Interest!X443+'O&amp;M'!Z443+'Capex &amp; Depr'!Z443+Debt!AA443+Pat.!Q443+Rates!X443</f>
        <v>0.15717400000000001</v>
      </c>
      <c r="AE443" s="224">
        <f t="shared" si="0"/>
        <v>1.83856</v>
      </c>
      <c r="AF443" s="106">
        <f>+'Regulatory Charge'!Z443+Fuel!Z443+PCM!AA443+Interest!Z443+'O&amp;M'!AB443+'Capex &amp; Depr'!AB443+Debt!AC443+Pat.!S443+Rates!Z443</f>
        <v>0.15728400000000001</v>
      </c>
      <c r="AG443" s="106">
        <f>+'Regulatory Charge'!AA443+Fuel!AA443+PCM!AB443+Interest!AA443+'O&amp;M'!AC443+'Capex &amp; Depr'!AC443+Debt!AD443+Pat.!T443+Rates!AA443</f>
        <v>0.15748899999999999</v>
      </c>
      <c r="AH443" s="106">
        <f>+'Regulatory Charge'!AB443+Fuel!AB443+PCM!AC443+Interest!AB443+'O&amp;M'!AD443+'Capex &amp; Depr'!AD443+Debt!AE443+Pat.!U443+Rates!AB443</f>
        <v>0.157775</v>
      </c>
      <c r="AI443" s="106">
        <f>+'Regulatory Charge'!AC443+Fuel!AC443+PCM!AD443+Interest!AC443+'O&amp;M'!AE443+'Capex &amp; Depr'!AE443+Debt!AF443+Pat.!V443+Rates!AC443</f>
        <v>0.158031</v>
      </c>
      <c r="AJ443" s="106">
        <f>+'Regulatory Charge'!AD443+Fuel!AD443+PCM!AE443+Interest!AD443+'O&amp;M'!AF443+'Capex &amp; Depr'!AF443+Debt!AG443+Pat.!W443+Rates!AD443</f>
        <v>0.15834899999999999</v>
      </c>
      <c r="AK443" s="106">
        <f>+'Regulatory Charge'!AE443+Fuel!AE443+PCM!AF443+Interest!AE443+'O&amp;M'!AG443+'Capex &amp; Depr'!AG443+Debt!AH443+Pat.!X443+Rates!AE443</f>
        <v>0.158665</v>
      </c>
      <c r="AL443" s="106">
        <f>+'Regulatory Charge'!AF443+Fuel!AF443+PCM!AG443+Interest!AF443+'O&amp;M'!AH443+'Capex &amp; Depr'!AH443+Debt!AI443+Pat.!Y443+Rates!AF443</f>
        <v>0.15898399999999999</v>
      </c>
      <c r="AM443" s="106">
        <f>+'Regulatory Charge'!AG443+Fuel!AG443+PCM!AH443+Interest!AG443+'O&amp;M'!AI443+'Capex &amp; Depr'!AI443+Debt!AJ443+Pat.!Z443+Rates!AG443</f>
        <v>0.159105</v>
      </c>
      <c r="AN443" s="106">
        <f>+'Regulatory Charge'!AH443+Fuel!AH443+PCM!AI443+Interest!AH443+'O&amp;M'!AJ443+'Capex &amp; Depr'!AJ443+Debt!AK443+Pat.!AA443+Rates!AH443</f>
        <v>0.15923399999999999</v>
      </c>
      <c r="AO443" s="106">
        <f>+'Regulatory Charge'!AI443+Fuel!AI443+PCM!AJ443+Interest!AI443+'O&amp;M'!AK443+'Capex &amp; Depr'!AK443+Debt!AL443+Pat.!AB443+Rates!AI443</f>
        <v>0.15943299999999999</v>
      </c>
      <c r="AP443" s="106">
        <f>+'Regulatory Charge'!AJ443+Fuel!AJ443+PCM!AK443+Interest!AJ443+'O&amp;M'!AL443+'Capex &amp; Depr'!AL443+Debt!AM443+Pat.!AC443+Rates!AJ443</f>
        <v>0.1595</v>
      </c>
      <c r="AQ443" s="106">
        <f>+'Regulatory Charge'!AK443+Fuel!AK443+PCM!AL443+Interest!AK443+'O&amp;M'!AM443+'Capex &amp; Depr'!AM443+Debt!AN443+Pat.!AD443+Rates!AK443</f>
        <v>0.15950700000000001</v>
      </c>
      <c r="AR443" s="224">
        <f t="shared" si="1"/>
        <v>1.903356</v>
      </c>
      <c r="AS443" s="106">
        <f>+'Regulatory Charge'!AM443+Fuel!AM443+PCM!AN443+Interest!AM443+'O&amp;M'!AO443+'Capex &amp; Depr'!AO443+Debt!AP443+Pat.!AF443+Rates!AM443</f>
        <v>1.9212899999999999</v>
      </c>
      <c r="AT443" s="106">
        <f>+'Regulatory Charge'!AN443+Fuel!AN443+PCM!AO443+Interest!AN443+'O&amp;M'!AP443+'Capex &amp; Depr'!AP443+Debt!AQ443+Pat.!AG443+Rates!AN443</f>
        <v>1.942061</v>
      </c>
      <c r="AU443" s="106">
        <f>+'Regulatory Charge'!AO443+Fuel!AO443+PCM!AP443+Interest!AO443+'O&amp;M'!AQ443+'Capex &amp; Depr'!AQ443+Debt!AR443+Pat.!AH443+Rates!AO443</f>
        <v>1.9766855475347007</v>
      </c>
      <c r="AV443" s="106">
        <f>+'Regulatory Charge'!AP443+Fuel!AP443+PCM!AQ443+Interest!AP443+'O&amp;M'!AR443+'Capex &amp; Depr'!AR443+Debt!AS443+Pat.!AI443+Rates!AP443</f>
        <v>2.0125003816304745</v>
      </c>
      <c r="AW443" s="106">
        <f>+'Regulatory Charge'!AQ443+Fuel!AQ443+PCM!AR443+Interest!AQ443+'O&amp;M'!AS443+'Capex &amp; Depr'!AS443+Debt!AT443+Pat.!AJ443+Rates!AQ443</f>
        <v>2.0443931760220191</v>
      </c>
      <c r="AX443" s="106">
        <f>+'Regulatory Charge'!AR443+Fuel!AR443+PCM!AS443+Interest!AR443+'O&amp;M'!AT443+'Capex &amp; Depr'!AT443+Debt!AU443+Pat.!AK443+Rates!AR443</f>
        <v>2.0810387960009984</v>
      </c>
      <c r="AY443" s="106">
        <f>+'Regulatory Charge'!AS443+Fuel!AS443+PCM!AT443+Interest!AS443+'O&amp;M'!AU443+'Capex &amp; Depr'!AU443+Debt!AV443+Pat.!AL443+Rates!AS443</f>
        <v>2.1187837845793465</v>
      </c>
      <c r="AZ443" s="106">
        <f>+'Regulatory Charge'!AT443+Fuel!AT443+PCM!AU443+Interest!AT443+'O&amp;M'!AV443+'Capex &amp; Depr'!AV443+Debt!AW443+Pat.!AM443+Rates!AT443</f>
        <v>2.1576611228150453</v>
      </c>
      <c r="BA443" s="106">
        <f>+'Regulatory Charge'!AU443+Fuel!AU443+PCM!AV443+Interest!AU443+'O&amp;M'!AW443+'Capex &amp; Depr'!AW443+Debt!AX443+Pat.!AN443+Rates!AU443</f>
        <v>2.1977047811978152</v>
      </c>
      <c r="BB443" s="106">
        <f>+'Regulatory Charge'!AV443+Fuel!AV443+PCM!AW443+Interest!AV443+'O&amp;M'!AX443+'Capex &amp; Depr'!AX443+Debt!AY443+Pat.!AO443+Rates!AV443</f>
        <v>2.2389497493320683</v>
      </c>
      <c r="BC443" s="106">
        <f>+'Regulatory Charge'!AW443+Fuel!AW443+PCM!AX443+Interest!AW443+'O&amp;M'!AY443+'Capex &amp; Depr'!AY443+Debt!AZ443+Pat.!AP443+Rates!AW443</f>
        <v>2.2814320665103494</v>
      </c>
      <c r="BD443" s="106"/>
      <c r="BE443" s="106"/>
    </row>
    <row r="444" spans="1:57">
      <c r="A444" s="849" t="s">
        <v>586</v>
      </c>
      <c r="B444" s="846" t="s">
        <v>822</v>
      </c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224"/>
      <c r="S444" s="106">
        <f>+'Regulatory Charge'!M444+Fuel!M444+PCM!N444+Interest!M444+'O&amp;M'!O444+'Capex &amp; Depr'!O444+Debt!P444+Pat.!F444+Rates!M444</f>
        <v>0.25293399999999999</v>
      </c>
      <c r="T444" s="106">
        <f>+'Regulatory Charge'!N444+Fuel!N444+PCM!O444+Interest!N444+'O&amp;M'!P444+'Capex &amp; Depr'!P444+Debt!Q444+Pat.!G444+Rates!N444</f>
        <v>0.25350800000000001</v>
      </c>
      <c r="U444" s="106">
        <f>+'Regulatory Charge'!O444+Fuel!O444+PCM!P444+Interest!O444+'O&amp;M'!Q444+'Capex &amp; Depr'!Q444+Debt!R444+Pat.!H444+Rates!O444</f>
        <v>0.25587199999999999</v>
      </c>
      <c r="V444" s="106">
        <f>+'Regulatory Charge'!P444+Fuel!P444+PCM!Q444+Interest!P444+'O&amp;M'!R444+'Capex &amp; Depr'!R444+Debt!S444+Pat.!I444+Rates!P444</f>
        <v>0.25922899999999999</v>
      </c>
      <c r="W444" s="106">
        <f>+'Regulatory Charge'!Q444+Fuel!Q444+PCM!R444+Interest!Q444+'O&amp;M'!S444+'Capex &amp; Depr'!S444+Debt!T444+Pat.!J444+Rates!Q444</f>
        <v>0.26538600000000001</v>
      </c>
      <c r="X444" s="106">
        <f>+'Regulatory Charge'!R444+Fuel!R444+PCM!S444+Interest!R444+'O&amp;M'!T444+'Capex &amp; Depr'!T444+Debt!U444+Pat.!K444+Rates!R444</f>
        <v>0.26859899999999998</v>
      </c>
      <c r="Y444" s="106">
        <f>+'Regulatory Charge'!S444+Fuel!S444+PCM!T444+Interest!S444+'O&amp;M'!U444+'Capex &amp; Depr'!U444+Debt!V444+Pat.!L444+Rates!S444</f>
        <v>0.271177</v>
      </c>
      <c r="Z444" s="106">
        <f>+'Regulatory Charge'!T444+Fuel!T444+PCM!U444+Interest!T444+'O&amp;M'!V444+'Capex &amp; Depr'!V444+Debt!W444+Pat.!M444+Rates!T444</f>
        <v>0.27322000000000002</v>
      </c>
      <c r="AA444" s="106">
        <f>+'Regulatory Charge'!U444+Fuel!U444+PCM!V444+Interest!U444+'O&amp;M'!W444+'Capex &amp; Depr'!W444+Debt!X444+Pat.!N444+Rates!U444</f>
        <v>0.27557900000000002</v>
      </c>
      <c r="AB444" s="106">
        <f>+'Regulatory Charge'!V444+Fuel!V444+PCM!W444+Interest!V444+'O&amp;M'!X444+'Capex &amp; Depr'!X444+Debt!Y444+Pat.!O444+Rates!V444</f>
        <v>0.27652599999999999</v>
      </c>
      <c r="AC444" s="106">
        <f>+'Regulatory Charge'!W444+Fuel!W444+PCM!X444+Interest!W444+'O&amp;M'!Y444+'Capex &amp; Depr'!Y444+Debt!Z444+Pat.!P444+Rates!W444</f>
        <v>0.27815200000000001</v>
      </c>
      <c r="AD444" s="106">
        <f>+'Regulatory Charge'!X444+Fuel!X444+PCM!Y444+Interest!X444+'O&amp;M'!Z444+'Capex &amp; Depr'!Z444+Debt!AA444+Pat.!Q444+Rates!X444</f>
        <v>0.27902300000000002</v>
      </c>
      <c r="AE444" s="224">
        <f t="shared" si="0"/>
        <v>3.2092050000000003</v>
      </c>
      <c r="AF444" s="106">
        <f>+'Regulatory Charge'!Z444+Fuel!Z444+PCM!AA444+Interest!Z444+'O&amp;M'!AB444+'Capex &amp; Depr'!AB444+Debt!AC444+Pat.!S444+Rates!Z444</f>
        <v>0.27950599999999998</v>
      </c>
      <c r="AG444" s="106">
        <f>+'Regulatory Charge'!AA444+Fuel!AA444+PCM!AB444+Interest!AA444+'O&amp;M'!AC444+'Capex &amp; Depr'!AC444+Debt!AD444+Pat.!T444+Rates!AA444</f>
        <v>0.27950599999999998</v>
      </c>
      <c r="AH444" s="106">
        <f>+'Regulatory Charge'!AB444+Fuel!AB444+PCM!AC444+Interest!AB444+'O&amp;M'!AD444+'Capex &amp; Depr'!AD444+Debt!AE444+Pat.!U444+Rates!AB444</f>
        <v>0.28098699999999999</v>
      </c>
      <c r="AI444" s="106">
        <f>+'Regulatory Charge'!AC444+Fuel!AC444+PCM!AD444+Interest!AC444+'O&amp;M'!AE444+'Capex &amp; Depr'!AE444+Debt!AF444+Pat.!V444+Rates!AC444</f>
        <v>0.28165699999999999</v>
      </c>
      <c r="AJ444" s="106">
        <f>+'Regulatory Charge'!AD444+Fuel!AD444+PCM!AE444+Interest!AD444+'O&amp;M'!AF444+'Capex &amp; Depr'!AF444+Debt!AG444+Pat.!W444+Rates!AD444</f>
        <v>0.28302699999999997</v>
      </c>
      <c r="AK444" s="106">
        <f>+'Regulatory Charge'!AE444+Fuel!AE444+PCM!AF444+Interest!AE444+'O&amp;M'!AG444+'Capex &amp; Depr'!AG444+Debt!AH444+Pat.!X444+Rates!AE444</f>
        <v>0.28375600000000001</v>
      </c>
      <c r="AL444" s="106">
        <f>+'Regulatory Charge'!AF444+Fuel!AF444+PCM!AG444+Interest!AF444+'O&amp;M'!AH444+'Capex &amp; Depr'!AH444+Debt!AI444+Pat.!Y444+Rates!AF444</f>
        <v>0.28542800000000002</v>
      </c>
      <c r="AM444" s="106">
        <f>+'Regulatory Charge'!AG444+Fuel!AG444+PCM!AH444+Interest!AG444+'O&amp;M'!AI444+'Capex &amp; Depr'!AI444+Debt!AJ444+Pat.!Z444+Rates!AG444</f>
        <v>0.28645700000000002</v>
      </c>
      <c r="AN444" s="106">
        <f>+'Regulatory Charge'!AH444+Fuel!AH444+PCM!AI444+Interest!AH444+'O&amp;M'!AJ444+'Capex &amp; Depr'!AJ444+Debt!AK444+Pat.!AA444+Rates!AH444</f>
        <v>0.28800100000000001</v>
      </c>
      <c r="AO444" s="106">
        <f>+'Regulatory Charge'!AI444+Fuel!AI444+PCM!AJ444+Interest!AI444+'O&amp;M'!AK444+'Capex &amp; Depr'!AK444+Debt!AL444+Pat.!AB444+Rates!AI444</f>
        <v>0.290993</v>
      </c>
      <c r="AP444" s="106">
        <f>+'Regulatory Charge'!AJ444+Fuel!AJ444+PCM!AK444+Interest!AJ444+'O&amp;M'!AL444+'Capex &amp; Depr'!AL444+Debt!AM444+Pat.!AC444+Rates!AJ444</f>
        <v>0.29216599999999998</v>
      </c>
      <c r="AQ444" s="106">
        <f>+'Regulatory Charge'!AK444+Fuel!AK444+PCM!AL444+Interest!AK444+'O&amp;M'!AM444+'Capex &amp; Depr'!AM444+Debt!AN444+Pat.!AD444+Rates!AK444</f>
        <v>0.29219800000000001</v>
      </c>
      <c r="AR444" s="224">
        <f t="shared" si="1"/>
        <v>3.4236819999999994</v>
      </c>
      <c r="AS444" s="106">
        <f>+'Regulatory Charge'!AM444+Fuel!AM444+PCM!AN444+Interest!AM444+'O&amp;M'!AO444+'Capex &amp; Depr'!AO444+Debt!AP444+Pat.!AF444+Rates!AM444</f>
        <v>3.5856659999999998</v>
      </c>
      <c r="AT444" s="106">
        <f>+'Regulatory Charge'!AN444+Fuel!AN444+PCM!AO444+Interest!AN444+'O&amp;M'!AP444+'Capex &amp; Depr'!AP444+Debt!AQ444+Pat.!AG444+Rates!AN444</f>
        <v>3.6844170000000007</v>
      </c>
      <c r="AU444" s="106">
        <f>+'Regulatory Charge'!AO444+Fuel!AO444+PCM!AP444+Interest!AO444+'O&amp;M'!AQ444+'Capex &amp; Depr'!AQ444+Debt!AR444+Pat.!AH444+Rates!AO444</f>
        <v>3.7501056017247452</v>
      </c>
      <c r="AV444" s="106">
        <f>+'Regulatory Charge'!AP444+Fuel!AP444+PCM!AQ444+Interest!AP444+'O&amp;M'!AR444+'Capex &amp; Depr'!AR444+Debt!AS444+Pat.!AI444+Rates!AP444</f>
        <v>3.8180523776471533</v>
      </c>
      <c r="AW444" s="106">
        <f>+'Regulatory Charge'!AQ444+Fuel!AQ444+PCM!AR444+Interest!AQ444+'O&amp;M'!AS444+'Capex &amp; Depr'!AS444+Debt!AT444+Pat.!AJ444+Rates!AQ444</f>
        <v>3.8785583832946133</v>
      </c>
      <c r="AX444" s="106">
        <f>+'Regulatory Charge'!AR444+Fuel!AR444+PCM!AS444+Interest!AR444+'O&amp;M'!AT444+'Capex &amp; Depr'!AT444+Debt!AU444+Pat.!AK444+Rates!AR444</f>
        <v>3.9480813000444428</v>
      </c>
      <c r="AY444" s="106">
        <f>+'Regulatory Charge'!AS444+Fuel!AS444+PCM!AT444+Interest!AS444+'O&amp;M'!AU444+'Capex &amp; Depr'!AU444+Debt!AV444+Pat.!AL444+Rates!AS444</f>
        <v>4.019689904296766</v>
      </c>
      <c r="AZ444" s="106">
        <f>+'Regulatory Charge'!AT444+Fuel!AT444+PCM!AU444+Interest!AT444+'O&amp;M'!AV444+'Capex &amp; Depr'!AV444+Debt!AW444+Pat.!AM444+Rates!AT444</f>
        <v>4.0934467666766592</v>
      </c>
      <c r="BA444" s="106">
        <f>+'Regulatory Charge'!AU444+Fuel!AU444+PCM!AV444+Interest!AU444+'O&amp;M'!AW444+'Capex &amp; Depr'!AW444+Debt!AX444+Pat.!AN444+Rates!AU444</f>
        <v>4.1694163349279503</v>
      </c>
      <c r="BB444" s="106">
        <f>+'Regulatory Charge'!AV444+Fuel!AV444+PCM!AW444+Interest!AV444+'O&amp;M'!AX444+'Capex &amp; Depr'!AX444+Debt!AY444+Pat.!AO444+Rates!AV444</f>
        <v>4.24766499022678</v>
      </c>
      <c r="BC444" s="106">
        <f>+'Regulatory Charge'!AW444+Fuel!AW444+PCM!AX444+Interest!AW444+'O&amp;M'!AY444+'Capex &amp; Depr'!AY444+Debt!AZ444+Pat.!AP444+Rates!AW444</f>
        <v>4.3282611051845752</v>
      </c>
      <c r="BD444" s="106"/>
      <c r="BE444" s="106"/>
    </row>
    <row r="445" spans="1:57">
      <c r="A445" s="849">
        <v>404.11</v>
      </c>
      <c r="B445" s="846" t="s">
        <v>1001</v>
      </c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224"/>
      <c r="S445" s="106">
        <f>+'Regulatory Charge'!M445+Fuel!M445+PCM!N445+Interest!M445+'O&amp;M'!O445+'Capex &amp; Depr'!O445+Debt!P445+Pat.!F445+Rates!M445</f>
        <v>9.4600000000000001E-4</v>
      </c>
      <c r="T445" s="106">
        <f>+'Regulatory Charge'!N445+Fuel!N445+PCM!O445+Interest!N445+'O&amp;M'!P445+'Capex &amp; Depr'!P445+Debt!Q445+Pat.!G445+Rates!N445</f>
        <v>9.4600000000000001E-4</v>
      </c>
      <c r="U445" s="106">
        <f>+'Regulatory Charge'!O445+Fuel!O445+PCM!P445+Interest!O445+'O&amp;M'!Q445+'Capex &amp; Depr'!Q445+Debt!R445+Pat.!H445+Rates!O445</f>
        <v>9.4600000000000001E-4</v>
      </c>
      <c r="V445" s="106">
        <f>+'Regulatory Charge'!P445+Fuel!P445+PCM!Q445+Interest!P445+'O&amp;M'!R445+'Capex &amp; Depr'!R445+Debt!S445+Pat.!I445+Rates!P445</f>
        <v>9.4600000000000001E-4</v>
      </c>
      <c r="W445" s="106">
        <f>+'Regulatory Charge'!Q445+Fuel!Q445+PCM!R445+Interest!Q445+'O&amp;M'!S445+'Capex &amp; Depr'!S445+Debt!T445+Pat.!J445+Rates!Q445</f>
        <v>9.4600000000000001E-4</v>
      </c>
      <c r="X445" s="106">
        <f>+'Regulatory Charge'!R445+Fuel!R445+PCM!S445+Interest!R445+'O&amp;M'!T445+'Capex &amp; Depr'!T445+Debt!U445+Pat.!K445+Rates!R445</f>
        <v>9.4600000000000001E-4</v>
      </c>
      <c r="Y445" s="106">
        <f>+'Regulatory Charge'!S445+Fuel!S445+PCM!T445+Interest!S445+'O&amp;M'!U445+'Capex &amp; Depr'!U445+Debt!V445+Pat.!L445+Rates!S445</f>
        <v>9.4600000000000001E-4</v>
      </c>
      <c r="Z445" s="106">
        <f>+'Regulatory Charge'!T445+Fuel!T445+PCM!U445+Interest!T445+'O&amp;M'!V445+'Capex &amp; Depr'!V445+Debt!W445+Pat.!M445+Rates!T445</f>
        <v>9.4600000000000001E-4</v>
      </c>
      <c r="AA445" s="106">
        <f>+'Regulatory Charge'!U445+Fuel!U445+PCM!V445+Interest!U445+'O&amp;M'!W445+'Capex &amp; Depr'!W445+Debt!X445+Pat.!N445+Rates!U445</f>
        <v>9.4600000000000001E-4</v>
      </c>
      <c r="AB445" s="106">
        <f>+'Regulatory Charge'!V445+Fuel!V445+PCM!W445+Interest!V445+'O&amp;M'!X445+'Capex &amp; Depr'!X445+Debt!Y445+Pat.!O445+Rates!V445</f>
        <v>9.4600000000000001E-4</v>
      </c>
      <c r="AC445" s="106">
        <f>+'Regulatory Charge'!W445+Fuel!W445+PCM!X445+Interest!W445+'O&amp;M'!Y445+'Capex &amp; Depr'!Y445+Debt!Z445+Pat.!P445+Rates!W445</f>
        <v>9.4600000000000001E-4</v>
      </c>
      <c r="AD445" s="106">
        <f>+'Regulatory Charge'!X445+Fuel!X445+PCM!Y445+Interest!X445+'O&amp;M'!Z445+'Capex &amp; Depr'!Z445+Debt!AA445+Pat.!Q445+Rates!X445</f>
        <v>9.4600000000000001E-4</v>
      </c>
      <c r="AE445" s="224">
        <f>+'Regulatory Charge'!Y445+Fuel!Y445+PCM!Z445+'O&amp;M'!AA445+'Capex &amp; Depr'!AA445+Debt!AB445+Pat.!R445</f>
        <v>1.1352000000000001E-2</v>
      </c>
      <c r="AF445" s="106">
        <f>+'Regulatory Charge'!Z445+Fuel!Z445+PCM!AA445+Interest!Z445+'O&amp;M'!AB445+'Capex &amp; Depr'!AB445+Debt!AC445+Pat.!S445+Rates!Z445</f>
        <v>9.4600000000000001E-4</v>
      </c>
      <c r="AG445" s="106">
        <f>+'Regulatory Charge'!AA445+Fuel!AA445+PCM!AB445+Interest!AA445+'O&amp;M'!AC445+'Capex &amp; Depr'!AC445+Debt!AD445+Pat.!T445+Rates!AA445</f>
        <v>9.4600000000000001E-4</v>
      </c>
      <c r="AH445" s="106">
        <f>+'Regulatory Charge'!AB445+Fuel!AB445+PCM!AC445+Interest!AB445+'O&amp;M'!AD445+'Capex &amp; Depr'!AD445+Debt!AE445+Pat.!U445+Rates!AB445</f>
        <v>9.4600000000000001E-4</v>
      </c>
      <c r="AI445" s="106">
        <f>+'Regulatory Charge'!AC445+Fuel!AC445+PCM!AD445+Interest!AC445+'O&amp;M'!AE445+'Capex &amp; Depr'!AE445+Debt!AF445+Pat.!V445+Rates!AC445</f>
        <v>9.4600000000000001E-4</v>
      </c>
      <c r="AJ445" s="106">
        <f>+'Regulatory Charge'!AD445+Fuel!AD445+PCM!AE445+Interest!AD445+'O&amp;M'!AF445+'Capex &amp; Depr'!AF445+Debt!AG445+Pat.!W445+Rates!AD445</f>
        <v>9.4600000000000001E-4</v>
      </c>
      <c r="AK445" s="106">
        <f>+'Regulatory Charge'!AE445+Fuel!AE445+PCM!AF445+Interest!AE445+'O&amp;M'!AG445+'Capex &amp; Depr'!AG445+Debt!AH445+Pat.!X445+Rates!AE445</f>
        <v>9.4600000000000001E-4</v>
      </c>
      <c r="AL445" s="106">
        <f>+'Regulatory Charge'!AF445+Fuel!AF445+PCM!AG445+Interest!AF445+'O&amp;M'!AH445+'Capex &amp; Depr'!AH445+Debt!AI445+Pat.!Y445+Rates!AF445</f>
        <v>9.4600000000000001E-4</v>
      </c>
      <c r="AM445" s="106">
        <f>+'Regulatory Charge'!AG445+Fuel!AG445+PCM!AH445+Interest!AG445+'O&amp;M'!AI445+'Capex &amp; Depr'!AI445+Debt!AJ445+Pat.!Z445+Rates!AG445</f>
        <v>9.4600000000000001E-4</v>
      </c>
      <c r="AN445" s="106">
        <f>+'Regulatory Charge'!AH445+Fuel!AH445+PCM!AI445+Interest!AH445+'O&amp;M'!AJ445+'Capex &amp; Depr'!AJ445+Debt!AK445+Pat.!AA445+Rates!AH445</f>
        <v>9.4600000000000001E-4</v>
      </c>
      <c r="AO445" s="106">
        <f>+'Regulatory Charge'!AI445+Fuel!AI445+PCM!AJ445+Interest!AI445+'O&amp;M'!AK445+'Capex &amp; Depr'!AK445+Debt!AL445+Pat.!AB445+Rates!AI445</f>
        <v>9.4600000000000001E-4</v>
      </c>
      <c r="AP445" s="106">
        <f>+'Regulatory Charge'!AJ445+Fuel!AJ445+PCM!AK445+Interest!AJ445+'O&amp;M'!AL445+'Capex &amp; Depr'!AL445+Debt!AM445+Pat.!AC445+Rates!AJ445</f>
        <v>9.4600000000000001E-4</v>
      </c>
      <c r="AQ445" s="106">
        <f>+'Regulatory Charge'!AK445+Fuel!AK445+PCM!AL445+Interest!AK445+'O&amp;M'!AM445+'Capex &amp; Depr'!AM445+Debt!AN445+Pat.!AD445+Rates!AK445</f>
        <v>9.4600000000000001E-4</v>
      </c>
      <c r="AR445" s="224">
        <f>+'Regulatory Charge'!AL445+Fuel!AL445+PCM!AM445+'O&amp;M'!AN445+'Capex &amp; Depr'!AN445+Debt!AO445+Pat.!AE445</f>
        <v>1.1352000000000001E-2</v>
      </c>
      <c r="AS445" s="106">
        <f>+'Regulatory Charge'!AM445+Fuel!AM445+PCM!AN445+Interest!AM445+'O&amp;M'!AO445+'Capex &amp; Depr'!AO445+Debt!AP445+Pat.!AF445+Rates!AM445</f>
        <v>1.1351999999999999E-2</v>
      </c>
      <c r="AT445" s="106">
        <f>+'Regulatory Charge'!AN445+Fuel!AN445+PCM!AO445+Interest!AN445+'O&amp;M'!AP445+'Capex &amp; Depr'!AP445+Debt!AQ445+Pat.!AG445+Rates!AN445</f>
        <v>1.1351999999999999E-2</v>
      </c>
      <c r="AU445" s="106">
        <f>+'Regulatory Charge'!AO445+Fuel!AO445+PCM!AP445+Interest!AO445+'O&amp;M'!AQ445+'Capex &amp; Depr'!AQ445+Debt!AR445+Pat.!AH445+Rates!AO445</f>
        <v>1.1554392130635402E-2</v>
      </c>
      <c r="AV445" s="106">
        <f>+'Regulatory Charge'!AP445+Fuel!AP445+PCM!AQ445+Interest!AP445+'O&amp;M'!AR445+'Capex &amp; Depr'!AR445+Debt!AS445+Pat.!AI445+Rates!AP445</f>
        <v>1.1763741886721963E-2</v>
      </c>
      <c r="AW445" s="106">
        <f>+'Regulatory Charge'!AQ445+Fuel!AQ445+PCM!AR445+Interest!AQ445+'O&amp;M'!AS445+'Capex &amp; Depr'!AS445+Debt!AT445+Pat.!AJ445+Rates!AQ445</f>
        <v>1.1950166001068945E-2</v>
      </c>
      <c r="AX445" s="106">
        <f>+'Regulatory Charge'!AR445+Fuel!AR445+PCM!AS445+Interest!AR445+'O&amp;M'!AT445+'Capex &amp; Depr'!AT445+Debt!AU445+Pat.!AK445+Rates!AR445</f>
        <v>1.2164371980181533E-2</v>
      </c>
      <c r="AY445" s="106">
        <f>+'Regulatory Charge'!AS445+Fuel!AS445+PCM!AT445+Interest!AS445+'O&amp;M'!AU445+'Capex &amp; Depr'!AU445+Debt!AV445+Pat.!AL445+Rates!AS445</f>
        <v>1.2385004138667497E-2</v>
      </c>
      <c r="AZ445" s="106">
        <f>+'Regulatory Charge'!AT445+Fuel!AT445+PCM!AU445+Interest!AT445+'O&amp;M'!AV445+'Capex &amp; Depr'!AV445+Debt!AW445+Pat.!AM445+Rates!AT445</f>
        <v>1.261225526190804E-2</v>
      </c>
      <c r="BA445" s="106">
        <f>+'Regulatory Charge'!AU445+Fuel!AU445+PCM!AV445+Interest!AU445+'O&amp;M'!AW445+'Capex &amp; Depr'!AW445+Debt!AX445+Pat.!AN445+Rates!AU445</f>
        <v>1.2846323918845803E-2</v>
      </c>
      <c r="BB445" s="106">
        <f>+'Regulatory Charge'!AV445+Fuel!AV445+PCM!AW445+Interest!AV445+'O&amp;M'!AX445+'Capex &amp; Depr'!AX445+Debt!AY445+Pat.!AO445+Rates!AV445</f>
        <v>1.3087414635491694E-2</v>
      </c>
      <c r="BC445" s="106">
        <f>+'Regulatory Charge'!AW445+Fuel!AW445+PCM!AX445+Interest!AW445+'O&amp;M'!AY445+'Capex &amp; Depr'!AY445+Debt!AZ445+Pat.!AP445+Rates!AW445</f>
        <v>1.3335738073636966E-2</v>
      </c>
      <c r="BD445" s="106"/>
      <c r="BE445" s="106"/>
    </row>
    <row r="446" spans="1:57">
      <c r="A446" s="849" t="s">
        <v>823</v>
      </c>
      <c r="B446" s="846" t="s">
        <v>824</v>
      </c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224"/>
      <c r="S446" s="106">
        <f>+'Regulatory Charge'!M446+Fuel!M446+PCM!N446+Interest!M446+'O&amp;M'!O446+'Capex &amp; Depr'!O446+Debt!P446+Pat.!F446+Rates!M446</f>
        <v>0</v>
      </c>
      <c r="T446" s="106">
        <f>+'Regulatory Charge'!N446+Fuel!N446+PCM!O446+Interest!N446+'O&amp;M'!P446+'Capex &amp; Depr'!P446+Debt!Q446+Pat.!G446+Rates!N446</f>
        <v>0</v>
      </c>
      <c r="U446" s="106">
        <f>+'Regulatory Charge'!O446+Fuel!O446+PCM!P446+Interest!O446+'O&amp;M'!Q446+'Capex &amp; Depr'!Q446+Debt!R446+Pat.!H446+Rates!O446</f>
        <v>8.5000000000000006E-5</v>
      </c>
      <c r="V446" s="106">
        <f>+'Regulatory Charge'!P446+Fuel!P446+PCM!Q446+Interest!P446+'O&amp;M'!R446+'Capex &amp; Depr'!R446+Debt!S446+Pat.!I446+Rates!P446</f>
        <v>8.0000000000000004E-4</v>
      </c>
      <c r="W446" s="106">
        <f>+'Regulatory Charge'!Q446+Fuel!Q446+PCM!R446+Interest!Q446+'O&amp;M'!S446+'Capex &amp; Depr'!S446+Debt!T446+Pat.!J446+Rates!Q446</f>
        <v>0</v>
      </c>
      <c r="X446" s="106">
        <f>+'Regulatory Charge'!R446+Fuel!R446+PCM!S446+Interest!R446+'O&amp;M'!T446+'Capex &amp; Depr'!T446+Debt!U446+Pat.!K446+Rates!R446</f>
        <v>0</v>
      </c>
      <c r="Y446" s="106">
        <f>+'Regulatory Charge'!S446+Fuel!S446+PCM!T446+Interest!S446+'O&amp;M'!U446+'Capex &amp; Depr'!U446+Debt!V446+Pat.!L446+Rates!S446</f>
        <v>0</v>
      </c>
      <c r="Z446" s="106">
        <f>+'Regulatory Charge'!T446+Fuel!T446+PCM!U446+Interest!T446+'O&amp;M'!V446+'Capex &amp; Depr'!V446+Debt!W446+Pat.!M446+Rates!T446</f>
        <v>0</v>
      </c>
      <c r="AA446" s="106">
        <f>+'Regulatory Charge'!U446+Fuel!U446+PCM!V446+Interest!U446+'O&amp;M'!W446+'Capex &amp; Depr'!W446+Debt!X446+Pat.!N446+Rates!U446</f>
        <v>0</v>
      </c>
      <c r="AB446" s="106">
        <f>+'Regulatory Charge'!V446+Fuel!V446+PCM!W446+Interest!V446+'O&amp;M'!X446+'Capex &amp; Depr'!X446+Debt!Y446+Pat.!O446+Rates!V446</f>
        <v>0</v>
      </c>
      <c r="AC446" s="106">
        <f>+'Regulatory Charge'!W446+Fuel!W446+PCM!X446+Interest!W446+'O&amp;M'!Y446+'Capex &amp; Depr'!Y446+Debt!Z446+Pat.!P446+Rates!W446</f>
        <v>0</v>
      </c>
      <c r="AD446" s="106">
        <f>+'Regulatory Charge'!X446+Fuel!X446+PCM!Y446+Interest!X446+'O&amp;M'!Z446+'Capex &amp; Depr'!Z446+Debt!AA446+Pat.!Q446+Rates!X446</f>
        <v>0</v>
      </c>
      <c r="AE446" s="224">
        <f t="shared" si="0"/>
        <v>8.8500000000000004E-4</v>
      </c>
      <c r="AF446" s="106">
        <f>+'Regulatory Charge'!Z446+Fuel!Z446+PCM!AA446+Interest!Z446+'O&amp;M'!AB446+'Capex &amp; Depr'!AB446+Debt!AC446+Pat.!S446+Rates!Z446</f>
        <v>0</v>
      </c>
      <c r="AG446" s="106">
        <f>+'Regulatory Charge'!AA446+Fuel!AA446+PCM!AB446+Interest!AA446+'O&amp;M'!AC446+'Capex &amp; Depr'!AC446+Debt!AD446+Pat.!T446+Rates!AA446</f>
        <v>0</v>
      </c>
      <c r="AH446" s="106">
        <f>+'Regulatory Charge'!AB446+Fuel!AB446+PCM!AC446+Interest!AB446+'O&amp;M'!AD446+'Capex &amp; Depr'!AD446+Debt!AE446+Pat.!U446+Rates!AB446</f>
        <v>8.5000000000000006E-5</v>
      </c>
      <c r="AI446" s="106">
        <f>+'Regulatory Charge'!AC446+Fuel!AC446+PCM!AD446+Interest!AC446+'O&amp;M'!AE446+'Capex &amp; Depr'!AE446+Debt!AF446+Pat.!V446+Rates!AC446</f>
        <v>8.0000000000000004E-4</v>
      </c>
      <c r="AJ446" s="106">
        <f>+'Regulatory Charge'!AD446+Fuel!AD446+PCM!AE446+Interest!AD446+'O&amp;M'!AF446+'Capex &amp; Depr'!AF446+Debt!AG446+Pat.!W446+Rates!AD446</f>
        <v>0</v>
      </c>
      <c r="AK446" s="106">
        <f>+'Regulatory Charge'!AE446+Fuel!AE446+PCM!AF446+Interest!AE446+'O&amp;M'!AG446+'Capex &amp; Depr'!AG446+Debt!AH446+Pat.!X446+Rates!AE446</f>
        <v>0</v>
      </c>
      <c r="AL446" s="106">
        <f>+'Regulatory Charge'!AF446+Fuel!AF446+PCM!AG446+Interest!AF446+'O&amp;M'!AH446+'Capex &amp; Depr'!AH446+Debt!AI446+Pat.!Y446+Rates!AF446</f>
        <v>0</v>
      </c>
      <c r="AM446" s="106">
        <f>+'Regulatory Charge'!AG446+Fuel!AG446+PCM!AH446+Interest!AG446+'O&amp;M'!AI446+'Capex &amp; Depr'!AI446+Debt!AJ446+Pat.!Z446+Rates!AG446</f>
        <v>0</v>
      </c>
      <c r="AN446" s="106">
        <f>+'Regulatory Charge'!AH446+Fuel!AH446+PCM!AI446+Interest!AH446+'O&amp;M'!AJ446+'Capex &amp; Depr'!AJ446+Debt!AK446+Pat.!AA446+Rates!AH446</f>
        <v>0</v>
      </c>
      <c r="AO446" s="106">
        <f>+'Regulatory Charge'!AI446+Fuel!AI446+PCM!AJ446+Interest!AI446+'O&amp;M'!AK446+'Capex &amp; Depr'!AK446+Debt!AL446+Pat.!AB446+Rates!AI446</f>
        <v>0</v>
      </c>
      <c r="AP446" s="106">
        <f>+'Regulatory Charge'!AJ446+Fuel!AJ446+PCM!AK446+Interest!AJ446+'O&amp;M'!AL446+'Capex &amp; Depr'!AL446+Debt!AM446+Pat.!AC446+Rates!AJ446</f>
        <v>0</v>
      </c>
      <c r="AQ446" s="106">
        <f>+'Regulatory Charge'!AK446+Fuel!AK446+PCM!AL446+Interest!AK446+'O&amp;M'!AM446+'Capex &amp; Depr'!AM446+Debt!AN446+Pat.!AD446+Rates!AK446</f>
        <v>0</v>
      </c>
      <c r="AR446" s="224">
        <f t="shared" si="1"/>
        <v>8.8500000000000004E-4</v>
      </c>
      <c r="AS446" s="106">
        <f>+'Regulatory Charge'!AM446+Fuel!AM446+PCM!AN446+Interest!AM446+'O&amp;M'!AO446+'Capex &amp; Depr'!AO446+Debt!AP446+Pat.!AF446+Rates!AM446</f>
        <v>8.8500000000000004E-4</v>
      </c>
      <c r="AT446" s="106">
        <f>+'Regulatory Charge'!AN446+Fuel!AN446+PCM!AO446+Interest!AN446+'O&amp;M'!AP446+'Capex &amp; Depr'!AP446+Debt!AQ446+Pat.!AG446+Rates!AN446</f>
        <v>8.8500000000000004E-4</v>
      </c>
      <c r="AU446" s="106">
        <f>+'Regulatory Charge'!AO446+Fuel!AO446+PCM!AP446+Interest!AO446+'O&amp;M'!AQ446+'Capex &amp; Depr'!AQ446+Debt!AR446+Pat.!AH446+Rates!AO446</f>
        <v>8.8500000000000004E-4</v>
      </c>
      <c r="AV446" s="106">
        <f>+'Regulatory Charge'!AP446+Fuel!AP446+PCM!AQ446+Interest!AP446+'O&amp;M'!AR446+'Capex &amp; Depr'!AR446+Debt!AS446+Pat.!AI446+Rates!AP446</f>
        <v>8.8500000000000004E-4</v>
      </c>
      <c r="AW446" s="106">
        <f>+'Regulatory Charge'!AQ446+Fuel!AQ446+PCM!AR446+Interest!AQ446+'O&amp;M'!AS446+'Capex &amp; Depr'!AS446+Debt!AT446+Pat.!AJ446+Rates!AQ446</f>
        <v>8.8500000000000004E-4</v>
      </c>
      <c r="AX446" s="106">
        <f>+'Regulatory Charge'!AR446+Fuel!AR446+PCM!AS446+Interest!AR446+'O&amp;M'!AT446+'Capex &amp; Depr'!AT446+Debt!AU446+Pat.!AK446+Rates!AR446</f>
        <v>8.8500000000000004E-4</v>
      </c>
      <c r="AY446" s="106">
        <f>+'Regulatory Charge'!AS446+Fuel!AS446+PCM!AT446+Interest!AS446+'O&amp;M'!AU446+'Capex &amp; Depr'!AU446+Debt!AV446+Pat.!AL446+Rates!AS446</f>
        <v>8.8500000000000004E-4</v>
      </c>
      <c r="AZ446" s="106">
        <f>+'Regulatory Charge'!AT446+Fuel!AT446+PCM!AU446+Interest!AT446+'O&amp;M'!AV446+'Capex &amp; Depr'!AV446+Debt!AW446+Pat.!AM446+Rates!AT446</f>
        <v>8.8500000000000004E-4</v>
      </c>
      <c r="BA446" s="106">
        <f>+'Regulatory Charge'!AU446+Fuel!AU446+PCM!AV446+Interest!AU446+'O&amp;M'!AW446+'Capex &amp; Depr'!AW446+Debt!AX446+Pat.!AN446+Rates!AU446</f>
        <v>8.8500000000000004E-4</v>
      </c>
      <c r="BB446" s="106">
        <f>+'Regulatory Charge'!AV446+Fuel!AV446+PCM!AW446+Interest!AV446+'O&amp;M'!AX446+'Capex &amp; Depr'!AX446+Debt!AY446+Pat.!AO446+Rates!AV446</f>
        <v>8.8500000000000004E-4</v>
      </c>
      <c r="BC446" s="106">
        <f>+'Regulatory Charge'!AW446+Fuel!AW446+PCM!AX446+Interest!AW446+'O&amp;M'!AY446+'Capex &amp; Depr'!AY446+Debt!AZ446+Pat.!AP446+Rates!AW446</f>
        <v>8.8500000000000004E-4</v>
      </c>
      <c r="BD446" s="106"/>
      <c r="BE446" s="106"/>
    </row>
    <row r="447" spans="1:57">
      <c r="A447" s="849" t="s">
        <v>825</v>
      </c>
      <c r="B447" s="846" t="s">
        <v>826</v>
      </c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224"/>
      <c r="S447" s="106">
        <f>+'Regulatory Charge'!M447+Fuel!M447+PCM!N447+Interest!M447+'O&amp;M'!O447+'Capex &amp; Depr'!O447+Debt!P447+Pat.!F447+Rates!M447</f>
        <v>0</v>
      </c>
      <c r="T447" s="106">
        <f>+'Regulatory Charge'!N447+Fuel!N447+PCM!O447+Interest!N447+'O&amp;M'!P447+'Capex &amp; Depr'!P447+Debt!Q447+Pat.!G447+Rates!N447</f>
        <v>0</v>
      </c>
      <c r="U447" s="106">
        <f>+'Regulatory Charge'!O447+Fuel!O447+PCM!P447+Interest!O447+'O&amp;M'!Q447+'Capex &amp; Depr'!Q447+Debt!R447+Pat.!H447+Rates!O447</f>
        <v>0</v>
      </c>
      <c r="V447" s="106">
        <f>+'Regulatory Charge'!P447+Fuel!P447+PCM!Q447+Interest!P447+'O&amp;M'!R447+'Capex &amp; Depr'!R447+Debt!S447+Pat.!I447+Rates!P447</f>
        <v>0</v>
      </c>
      <c r="W447" s="106">
        <f>+'Regulatory Charge'!Q447+Fuel!Q447+PCM!R447+Interest!Q447+'O&amp;M'!S447+'Capex &amp; Depr'!S447+Debt!T447+Pat.!J447+Rates!Q447</f>
        <v>0</v>
      </c>
      <c r="X447" s="106">
        <f>+'Regulatory Charge'!R447+Fuel!R447+PCM!S447+Interest!R447+'O&amp;M'!T447+'Capex &amp; Depr'!T447+Debt!U447+Pat.!K447+Rates!R447</f>
        <v>0</v>
      </c>
      <c r="Y447" s="106">
        <f>+'Regulatory Charge'!S447+Fuel!S447+PCM!T447+Interest!S447+'O&amp;M'!U447+'Capex &amp; Depr'!U447+Debt!V447+Pat.!L447+Rates!S447</f>
        <v>0</v>
      </c>
      <c r="Z447" s="106">
        <f>+'Regulatory Charge'!T447+Fuel!T447+PCM!U447+Interest!T447+'O&amp;M'!V447+'Capex &amp; Depr'!V447+Debt!W447+Pat.!M447+Rates!T447</f>
        <v>0</v>
      </c>
      <c r="AA447" s="106">
        <f>+'Regulatory Charge'!U447+Fuel!U447+PCM!V447+Interest!U447+'O&amp;M'!W447+'Capex &amp; Depr'!W447+Debt!X447+Pat.!N447+Rates!U447</f>
        <v>0</v>
      </c>
      <c r="AB447" s="106">
        <f>+'Regulatory Charge'!V447+Fuel!V447+PCM!W447+Interest!V447+'O&amp;M'!X447+'Capex &amp; Depr'!X447+Debt!Y447+Pat.!O447+Rates!V447</f>
        <v>0</v>
      </c>
      <c r="AC447" s="106">
        <f>+'Regulatory Charge'!W447+Fuel!W447+PCM!X447+Interest!W447+'O&amp;M'!Y447+'Capex &amp; Depr'!Y447+Debt!Z447+Pat.!P447+Rates!W447</f>
        <v>0</v>
      </c>
      <c r="AD447" s="106">
        <f>+'Regulatory Charge'!X447+Fuel!X447+PCM!Y447+Interest!X447+'O&amp;M'!Z447+'Capex &amp; Depr'!Z447+Debt!AA447+Pat.!Q447+Rates!X447</f>
        <v>0</v>
      </c>
      <c r="AE447" s="224">
        <f t="shared" si="0"/>
        <v>0</v>
      </c>
      <c r="AF447" s="106">
        <f>+'Regulatory Charge'!Z447+Fuel!Z447+PCM!AA447+Interest!Z447+'O&amp;M'!AB447+'Capex &amp; Depr'!AB447+Debt!AC447+Pat.!S447+Rates!Z447</f>
        <v>0</v>
      </c>
      <c r="AG447" s="106">
        <f>+'Regulatory Charge'!AA447+Fuel!AA447+PCM!AB447+Interest!AA447+'O&amp;M'!AC447+'Capex &amp; Depr'!AC447+Debt!AD447+Pat.!T447+Rates!AA447</f>
        <v>0</v>
      </c>
      <c r="AH447" s="106">
        <f>+'Regulatory Charge'!AB447+Fuel!AB447+PCM!AC447+Interest!AB447+'O&amp;M'!AD447+'Capex &amp; Depr'!AD447+Debt!AE447+Pat.!U447+Rates!AB447</f>
        <v>0</v>
      </c>
      <c r="AI447" s="106">
        <f>+'Regulatory Charge'!AC447+Fuel!AC447+PCM!AD447+Interest!AC447+'O&amp;M'!AE447+'Capex &amp; Depr'!AE447+Debt!AF447+Pat.!V447+Rates!AC447</f>
        <v>0</v>
      </c>
      <c r="AJ447" s="106">
        <f>+'Regulatory Charge'!AD447+Fuel!AD447+PCM!AE447+Interest!AD447+'O&amp;M'!AF447+'Capex &amp; Depr'!AF447+Debt!AG447+Pat.!W447+Rates!AD447</f>
        <v>0</v>
      </c>
      <c r="AK447" s="106">
        <f>+'Regulatory Charge'!AE447+Fuel!AE447+PCM!AF447+Interest!AE447+'O&amp;M'!AG447+'Capex &amp; Depr'!AG447+Debt!AH447+Pat.!X447+Rates!AE447</f>
        <v>0</v>
      </c>
      <c r="AL447" s="106">
        <f>+'Regulatory Charge'!AF447+Fuel!AF447+PCM!AG447+Interest!AF447+'O&amp;M'!AH447+'Capex &amp; Depr'!AH447+Debt!AI447+Pat.!Y447+Rates!AF447</f>
        <v>0</v>
      </c>
      <c r="AM447" s="106">
        <f>+'Regulatory Charge'!AG447+Fuel!AG447+PCM!AH447+Interest!AG447+'O&amp;M'!AI447+'Capex &amp; Depr'!AI447+Debt!AJ447+Pat.!Z447+Rates!AG447</f>
        <v>0</v>
      </c>
      <c r="AN447" s="106">
        <f>+'Regulatory Charge'!AH447+Fuel!AH447+PCM!AI447+Interest!AH447+'O&amp;M'!AJ447+'Capex &amp; Depr'!AJ447+Debt!AK447+Pat.!AA447+Rates!AH447</f>
        <v>0</v>
      </c>
      <c r="AO447" s="106">
        <f>+'Regulatory Charge'!AI447+Fuel!AI447+PCM!AJ447+Interest!AI447+'O&amp;M'!AK447+'Capex &amp; Depr'!AK447+Debt!AL447+Pat.!AB447+Rates!AI447</f>
        <v>0</v>
      </c>
      <c r="AP447" s="106">
        <f>+'Regulatory Charge'!AJ447+Fuel!AJ447+PCM!AK447+Interest!AJ447+'O&amp;M'!AL447+'Capex &amp; Depr'!AL447+Debt!AM447+Pat.!AC447+Rates!AJ447</f>
        <v>0</v>
      </c>
      <c r="AQ447" s="106">
        <f>+'Regulatory Charge'!AK447+Fuel!AK447+PCM!AL447+Interest!AK447+'O&amp;M'!AM447+'Capex &amp; Depr'!AM447+Debt!AN447+Pat.!AD447+Rates!AK447</f>
        <v>0</v>
      </c>
      <c r="AR447" s="224">
        <f t="shared" si="1"/>
        <v>0</v>
      </c>
      <c r="AS447" s="106">
        <f>+'Regulatory Charge'!AM447+Fuel!AM447+PCM!AN447+Interest!AM447+'O&amp;M'!AO447+'Capex &amp; Depr'!AO447+Debt!AP447+Pat.!AF447+Rates!AM447</f>
        <v>0</v>
      </c>
      <c r="AT447" s="106">
        <f>+'Regulatory Charge'!AN447+Fuel!AN447+PCM!AO447+Interest!AN447+'O&amp;M'!AP447+'Capex &amp; Depr'!AP447+Debt!AQ447+Pat.!AG447+Rates!AN447</f>
        <v>0</v>
      </c>
      <c r="AU447" s="106">
        <f>+'Regulatory Charge'!AO447+Fuel!AO447+PCM!AP447+Interest!AO447+'O&amp;M'!AQ447+'Capex &amp; Depr'!AQ447+Debt!AR447+Pat.!AH447+Rates!AO447</f>
        <v>0</v>
      </c>
      <c r="AV447" s="106">
        <f>+'Regulatory Charge'!AP447+Fuel!AP447+PCM!AQ447+Interest!AP447+'O&amp;M'!AR447+'Capex &amp; Depr'!AR447+Debt!AS447+Pat.!AI447+Rates!AP447</f>
        <v>0</v>
      </c>
      <c r="AW447" s="106">
        <f>+'Regulatory Charge'!AQ447+Fuel!AQ447+PCM!AR447+Interest!AQ447+'O&amp;M'!AS447+'Capex &amp; Depr'!AS447+Debt!AT447+Pat.!AJ447+Rates!AQ447</f>
        <v>0</v>
      </c>
      <c r="AX447" s="106">
        <f>+'Regulatory Charge'!AR447+Fuel!AR447+PCM!AS447+Interest!AR447+'O&amp;M'!AT447+'Capex &amp; Depr'!AT447+Debt!AU447+Pat.!AK447+Rates!AR447</f>
        <v>0</v>
      </c>
      <c r="AY447" s="106">
        <f>+'Regulatory Charge'!AS447+Fuel!AS447+PCM!AT447+Interest!AS447+'O&amp;M'!AU447+'Capex &amp; Depr'!AU447+Debt!AV447+Pat.!AL447+Rates!AS447</f>
        <v>0</v>
      </c>
      <c r="AZ447" s="106">
        <f>+'Regulatory Charge'!AT447+Fuel!AT447+PCM!AU447+Interest!AT447+'O&amp;M'!AV447+'Capex &amp; Depr'!AV447+Debt!AW447+Pat.!AM447+Rates!AT447</f>
        <v>0</v>
      </c>
      <c r="BA447" s="106">
        <f>+'Regulatory Charge'!AU447+Fuel!AU447+PCM!AV447+Interest!AU447+'O&amp;M'!AW447+'Capex &amp; Depr'!AW447+Debt!AX447+Pat.!AN447+Rates!AU447</f>
        <v>0</v>
      </c>
      <c r="BB447" s="106">
        <f>+'Regulatory Charge'!AV447+Fuel!AV447+PCM!AW447+Interest!AV447+'O&amp;M'!AX447+'Capex &amp; Depr'!AX447+Debt!AY447+Pat.!AO447+Rates!AV447</f>
        <v>0</v>
      </c>
      <c r="BC447" s="106">
        <f>+'Regulatory Charge'!AW447+Fuel!AW447+PCM!AX447+Interest!AW447+'O&amp;M'!AY447+'Capex &amp; Depr'!AY447+Debt!AZ447+Pat.!AP447+Rates!AW447</f>
        <v>0</v>
      </c>
      <c r="BD447" s="106"/>
      <c r="BE447" s="106"/>
    </row>
    <row r="448" spans="1:57">
      <c r="A448" s="849" t="s">
        <v>827</v>
      </c>
      <c r="B448" s="846" t="s">
        <v>828</v>
      </c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224"/>
      <c r="S448" s="106">
        <f>+'Regulatory Charge'!M448+Fuel!M448+PCM!N448+Interest!M448+'O&amp;M'!O448+'Capex &amp; Depr'!O448+Debt!P448+Pat.!F448+Rates!M448</f>
        <v>0</v>
      </c>
      <c r="T448" s="106">
        <f>+'Regulatory Charge'!N448+Fuel!N448+PCM!O448+Interest!N448+'O&amp;M'!P448+'Capex &amp; Depr'!P448+Debt!Q448+Pat.!G448+Rates!N448</f>
        <v>0</v>
      </c>
      <c r="U448" s="106">
        <f>+'Regulatory Charge'!O448+Fuel!O448+PCM!P448+Interest!O448+'O&amp;M'!Q448+'Capex &amp; Depr'!Q448+Debt!R448+Pat.!H448+Rates!O448</f>
        <v>0</v>
      </c>
      <c r="V448" s="106">
        <f>+'Regulatory Charge'!P448+Fuel!P448+PCM!Q448+Interest!P448+'O&amp;M'!R448+'Capex &amp; Depr'!R448+Debt!S448+Pat.!I448+Rates!P448</f>
        <v>0</v>
      </c>
      <c r="W448" s="106">
        <f>+'Regulatory Charge'!Q448+Fuel!Q448+PCM!R448+Interest!Q448+'O&amp;M'!S448+'Capex &amp; Depr'!S448+Debt!T448+Pat.!J448+Rates!Q448</f>
        <v>0</v>
      </c>
      <c r="X448" s="106">
        <f>+'Regulatory Charge'!R448+Fuel!R448+PCM!S448+Interest!R448+'O&amp;M'!T448+'Capex &amp; Depr'!T448+Debt!U448+Pat.!K448+Rates!R448</f>
        <v>0</v>
      </c>
      <c r="Y448" s="106">
        <f>+'Regulatory Charge'!S448+Fuel!S448+PCM!T448+Interest!S448+'O&amp;M'!U448+'Capex &amp; Depr'!U448+Debt!V448+Pat.!L448+Rates!S448</f>
        <v>0</v>
      </c>
      <c r="Z448" s="106">
        <f>+'Regulatory Charge'!T448+Fuel!T448+PCM!U448+Interest!T448+'O&amp;M'!V448+'Capex &amp; Depr'!V448+Debt!W448+Pat.!M448+Rates!T448</f>
        <v>0</v>
      </c>
      <c r="AA448" s="106">
        <f>+'Regulatory Charge'!U448+Fuel!U448+PCM!V448+Interest!U448+'O&amp;M'!W448+'Capex &amp; Depr'!W448+Debt!X448+Pat.!N448+Rates!U448</f>
        <v>0</v>
      </c>
      <c r="AB448" s="106">
        <f>+'Regulatory Charge'!V448+Fuel!V448+PCM!W448+Interest!V448+'O&amp;M'!X448+'Capex &amp; Depr'!X448+Debt!Y448+Pat.!O448+Rates!V448</f>
        <v>0</v>
      </c>
      <c r="AC448" s="106">
        <f>+'Regulatory Charge'!W448+Fuel!W448+PCM!X448+Interest!W448+'O&amp;M'!Y448+'Capex &amp; Depr'!Y448+Debt!Z448+Pat.!P448+Rates!W448</f>
        <v>0</v>
      </c>
      <c r="AD448" s="106">
        <f>+'Regulatory Charge'!X448+Fuel!X448+PCM!Y448+Interest!X448+'O&amp;M'!Z448+'Capex &amp; Depr'!Z448+Debt!AA448+Pat.!Q448+Rates!X448</f>
        <v>0</v>
      </c>
      <c r="AE448" s="224">
        <f t="shared" si="0"/>
        <v>0</v>
      </c>
      <c r="AF448" s="106">
        <f>+'Regulatory Charge'!Z448+Fuel!Z448+PCM!AA448+Interest!Z448+'O&amp;M'!AB448+'Capex &amp; Depr'!AB448+Debt!AC448+Pat.!S448+Rates!Z448</f>
        <v>0</v>
      </c>
      <c r="AG448" s="106">
        <f>+'Regulatory Charge'!AA448+Fuel!AA448+PCM!AB448+Interest!AA448+'O&amp;M'!AC448+'Capex &amp; Depr'!AC448+Debt!AD448+Pat.!T448+Rates!AA448</f>
        <v>0</v>
      </c>
      <c r="AH448" s="106">
        <f>+'Regulatory Charge'!AB448+Fuel!AB448+PCM!AC448+Interest!AB448+'O&amp;M'!AD448+'Capex &amp; Depr'!AD448+Debt!AE448+Pat.!U448+Rates!AB448</f>
        <v>0</v>
      </c>
      <c r="AI448" s="106">
        <f>+'Regulatory Charge'!AC448+Fuel!AC448+PCM!AD448+Interest!AC448+'O&amp;M'!AE448+'Capex &amp; Depr'!AE448+Debt!AF448+Pat.!V448+Rates!AC448</f>
        <v>0</v>
      </c>
      <c r="AJ448" s="106">
        <f>+'Regulatory Charge'!AD448+Fuel!AD448+PCM!AE448+Interest!AD448+'O&amp;M'!AF448+'Capex &amp; Depr'!AF448+Debt!AG448+Pat.!W448+Rates!AD448</f>
        <v>0</v>
      </c>
      <c r="AK448" s="106">
        <f>+'Regulatory Charge'!AE448+Fuel!AE448+PCM!AF448+Interest!AE448+'O&amp;M'!AG448+'Capex &amp; Depr'!AG448+Debt!AH448+Pat.!X448+Rates!AE448</f>
        <v>0</v>
      </c>
      <c r="AL448" s="106">
        <f>+'Regulatory Charge'!AF448+Fuel!AF448+PCM!AG448+Interest!AF448+'O&amp;M'!AH448+'Capex &amp; Depr'!AH448+Debt!AI448+Pat.!Y448+Rates!AF448</f>
        <v>0</v>
      </c>
      <c r="AM448" s="106">
        <f>+'Regulatory Charge'!AG448+Fuel!AG448+PCM!AH448+Interest!AG448+'O&amp;M'!AI448+'Capex &amp; Depr'!AI448+Debt!AJ448+Pat.!Z448+Rates!AG448</f>
        <v>0</v>
      </c>
      <c r="AN448" s="106">
        <f>+'Regulatory Charge'!AH448+Fuel!AH448+PCM!AI448+Interest!AH448+'O&amp;M'!AJ448+'Capex &amp; Depr'!AJ448+Debt!AK448+Pat.!AA448+Rates!AH448</f>
        <v>0</v>
      </c>
      <c r="AO448" s="106">
        <f>+'Regulatory Charge'!AI448+Fuel!AI448+PCM!AJ448+Interest!AI448+'O&amp;M'!AK448+'Capex &amp; Depr'!AK448+Debt!AL448+Pat.!AB448+Rates!AI448</f>
        <v>0</v>
      </c>
      <c r="AP448" s="106">
        <f>+'Regulatory Charge'!AJ448+Fuel!AJ448+PCM!AK448+Interest!AJ448+'O&amp;M'!AL448+'Capex &amp; Depr'!AL448+Debt!AM448+Pat.!AC448+Rates!AJ448</f>
        <v>0</v>
      </c>
      <c r="AQ448" s="106">
        <f>+'Regulatory Charge'!AK448+Fuel!AK448+PCM!AL448+Interest!AK448+'O&amp;M'!AM448+'Capex &amp; Depr'!AM448+Debt!AN448+Pat.!AD448+Rates!AK448</f>
        <v>0</v>
      </c>
      <c r="AR448" s="224">
        <f t="shared" si="1"/>
        <v>0</v>
      </c>
      <c r="AS448" s="106">
        <f>+'Regulatory Charge'!AM448+Fuel!AM448+PCM!AN448+Interest!AM448+'O&amp;M'!AO448+'Capex &amp; Depr'!AO448+Debt!AP448+Pat.!AF448+Rates!AM448</f>
        <v>0</v>
      </c>
      <c r="AT448" s="106">
        <f>+'Regulatory Charge'!AN448+Fuel!AN448+PCM!AO448+Interest!AN448+'O&amp;M'!AP448+'Capex &amp; Depr'!AP448+Debt!AQ448+Pat.!AG448+Rates!AN448</f>
        <v>0</v>
      </c>
      <c r="AU448" s="106">
        <f>+'Regulatory Charge'!AO448+Fuel!AO448+PCM!AP448+Interest!AO448+'O&amp;M'!AQ448+'Capex &amp; Depr'!AQ448+Debt!AR448+Pat.!AH448+Rates!AO448</f>
        <v>0</v>
      </c>
      <c r="AV448" s="106">
        <f>+'Regulatory Charge'!AP448+Fuel!AP448+PCM!AQ448+Interest!AP448+'O&amp;M'!AR448+'Capex &amp; Depr'!AR448+Debt!AS448+Pat.!AI448+Rates!AP448</f>
        <v>0</v>
      </c>
      <c r="AW448" s="106">
        <f>+'Regulatory Charge'!AQ448+Fuel!AQ448+PCM!AR448+Interest!AQ448+'O&amp;M'!AS448+'Capex &amp; Depr'!AS448+Debt!AT448+Pat.!AJ448+Rates!AQ448</f>
        <v>0</v>
      </c>
      <c r="AX448" s="106">
        <f>+'Regulatory Charge'!AR448+Fuel!AR448+PCM!AS448+Interest!AR448+'O&amp;M'!AT448+'Capex &amp; Depr'!AT448+Debt!AU448+Pat.!AK448+Rates!AR448</f>
        <v>0</v>
      </c>
      <c r="AY448" s="106">
        <f>+'Regulatory Charge'!AS448+Fuel!AS448+PCM!AT448+Interest!AS448+'O&amp;M'!AU448+'Capex &amp; Depr'!AU448+Debt!AV448+Pat.!AL448+Rates!AS448</f>
        <v>0</v>
      </c>
      <c r="AZ448" s="106">
        <f>+'Regulatory Charge'!AT448+Fuel!AT448+PCM!AU448+Interest!AT448+'O&amp;M'!AV448+'Capex &amp; Depr'!AV448+Debt!AW448+Pat.!AM448+Rates!AT448</f>
        <v>0</v>
      </c>
      <c r="BA448" s="106">
        <f>+'Regulatory Charge'!AU448+Fuel!AU448+PCM!AV448+Interest!AU448+'O&amp;M'!AW448+'Capex &amp; Depr'!AW448+Debt!AX448+Pat.!AN448+Rates!AU448</f>
        <v>0</v>
      </c>
      <c r="BB448" s="106">
        <f>+'Regulatory Charge'!AV448+Fuel!AV448+PCM!AW448+Interest!AV448+'O&amp;M'!AX448+'Capex &amp; Depr'!AX448+Debt!AY448+Pat.!AO448+Rates!AV448</f>
        <v>0</v>
      </c>
      <c r="BC448" s="106">
        <f>+'Regulatory Charge'!AW448+Fuel!AW448+PCM!AX448+Interest!AW448+'O&amp;M'!AY448+'Capex &amp; Depr'!AY448+Debt!AZ448+Pat.!AP448+Rates!AW448</f>
        <v>0</v>
      </c>
      <c r="BD448" s="106"/>
      <c r="BE448" s="106"/>
    </row>
    <row r="449" spans="1:57">
      <c r="A449" s="849" t="s">
        <v>830</v>
      </c>
      <c r="B449" s="846" t="s">
        <v>831</v>
      </c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224"/>
      <c r="S449" s="106">
        <f>+'Regulatory Charge'!M449+Fuel!M449+PCM!N449+Interest!M449+'O&amp;M'!O449+'Capex &amp; Depr'!O449+Debt!P449+Pat.!F449+Rates!M449</f>
        <v>-0.17073353166899355</v>
      </c>
      <c r="T449" s="106">
        <f>+'Regulatory Charge'!N449+Fuel!N449+PCM!O449+Interest!N449+'O&amp;M'!P449+'Capex &amp; Depr'!P449+Debt!Q449+Pat.!G449+Rates!N449</f>
        <v>-0.17009169511140093</v>
      </c>
      <c r="U449" s="106">
        <f>+'Regulatory Charge'!O449+Fuel!O449+PCM!P449+Interest!O449+'O&amp;M'!Q449+'Capex &amp; Depr'!Q449+Debt!R449+Pat.!H449+Rates!O449</f>
        <v>-0.16977814021572091</v>
      </c>
      <c r="V449" s="106">
        <f>+'Regulatory Charge'!P449+Fuel!P449+PCM!Q449+Interest!P449+'O&amp;M'!R449+'Capex &amp; Depr'!R449+Debt!S449+Pat.!I449+Rates!P449</f>
        <v>-0.16947336528656909</v>
      </c>
      <c r="W449" s="106">
        <f>+'Regulatory Charge'!Q449+Fuel!Q449+PCM!R449+Interest!Q449+'O&amp;M'!S449+'Capex &amp; Depr'!S449+Debt!T449+Pat.!J449+Rates!Q449</f>
        <v>-0.16879698315529648</v>
      </c>
      <c r="X449" s="106">
        <f>+'Regulatory Charge'!R449+Fuel!R449+PCM!S449+Interest!R449+'O&amp;M'!T449+'Capex &amp; Depr'!T449+Debt!U449+Pat.!K449+Rates!R449</f>
        <v>-0.16792666529029654</v>
      </c>
      <c r="Y449" s="106">
        <f>+'Regulatory Charge'!S449+Fuel!S449+PCM!T449+Interest!S449+'O&amp;M'!U449+'Capex &amp; Depr'!U449+Debt!V449+Pat.!L449+Rates!S449</f>
        <v>-0.16806924121043876</v>
      </c>
      <c r="Z449" s="106">
        <f>+'Regulatory Charge'!T449+Fuel!T449+PCM!U449+Interest!T449+'O&amp;M'!V449+'Capex &amp; Depr'!V449+Debt!W449+Pat.!M449+Rates!T449</f>
        <v>-0.16779094943149278</v>
      </c>
      <c r="AA449" s="106">
        <f>+'Regulatory Charge'!U449+Fuel!U449+PCM!V449+Interest!U449+'O&amp;M'!W449+'Capex &amp; Depr'!W449+Debt!X449+Pat.!N449+Rates!U449</f>
        <v>-0.16794803245991258</v>
      </c>
      <c r="AB449" s="106">
        <f>+'Regulatory Charge'!V449+Fuel!V449+PCM!W449+Interest!V449+'O&amp;M'!X449+'Capex &amp; Depr'!X449+Debt!Y449+Pat.!O449+Rates!V449</f>
        <v>-0.16753659061636295</v>
      </c>
      <c r="AC449" s="106">
        <f>+'Regulatory Charge'!W449+Fuel!W449+PCM!X449+Interest!W449+'O&amp;M'!Y449+'Capex &amp; Depr'!Y449+Debt!Z449+Pat.!P449+Rates!W449</f>
        <v>-0.16636562886447287</v>
      </c>
      <c r="AD449" s="106">
        <f>+'Regulatory Charge'!X449+Fuel!X449+PCM!Y449+Interest!X449+'O&amp;M'!Z449+'Capex &amp; Depr'!Z449+Debt!AA449+Pat.!Q449+Rates!X449</f>
        <v>-0.16445705037247971</v>
      </c>
      <c r="AE449" s="224">
        <f t="shared" si="0"/>
        <v>-2.0189678736834371</v>
      </c>
      <c r="AF449" s="106">
        <f>+'Regulatory Charge'!Z449+Fuel!Z449+PCM!AA449+Interest!Z449+'O&amp;M'!AB449+'Capex &amp; Depr'!AB449+Debt!AC449+Pat.!S449+Rates!Z449</f>
        <v>-0.16584148914560665</v>
      </c>
      <c r="AG449" s="106">
        <f>+'Regulatory Charge'!AA449+Fuel!AA449+PCM!AB449+Interest!AA449+'O&amp;M'!AC449+'Capex &amp; Depr'!AC449+Debt!AD449+Pat.!T449+Rates!AA449</f>
        <v>-0.16511526944357627</v>
      </c>
      <c r="AH449" s="106">
        <f>+'Regulatory Charge'!AB449+Fuel!AB449+PCM!AC449+Interest!AB449+'O&amp;M'!AD449+'Capex &amp; Depr'!AD449+Debt!AE449+Pat.!U449+Rates!AB449</f>
        <v>-0.16595804788047308</v>
      </c>
      <c r="AI449" s="106">
        <f>+'Regulatory Charge'!AC449+Fuel!AC449+PCM!AD449+Interest!AC449+'O&amp;M'!AE449+'Capex &amp; Depr'!AE449+Debt!AF449+Pat.!V449+Rates!AC449</f>
        <v>-0.16448790320242462</v>
      </c>
      <c r="AJ449" s="106">
        <f>+'Regulatory Charge'!AD449+Fuel!AD449+PCM!AE449+Interest!AD449+'O&amp;M'!AF449+'Capex &amp; Depr'!AF449+Debt!AG449+Pat.!W449+Rates!AD449</f>
        <v>-0.16310366962968792</v>
      </c>
      <c r="AK449" s="106">
        <f>+'Regulatory Charge'!AE449+Fuel!AE449+PCM!AF449+Interest!AE449+'O&amp;M'!AG449+'Capex &amp; Depr'!AG449+Debt!AH449+Pat.!X449+Rates!AE449</f>
        <v>-0.16092508332300048</v>
      </c>
      <c r="AL449" s="106">
        <f>+'Regulatory Charge'!AF449+Fuel!AF449+PCM!AG449+Interest!AF449+'O&amp;M'!AH449+'Capex &amp; Depr'!AH449+Debt!AI449+Pat.!Y449+Rates!AF449</f>
        <v>-0.16155922303300657</v>
      </c>
      <c r="AM449" s="106">
        <f>+'Regulatory Charge'!AG449+Fuel!AG449+PCM!AH449+Interest!AG449+'O&amp;M'!AI449+'Capex &amp; Depr'!AI449+Debt!AJ449+Pat.!Z449+Rates!AG449</f>
        <v>-0.16152578419709135</v>
      </c>
      <c r="AN449" s="106">
        <f>+'Regulatory Charge'!AH449+Fuel!AH449+PCM!AI449+Interest!AH449+'O&amp;M'!AJ449+'Capex &amp; Depr'!AJ449+Debt!AK449+Pat.!AA449+Rates!AH449</f>
        <v>-0.1603252534848548</v>
      </c>
      <c r="AO449" s="106">
        <f>+'Regulatory Charge'!AI449+Fuel!AI449+PCM!AJ449+Interest!AI449+'O&amp;M'!AK449+'Capex &amp; Depr'!AK449+Debt!AL449+Pat.!AB449+Rates!AI449</f>
        <v>-0.16089467170513985</v>
      </c>
      <c r="AP449" s="106">
        <f>+'Regulatory Charge'!AJ449+Fuel!AJ449+PCM!AK449+Interest!AJ449+'O&amp;M'!AL449+'Capex &amp; Depr'!AL449+Debt!AM449+Pat.!AC449+Rates!AJ449</f>
        <v>-0.1606482265119179</v>
      </c>
      <c r="AQ449" s="106">
        <f>+'Regulatory Charge'!AK449+Fuel!AK449+PCM!AL449+Interest!AK449+'O&amp;M'!AM449+'Capex &amp; Depr'!AM449+Debt!AN449+Pat.!AD449+Rates!AK449</f>
        <v>-0.15938429104598745</v>
      </c>
      <c r="AR449" s="224">
        <f t="shared" si="1"/>
        <v>-1.9497689126027669</v>
      </c>
      <c r="AS449" s="106">
        <f>+'Regulatory Charge'!AM449+Fuel!AM449+PCM!AN449+Interest!AM449+'O&amp;M'!AO449+'Capex &amp; Depr'!AO449+Debt!AP449+Pat.!AF449+Rates!AM449</f>
        <v>-1.8777426026243624</v>
      </c>
      <c r="AT449" s="106">
        <f>+'Regulatory Charge'!AN449+Fuel!AN449+PCM!AO449+Interest!AN449+'O&amp;M'!AP449+'Capex &amp; Depr'!AP449+Debt!AQ449+Pat.!AG449+Rates!AN449</f>
        <v>-1.8170941780643934</v>
      </c>
      <c r="AU449" s="106">
        <f>+'Regulatory Charge'!AO449+Fuel!AO449+PCM!AP449+Interest!AO449+'O&amp;M'!AQ449+'Capex &amp; Depr'!AQ449+Debt!AR449+Pat.!AH449+Rates!AO449</f>
        <v>-1.7597520542275795</v>
      </c>
      <c r="AV449" s="106">
        <f>+'Regulatory Charge'!AP449+Fuel!AP449+PCM!AQ449+Interest!AP449+'O&amp;M'!AR449+'Capex &amp; Depr'!AR449+Debt!AS449+Pat.!AI449+Rates!AP449</f>
        <v>-1.6931378141532183</v>
      </c>
      <c r="AW449" s="106">
        <f>+'Regulatory Charge'!AQ449+Fuel!AQ449+PCM!AR449+Interest!AQ449+'O&amp;M'!AS449+'Capex &amp; Depr'!AS449+Debt!AT449+Pat.!AJ449+Rates!AQ449</f>
        <v>-1.6224381246517554</v>
      </c>
      <c r="AX449" s="106">
        <f>+'Regulatory Charge'!AR449+Fuel!AR449+PCM!AS449+Interest!AR449+'O&amp;M'!AT449+'Capex &amp; Depr'!AT449+Debt!AU449+Pat.!AK449+Rates!AR449</f>
        <v>-1.5332517745948551</v>
      </c>
      <c r="AY449" s="106">
        <f>+'Regulatory Charge'!AS449+Fuel!AS449+PCM!AT449+Interest!AS449+'O&amp;M'!AU449+'Capex &amp; Depr'!AU449+Debt!AV449+Pat.!AL449+Rates!AS449</f>
        <v>-1.4275314885653088</v>
      </c>
      <c r="AZ449" s="106">
        <f>+'Regulatory Charge'!AT449+Fuel!AT449+PCM!AU449+Interest!AT449+'O&amp;M'!AV449+'Capex &amp; Depr'!AV449+Debt!AW449+Pat.!AM449+Rates!AT449</f>
        <v>-1.3116743086316032</v>
      </c>
      <c r="BA449" s="106">
        <f>+'Regulatory Charge'!AU449+Fuel!AU449+PCM!AV449+Interest!AU449+'O&amp;M'!AW449+'Capex &amp; Depr'!AW449+Debt!AX449+Pat.!AN449+Rates!AU449</f>
        <v>-1.2108962867926953</v>
      </c>
      <c r="BB449" s="106">
        <f>+'Regulatory Charge'!AV449+Fuel!AV449+PCM!AW449+Interest!AV449+'O&amp;M'!AX449+'Capex &amp; Depr'!AX449+Debt!AY449+Pat.!AO449+Rates!AV449</f>
        <v>-1.2855074427264881</v>
      </c>
      <c r="BC449" s="106">
        <f>+'Regulatory Charge'!AW449+Fuel!AW449+PCM!AX449+Interest!AW449+'O&amp;M'!AY449+'Capex &amp; Depr'!AY449+Debt!AZ449+Pat.!AP449+Rates!AW449</f>
        <v>-1.1480391437867417</v>
      </c>
      <c r="BD449" s="106"/>
      <c r="BE449" s="106"/>
    </row>
    <row r="450" spans="1:57">
      <c r="A450" s="849" t="s">
        <v>859</v>
      </c>
      <c r="B450" s="846" t="s">
        <v>860</v>
      </c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224"/>
      <c r="S450" s="106">
        <f>+'Regulatory Charge'!M450+Fuel!M450+PCM!N450+Interest!M450+'O&amp;M'!O450+'Capex &amp; Depr'!O450+Debt!P450+Pat.!F450+Rates!M450</f>
        <v>0</v>
      </c>
      <c r="T450" s="106">
        <f>+'Regulatory Charge'!N450+Fuel!N450+PCM!O450+Interest!N450+'O&amp;M'!P450+'Capex &amp; Depr'!P450+Debt!Q450+Pat.!G450+Rates!N450</f>
        <v>0</v>
      </c>
      <c r="U450" s="106">
        <f>+'Regulatory Charge'!O450+Fuel!O450+PCM!P450+Interest!O450+'O&amp;M'!Q450+'Capex &amp; Depr'!Q450+Debt!R450+Pat.!H450+Rates!O450</f>
        <v>0</v>
      </c>
      <c r="V450" s="106">
        <f>+'Regulatory Charge'!P450+Fuel!P450+PCM!Q450+Interest!P450+'O&amp;M'!R450+'Capex &amp; Depr'!R450+Debt!S450+Pat.!I450+Rates!P450</f>
        <v>0</v>
      </c>
      <c r="W450" s="106">
        <f>+'Regulatory Charge'!Q450+Fuel!Q450+PCM!R450+Interest!Q450+'O&amp;M'!S450+'Capex &amp; Depr'!S450+Debt!T450+Pat.!J450+Rates!Q450</f>
        <v>0</v>
      </c>
      <c r="X450" s="106">
        <f>+'Regulatory Charge'!R450+Fuel!R450+PCM!S450+Interest!R450+'O&amp;M'!T450+'Capex &amp; Depr'!T450+Debt!U450+Pat.!K450+Rates!R450</f>
        <v>0</v>
      </c>
      <c r="Y450" s="106">
        <f>+'Regulatory Charge'!S450+Fuel!S450+PCM!T450+Interest!S450+'O&amp;M'!U450+'Capex &amp; Depr'!U450+Debt!V450+Pat.!L450+Rates!S450</f>
        <v>0</v>
      </c>
      <c r="Z450" s="106">
        <f>+'Regulatory Charge'!T450+Fuel!T450+PCM!U450+Interest!T450+'O&amp;M'!V450+'Capex &amp; Depr'!V450+Debt!W450+Pat.!M450+Rates!T450</f>
        <v>0</v>
      </c>
      <c r="AA450" s="106">
        <f>+'Regulatory Charge'!U450+Fuel!U450+PCM!V450+Interest!U450+'O&amp;M'!W450+'Capex &amp; Depr'!W450+Debt!X450+Pat.!N450+Rates!U450</f>
        <v>0</v>
      </c>
      <c r="AB450" s="106">
        <f>+'Regulatory Charge'!V450+Fuel!V450+PCM!W450+Interest!V450+'O&amp;M'!X450+'Capex &amp; Depr'!X450+Debt!Y450+Pat.!O450+Rates!V450</f>
        <v>0</v>
      </c>
      <c r="AC450" s="106">
        <f>+'Regulatory Charge'!W450+Fuel!W450+PCM!X450+Interest!W450+'O&amp;M'!Y450+'Capex &amp; Depr'!Y450+Debt!Z450+Pat.!P450+Rates!W450</f>
        <v>0</v>
      </c>
      <c r="AD450" s="106">
        <f>+'Regulatory Charge'!X450+Fuel!X450+PCM!Y450+Interest!X450+'O&amp;M'!Z450+'Capex &amp; Depr'!Z450+Debt!AA450+Pat.!Q450+Rates!X450</f>
        <v>0</v>
      </c>
      <c r="AE450" s="224">
        <f t="shared" si="0"/>
        <v>0</v>
      </c>
      <c r="AF450" s="106">
        <f>+'Regulatory Charge'!Z450+Fuel!Z450+PCM!AA450+Interest!Z450+'O&amp;M'!AB450+'Capex &amp; Depr'!AB450+Debt!AC450+Pat.!S450+Rates!Z450</f>
        <v>0</v>
      </c>
      <c r="AG450" s="106">
        <f>+'Regulatory Charge'!AA450+Fuel!AA450+PCM!AB450+Interest!AA450+'O&amp;M'!AC450+'Capex &amp; Depr'!AC450+Debt!AD450+Pat.!T450+Rates!AA450</f>
        <v>0</v>
      </c>
      <c r="AH450" s="106">
        <f>+'Regulatory Charge'!AB450+Fuel!AB450+PCM!AC450+Interest!AB450+'O&amp;M'!AD450+'Capex &amp; Depr'!AD450+Debt!AE450+Pat.!U450+Rates!AB450</f>
        <v>0</v>
      </c>
      <c r="AI450" s="106">
        <f>+'Regulatory Charge'!AC450+Fuel!AC450+PCM!AD450+Interest!AC450+'O&amp;M'!AE450+'Capex &amp; Depr'!AE450+Debt!AF450+Pat.!V450+Rates!AC450</f>
        <v>0</v>
      </c>
      <c r="AJ450" s="106">
        <f>+'Regulatory Charge'!AD450+Fuel!AD450+PCM!AE450+Interest!AD450+'O&amp;M'!AF450+'Capex &amp; Depr'!AF450+Debt!AG450+Pat.!W450+Rates!AD450</f>
        <v>0</v>
      </c>
      <c r="AK450" s="106">
        <f>+'Regulatory Charge'!AE450+Fuel!AE450+PCM!AF450+Interest!AE450+'O&amp;M'!AG450+'Capex &amp; Depr'!AG450+Debt!AH450+Pat.!X450+Rates!AE450</f>
        <v>0</v>
      </c>
      <c r="AL450" s="106">
        <f>+'Regulatory Charge'!AF450+Fuel!AF450+PCM!AG450+Interest!AF450+'O&amp;M'!AH450+'Capex &amp; Depr'!AH450+Debt!AI450+Pat.!Y450+Rates!AF450</f>
        <v>0</v>
      </c>
      <c r="AM450" s="106">
        <f>+'Regulatory Charge'!AG450+Fuel!AG450+PCM!AH450+Interest!AG450+'O&amp;M'!AI450+'Capex &amp; Depr'!AI450+Debt!AJ450+Pat.!Z450+Rates!AG450</f>
        <v>0</v>
      </c>
      <c r="AN450" s="106">
        <f>+'Regulatory Charge'!AH450+Fuel!AH450+PCM!AI450+Interest!AH450+'O&amp;M'!AJ450+'Capex &amp; Depr'!AJ450+Debt!AK450+Pat.!AA450+Rates!AH450</f>
        <v>0</v>
      </c>
      <c r="AO450" s="106">
        <f>+'Regulatory Charge'!AI450+Fuel!AI450+PCM!AJ450+Interest!AI450+'O&amp;M'!AK450+'Capex &amp; Depr'!AK450+Debt!AL450+Pat.!AB450+Rates!AI450</f>
        <v>0</v>
      </c>
      <c r="AP450" s="106">
        <f>+'Regulatory Charge'!AJ450+Fuel!AJ450+PCM!AK450+Interest!AJ450+'O&amp;M'!AL450+'Capex &amp; Depr'!AL450+Debt!AM450+Pat.!AC450+Rates!AJ450</f>
        <v>0</v>
      </c>
      <c r="AQ450" s="106">
        <f>+'Regulatory Charge'!AK450+Fuel!AK450+PCM!AL450+Interest!AK450+'O&amp;M'!AM450+'Capex &amp; Depr'!AM450+Debt!AN450+Pat.!AD450+Rates!AK450</f>
        <v>0</v>
      </c>
      <c r="AR450" s="224">
        <f t="shared" si="1"/>
        <v>0</v>
      </c>
      <c r="AS450" s="106">
        <f>+'Regulatory Charge'!AM450+Fuel!AM450+PCM!AN450+Interest!AM450+'O&amp;M'!AO450+'Capex &amp; Depr'!AO450+Debt!AP450+Pat.!AF450+Rates!AM450</f>
        <v>0</v>
      </c>
      <c r="AT450" s="106">
        <f>+'Regulatory Charge'!AN450+Fuel!AN450+PCM!AO450+Interest!AN450+'O&amp;M'!AP450+'Capex &amp; Depr'!AP450+Debt!AQ450+Pat.!AG450+Rates!AN450</f>
        <v>0</v>
      </c>
      <c r="AU450" s="106">
        <f>+'Regulatory Charge'!AO450+Fuel!AO450+PCM!AP450+Interest!AO450+'O&amp;M'!AQ450+'Capex &amp; Depr'!AQ450+Debt!AR450+Pat.!AH450+Rates!AO450</f>
        <v>0</v>
      </c>
      <c r="AV450" s="106">
        <f>+'Regulatory Charge'!AP450+Fuel!AP450+PCM!AQ450+Interest!AP450+'O&amp;M'!AR450+'Capex &amp; Depr'!AR450+Debt!AS450+Pat.!AI450+Rates!AP450</f>
        <v>0</v>
      </c>
      <c r="AW450" s="106">
        <f>+'Regulatory Charge'!AQ450+Fuel!AQ450+PCM!AR450+Interest!AQ450+'O&amp;M'!AS450+'Capex &amp; Depr'!AS450+Debt!AT450+Pat.!AJ450+Rates!AQ450</f>
        <v>0</v>
      </c>
      <c r="AX450" s="106">
        <f>+'Regulatory Charge'!AR450+Fuel!AR450+PCM!AS450+Interest!AR450+'O&amp;M'!AT450+'Capex &amp; Depr'!AT450+Debt!AU450+Pat.!AK450+Rates!AR450</f>
        <v>0</v>
      </c>
      <c r="AY450" s="106">
        <f>+'Regulatory Charge'!AS450+Fuel!AS450+PCM!AT450+Interest!AS450+'O&amp;M'!AU450+'Capex &amp; Depr'!AU450+Debt!AV450+Pat.!AL450+Rates!AS450</f>
        <v>0</v>
      </c>
      <c r="AZ450" s="106">
        <f>+'Regulatory Charge'!AT450+Fuel!AT450+PCM!AU450+Interest!AT450+'O&amp;M'!AV450+'Capex &amp; Depr'!AV450+Debt!AW450+Pat.!AM450+Rates!AT450</f>
        <v>0</v>
      </c>
      <c r="BA450" s="106">
        <f>+'Regulatory Charge'!AU450+Fuel!AU450+PCM!AV450+Interest!AU450+'O&amp;M'!AW450+'Capex &amp; Depr'!AW450+Debt!AX450+Pat.!AN450+Rates!AU450</f>
        <v>0</v>
      </c>
      <c r="BB450" s="106">
        <f>+'Regulatory Charge'!AV450+Fuel!AV450+PCM!AW450+Interest!AV450+'O&amp;M'!AX450+'Capex &amp; Depr'!AX450+Debt!AY450+Pat.!AO450+Rates!AV450</f>
        <v>0</v>
      </c>
      <c r="BC450" s="106">
        <f>+'Regulatory Charge'!AW450+Fuel!AW450+PCM!AX450+Interest!AW450+'O&amp;M'!AY450+'Capex &amp; Depr'!AY450+Debt!AZ450+Pat.!AP450+Rates!AW450</f>
        <v>0</v>
      </c>
      <c r="BD450" s="106"/>
      <c r="BE450" s="106"/>
    </row>
    <row r="451" spans="1:57">
      <c r="A451" s="849" t="s">
        <v>861</v>
      </c>
      <c r="B451" s="846" t="s">
        <v>862</v>
      </c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224"/>
      <c r="S451" s="106">
        <f>+'Regulatory Charge'!M451+Fuel!M451+PCM!N451+Interest!M451+'O&amp;M'!O451+'Capex &amp; Depr'!O451+Debt!P451+Pat.!F451+Rates!M451</f>
        <v>0</v>
      </c>
      <c r="T451" s="106">
        <f>+'Regulatory Charge'!N451+Fuel!N451+PCM!O451+Interest!N451+'O&amp;M'!P451+'Capex &amp; Depr'!P451+Debt!Q451+Pat.!G451+Rates!N451</f>
        <v>0</v>
      </c>
      <c r="U451" s="106">
        <f>+'Regulatory Charge'!O451+Fuel!O451+PCM!P451+Interest!O451+'O&amp;M'!Q451+'Capex &amp; Depr'!Q451+Debt!R451+Pat.!H451+Rates!O451</f>
        <v>-1.23832464783125</v>
      </c>
      <c r="V451" s="106">
        <f>+'Regulatory Charge'!P451+Fuel!P451+PCM!Q451+Interest!P451+'O&amp;M'!R451+'Capex &amp; Depr'!R451+Debt!S451+Pat.!I451+Rates!P451</f>
        <v>-2.5000000000000001E-2</v>
      </c>
      <c r="W451" s="106">
        <f>+'Regulatory Charge'!Q451+Fuel!Q451+PCM!R451+Interest!Q451+'O&amp;M'!S451+'Capex &amp; Depr'!S451+Debt!T451+Pat.!J451+Rates!Q451</f>
        <v>0</v>
      </c>
      <c r="X451" s="106">
        <f>+'Regulatory Charge'!R451+Fuel!R451+PCM!S451+Interest!R451+'O&amp;M'!T451+'Capex &amp; Depr'!T451+Debt!U451+Pat.!K451+Rates!R451</f>
        <v>0</v>
      </c>
      <c r="Y451" s="106">
        <f>+'Regulatory Charge'!S451+Fuel!S451+PCM!T451+Interest!S451+'O&amp;M'!U451+'Capex &amp; Depr'!U451+Debt!V451+Pat.!L451+Rates!S451</f>
        <v>0</v>
      </c>
      <c r="Z451" s="106">
        <f>+'Regulatory Charge'!T451+Fuel!T451+PCM!U451+Interest!T451+'O&amp;M'!V451+'Capex &amp; Depr'!V451+Debt!W451+Pat.!M451+Rates!T451</f>
        <v>-8.0000000000000002E-3</v>
      </c>
      <c r="AA451" s="106">
        <f>+'Regulatory Charge'!U451+Fuel!U451+PCM!V451+Interest!U451+'O&amp;M'!W451+'Capex &amp; Depr'!W451+Debt!X451+Pat.!N451+Rates!U451</f>
        <v>0</v>
      </c>
      <c r="AB451" s="106">
        <f>+'Regulatory Charge'!V451+Fuel!V451+PCM!W451+Interest!V451+'O&amp;M'!X451+'Capex &amp; Depr'!X451+Debt!Y451+Pat.!O451+Rates!V451</f>
        <v>0</v>
      </c>
      <c r="AC451" s="106">
        <f>+'Regulatory Charge'!W451+Fuel!W451+PCM!X451+Interest!W451+'O&amp;M'!Y451+'Capex &amp; Depr'!Y451+Debt!Z451+Pat.!P451+Rates!W451</f>
        <v>0</v>
      </c>
      <c r="AD451" s="106">
        <f>+'Regulatory Charge'!X451+Fuel!X451+PCM!Y451+Interest!X451+'O&amp;M'!Z451+'Capex &amp; Depr'!Z451+Debt!AA451+Pat.!Q451+Rates!X451</f>
        <v>0</v>
      </c>
      <c r="AE451" s="224">
        <f t="shared" si="0"/>
        <v>-1.2713246478312499</v>
      </c>
      <c r="AF451" s="106">
        <f>+'Regulatory Charge'!Z451+Fuel!Z451+PCM!AA451+Interest!Z451+'O&amp;M'!AB451+'Capex &amp; Depr'!AB451+Debt!AC451+Pat.!S451+Rates!Z451</f>
        <v>0</v>
      </c>
      <c r="AG451" s="106">
        <f>+'Regulatory Charge'!AA451+Fuel!AA451+PCM!AB451+Interest!AA451+'O&amp;M'!AC451+'Capex &amp; Depr'!AC451+Debt!AD451+Pat.!T451+Rates!AA451</f>
        <v>0</v>
      </c>
      <c r="AH451" s="106">
        <f>+'Regulatory Charge'!AB451+Fuel!AB451+PCM!AC451+Interest!AB451+'O&amp;M'!AD451+'Capex &amp; Depr'!AD451+Debt!AE451+Pat.!U451+Rates!AB451</f>
        <v>-2.7064475505600001</v>
      </c>
      <c r="AI451" s="106">
        <f>+'Regulatory Charge'!AC451+Fuel!AC451+PCM!AD451+Interest!AC451+'O&amp;M'!AE451+'Capex &amp; Depr'!AE451+Debt!AF451+Pat.!V451+Rates!AC451</f>
        <v>0</v>
      </c>
      <c r="AJ451" s="106">
        <f>+'Regulatory Charge'!AD451+Fuel!AD451+PCM!AE451+Interest!AD451+'O&amp;M'!AF451+'Capex &amp; Depr'!AF451+Debt!AG451+Pat.!W451+Rates!AD451</f>
        <v>0</v>
      </c>
      <c r="AK451" s="106">
        <f>+'Regulatory Charge'!AE451+Fuel!AE451+PCM!AF451+Interest!AE451+'O&amp;M'!AG451+'Capex &amp; Depr'!AG451+Debt!AH451+Pat.!X451+Rates!AE451</f>
        <v>0</v>
      </c>
      <c r="AL451" s="106">
        <f>+'Regulatory Charge'!AF451+Fuel!AF451+PCM!AG451+Interest!AF451+'O&amp;M'!AH451+'Capex &amp; Depr'!AH451+Debt!AI451+Pat.!Y451+Rates!AF451</f>
        <v>0</v>
      </c>
      <c r="AM451" s="106">
        <f>+'Regulatory Charge'!AG451+Fuel!AG451+PCM!AH451+Interest!AG451+'O&amp;M'!AI451+'Capex &amp; Depr'!AI451+Debt!AJ451+Pat.!Z451+Rates!AG451</f>
        <v>0</v>
      </c>
      <c r="AN451" s="106">
        <f>+'Regulatory Charge'!AH451+Fuel!AH451+PCM!AI451+Interest!AH451+'O&amp;M'!AJ451+'Capex &amp; Depr'!AJ451+Debt!AK451+Pat.!AA451+Rates!AH451</f>
        <v>0</v>
      </c>
      <c r="AO451" s="106">
        <f>+'Regulatory Charge'!AI451+Fuel!AI451+PCM!AJ451+Interest!AI451+'O&amp;M'!AK451+'Capex &amp; Depr'!AK451+Debt!AL451+Pat.!AB451+Rates!AI451</f>
        <v>0</v>
      </c>
      <c r="AP451" s="106">
        <f>+'Regulatory Charge'!AJ451+Fuel!AJ451+PCM!AK451+Interest!AJ451+'O&amp;M'!AL451+'Capex &amp; Depr'!AL451+Debt!AM451+Pat.!AC451+Rates!AJ451</f>
        <v>0</v>
      </c>
      <c r="AQ451" s="106">
        <f>+'Regulatory Charge'!AK451+Fuel!AK451+PCM!AL451+Interest!AK451+'O&amp;M'!AM451+'Capex &amp; Depr'!AM451+Debt!AN451+Pat.!AD451+Rates!AK451</f>
        <v>0</v>
      </c>
      <c r="AR451" s="224">
        <f t="shared" si="1"/>
        <v>-2.7064475505600001</v>
      </c>
      <c r="AS451" s="106">
        <f>+'Regulatory Charge'!AM451+Fuel!AM451+PCM!AN451+Interest!AM451+'O&amp;M'!AO451+'Capex &amp; Depr'!AO451+Debt!AP451+Pat.!AF451+Rates!AM451</f>
        <v>-2.6243469322674997</v>
      </c>
      <c r="AT451" s="106">
        <f>+'Regulatory Charge'!AN451+Fuel!AN451+PCM!AO451+Interest!AN451+'O&amp;M'!AP451+'Capex &amp; Depr'!AP451+Debt!AQ451+Pat.!AG451+Rates!AN451</f>
        <v>-2.538535059075</v>
      </c>
      <c r="AU451" s="106">
        <f>+'Regulatory Charge'!AO451+Fuel!AO451+PCM!AP451+Interest!AO451+'O&amp;M'!AQ451+'Capex &amp; Depr'!AQ451+Debt!AR451+Pat.!AH451+Rates!AO451</f>
        <v>-2.4486009990137503</v>
      </c>
      <c r="AV451" s="106">
        <f>+'Regulatory Charge'!AP451+Fuel!AP451+PCM!AQ451+Interest!AP451+'O&amp;M'!AR451+'Capex &amp; Depr'!AR451+Debt!AS451+Pat.!AI451+Rates!AP451</f>
        <v>-2.3536433920412501</v>
      </c>
      <c r="AW451" s="106">
        <f>+'Regulatory Charge'!AQ451+Fuel!AQ451+PCM!AR451+Interest!AQ451+'O&amp;M'!AS451+'Capex &amp; Depr'!AS451+Debt!AT451+Pat.!AJ451+Rates!AQ451</f>
        <v>-2.2531521443862501</v>
      </c>
      <c r="AX451" s="106">
        <f>+'Regulatory Charge'!AR451+Fuel!AR451+PCM!AS451+Interest!AR451+'O&amp;M'!AT451+'Capex &amp; Depr'!AT451+Debt!AU451+Pat.!AK451+Rates!AR451</f>
        <v>-2.1462980837550001</v>
      </c>
      <c r="AY451" s="106">
        <f>+'Regulatory Charge'!AS451+Fuel!AS451+PCM!AT451+Interest!AS451+'O&amp;M'!AU451+'Capex &amp; Depr'!AU451+Debt!AV451+Pat.!AL451+Rates!AS451</f>
        <v>-2.0327081350387504</v>
      </c>
      <c r="AZ451" s="106">
        <f>+'Regulatory Charge'!AT451+Fuel!AT451+PCM!AU451+Interest!AT451+'O&amp;M'!AV451+'Capex &amp; Depr'!AV451+Debt!AW451+Pat.!AM451+Rates!AT451</f>
        <v>-1.9124854773837496</v>
      </c>
      <c r="BA451" s="106">
        <f>+'Regulatory Charge'!AU451+Fuel!AU451+PCM!AV451+Interest!AU451+'O&amp;M'!AW451+'Capex &amp; Depr'!AW451+Debt!AX451+Pat.!AN451+Rates!AU451</f>
        <v>-1.7849191323025004</v>
      </c>
      <c r="BB451" s="106">
        <f>+'Regulatory Charge'!AV451+Fuel!AV451+PCM!AW451+Interest!AV451+'O&amp;M'!AX451+'Capex &amp; Depr'!AX451+Debt!AY451+Pat.!AO451+Rates!AV451</f>
        <v>-1.6498390890600008</v>
      </c>
      <c r="BC451" s="106">
        <f>+'Regulatory Charge'!AW451+Fuel!AW451+PCM!AX451+Interest!AW451+'O&amp;M'!AY451+'Capex &amp; Depr'!AY451+Debt!AZ451+Pat.!AP451+Rates!AW451</f>
        <v>-1.5076748853300002</v>
      </c>
      <c r="BD451" s="106"/>
      <c r="BE451" s="106"/>
    </row>
    <row r="452" spans="1:57">
      <c r="A452" s="849" t="s">
        <v>863</v>
      </c>
      <c r="B452" s="846" t="s">
        <v>864</v>
      </c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224"/>
      <c r="S452" s="106">
        <f>+'Regulatory Charge'!M452+Fuel!M452+PCM!N452+Interest!M452+'O&amp;M'!O452+'Capex &amp; Depr'!O452+Debt!P452+Pat.!F452+Rates!M452</f>
        <v>0</v>
      </c>
      <c r="T452" s="106">
        <f>+'Regulatory Charge'!N452+Fuel!N452+PCM!O452+Interest!N452+'O&amp;M'!P452+'Capex &amp; Depr'!P452+Debt!Q452+Pat.!G452+Rates!N452</f>
        <v>0</v>
      </c>
      <c r="U452" s="106">
        <f>+'Regulatory Charge'!O452+Fuel!O452+PCM!P452+Interest!O452+'O&amp;M'!Q452+'Capex &amp; Depr'!Q452+Debt!R452+Pat.!H452+Rates!O452</f>
        <v>0</v>
      </c>
      <c r="V452" s="106">
        <f>+'Regulatory Charge'!P452+Fuel!P452+PCM!Q452+Interest!P452+'O&amp;M'!R452+'Capex &amp; Depr'!R452+Debt!S452+Pat.!I452+Rates!P452</f>
        <v>0</v>
      </c>
      <c r="W452" s="106">
        <f>+'Regulatory Charge'!Q452+Fuel!Q452+PCM!R452+Interest!Q452+'O&amp;M'!S452+'Capex &amp; Depr'!S452+Debt!T452+Pat.!J452+Rates!Q452</f>
        <v>0</v>
      </c>
      <c r="X452" s="106">
        <f>+'Regulatory Charge'!R452+Fuel!R452+PCM!S452+Interest!R452+'O&amp;M'!T452+'Capex &amp; Depr'!T452+Debt!U452+Pat.!K452+Rates!R452</f>
        <v>0</v>
      </c>
      <c r="Y452" s="106">
        <f>+'Regulatory Charge'!S452+Fuel!S452+PCM!T452+Interest!S452+'O&amp;M'!U452+'Capex &amp; Depr'!U452+Debt!V452+Pat.!L452+Rates!S452</f>
        <v>0</v>
      </c>
      <c r="Z452" s="106">
        <f>+'Regulatory Charge'!T452+Fuel!T452+PCM!U452+Interest!T452+'O&amp;M'!V452+'Capex &amp; Depr'!V452+Debt!W452+Pat.!M452+Rates!T452</f>
        <v>0</v>
      </c>
      <c r="AA452" s="106">
        <f>+'Regulatory Charge'!U452+Fuel!U452+PCM!V452+Interest!U452+'O&amp;M'!W452+'Capex &amp; Depr'!W452+Debt!X452+Pat.!N452+Rates!U452</f>
        <v>0</v>
      </c>
      <c r="AB452" s="106">
        <f>+'Regulatory Charge'!V452+Fuel!V452+PCM!W452+Interest!V452+'O&amp;M'!X452+'Capex &amp; Depr'!X452+Debt!Y452+Pat.!O452+Rates!V452</f>
        <v>0</v>
      </c>
      <c r="AC452" s="106">
        <f>+'Regulatory Charge'!W452+Fuel!W452+PCM!X452+Interest!W452+'O&amp;M'!Y452+'Capex &amp; Depr'!Y452+Debt!Z452+Pat.!P452+Rates!W452</f>
        <v>0</v>
      </c>
      <c r="AD452" s="106">
        <f>+'Regulatory Charge'!X452+Fuel!X452+PCM!Y452+Interest!X452+'O&amp;M'!Z452+'Capex &amp; Depr'!Z452+Debt!AA452+Pat.!Q452+Rates!X452</f>
        <v>0</v>
      </c>
      <c r="AE452" s="224">
        <f t="shared" si="0"/>
        <v>0</v>
      </c>
      <c r="AF452" s="106">
        <f>+'Regulatory Charge'!Z452+Fuel!Z452+PCM!AA452+Interest!Z452+'O&amp;M'!AB452+'Capex &amp; Depr'!AB452+Debt!AC452+Pat.!S452+Rates!Z452</f>
        <v>0</v>
      </c>
      <c r="AG452" s="106">
        <f>+'Regulatory Charge'!AA452+Fuel!AA452+PCM!AB452+Interest!AA452+'O&amp;M'!AC452+'Capex &amp; Depr'!AC452+Debt!AD452+Pat.!T452+Rates!AA452</f>
        <v>0</v>
      </c>
      <c r="AH452" s="106">
        <f>+'Regulatory Charge'!AB452+Fuel!AB452+PCM!AC452+Interest!AB452+'O&amp;M'!AD452+'Capex &amp; Depr'!AD452+Debt!AE452+Pat.!U452+Rates!AB452</f>
        <v>0</v>
      </c>
      <c r="AI452" s="106">
        <f>+'Regulatory Charge'!AC452+Fuel!AC452+PCM!AD452+Interest!AC452+'O&amp;M'!AE452+'Capex &amp; Depr'!AE452+Debt!AF452+Pat.!V452+Rates!AC452</f>
        <v>0</v>
      </c>
      <c r="AJ452" s="106">
        <f>+'Regulatory Charge'!AD452+Fuel!AD452+PCM!AE452+Interest!AD452+'O&amp;M'!AF452+'Capex &amp; Depr'!AF452+Debt!AG452+Pat.!W452+Rates!AD452</f>
        <v>0</v>
      </c>
      <c r="AK452" s="106">
        <f>+'Regulatory Charge'!AE452+Fuel!AE452+PCM!AF452+Interest!AE452+'O&amp;M'!AG452+'Capex &amp; Depr'!AG452+Debt!AH452+Pat.!X452+Rates!AE452</f>
        <v>0</v>
      </c>
      <c r="AL452" s="106">
        <f>+'Regulatory Charge'!AF452+Fuel!AF452+PCM!AG452+Interest!AF452+'O&amp;M'!AH452+'Capex &amp; Depr'!AH452+Debt!AI452+Pat.!Y452+Rates!AF452</f>
        <v>0</v>
      </c>
      <c r="AM452" s="106">
        <f>+'Regulatory Charge'!AG452+Fuel!AG452+PCM!AH452+Interest!AG452+'O&amp;M'!AI452+'Capex &amp; Depr'!AI452+Debt!AJ452+Pat.!Z452+Rates!AG452</f>
        <v>0</v>
      </c>
      <c r="AN452" s="106">
        <f>+'Regulatory Charge'!AH452+Fuel!AH452+PCM!AI452+Interest!AH452+'O&amp;M'!AJ452+'Capex &amp; Depr'!AJ452+Debt!AK452+Pat.!AA452+Rates!AH452</f>
        <v>0</v>
      </c>
      <c r="AO452" s="106">
        <f>+'Regulatory Charge'!AI452+Fuel!AI452+PCM!AJ452+Interest!AI452+'O&amp;M'!AK452+'Capex &amp; Depr'!AK452+Debt!AL452+Pat.!AB452+Rates!AI452</f>
        <v>0</v>
      </c>
      <c r="AP452" s="106">
        <f>+'Regulatory Charge'!AJ452+Fuel!AJ452+PCM!AK452+Interest!AJ452+'O&amp;M'!AL452+'Capex &amp; Depr'!AL452+Debt!AM452+Pat.!AC452+Rates!AJ452</f>
        <v>0</v>
      </c>
      <c r="AQ452" s="106">
        <f>+'Regulatory Charge'!AK452+Fuel!AK452+PCM!AL452+Interest!AK452+'O&amp;M'!AM452+'Capex &amp; Depr'!AM452+Debt!AN452+Pat.!AD452+Rates!AK452</f>
        <v>0</v>
      </c>
      <c r="AR452" s="224">
        <f t="shared" si="1"/>
        <v>0</v>
      </c>
      <c r="AS452" s="106">
        <f>+'Regulatory Charge'!AM452+Fuel!AM452+PCM!AN452+Interest!AM452+'O&amp;M'!AO452+'Capex &amp; Depr'!AO452+Debt!AP452+Pat.!AF452+Rates!AM452</f>
        <v>0</v>
      </c>
      <c r="AT452" s="106">
        <f>+'Regulatory Charge'!AN452+Fuel!AN452+PCM!AO452+Interest!AN452+'O&amp;M'!AP452+'Capex &amp; Depr'!AP452+Debt!AQ452+Pat.!AG452+Rates!AN452</f>
        <v>0</v>
      </c>
      <c r="AU452" s="106">
        <f>+'Regulatory Charge'!AO452+Fuel!AO452+PCM!AP452+Interest!AO452+'O&amp;M'!AQ452+'Capex &amp; Depr'!AQ452+Debt!AR452+Pat.!AH452+Rates!AO452</f>
        <v>0</v>
      </c>
      <c r="AV452" s="106">
        <f>+'Regulatory Charge'!AP452+Fuel!AP452+PCM!AQ452+Interest!AP452+'O&amp;M'!AR452+'Capex &amp; Depr'!AR452+Debt!AS452+Pat.!AI452+Rates!AP452</f>
        <v>0</v>
      </c>
      <c r="AW452" s="106">
        <f>+'Regulatory Charge'!AQ452+Fuel!AQ452+PCM!AR452+Interest!AQ452+'O&amp;M'!AS452+'Capex &amp; Depr'!AS452+Debt!AT452+Pat.!AJ452+Rates!AQ452</f>
        <v>0</v>
      </c>
      <c r="AX452" s="106">
        <f>+'Regulatory Charge'!AR452+Fuel!AR452+PCM!AS452+Interest!AR452+'O&amp;M'!AT452+'Capex &amp; Depr'!AT452+Debt!AU452+Pat.!AK452+Rates!AR452</f>
        <v>0</v>
      </c>
      <c r="AY452" s="106">
        <f>+'Regulatory Charge'!AS452+Fuel!AS452+PCM!AT452+Interest!AS452+'O&amp;M'!AU452+'Capex &amp; Depr'!AU452+Debt!AV452+Pat.!AL452+Rates!AS452</f>
        <v>0</v>
      </c>
      <c r="AZ452" s="106">
        <f>+'Regulatory Charge'!AT452+Fuel!AT452+PCM!AU452+Interest!AT452+'O&amp;M'!AV452+'Capex &amp; Depr'!AV452+Debt!AW452+Pat.!AM452+Rates!AT452</f>
        <v>0</v>
      </c>
      <c r="BA452" s="106">
        <f>+'Regulatory Charge'!AU452+Fuel!AU452+PCM!AV452+Interest!AU452+'O&amp;M'!AW452+'Capex &amp; Depr'!AW452+Debt!AX452+Pat.!AN452+Rates!AU452</f>
        <v>0</v>
      </c>
      <c r="BB452" s="106">
        <f>+'Regulatory Charge'!AV452+Fuel!AV452+PCM!AW452+Interest!AV452+'O&amp;M'!AX452+'Capex &amp; Depr'!AX452+Debt!AY452+Pat.!AO452+Rates!AV452</f>
        <v>0</v>
      </c>
      <c r="BC452" s="106">
        <f>+'Regulatory Charge'!AW452+Fuel!AW452+PCM!AX452+Interest!AW452+'O&amp;M'!AY452+'Capex &amp; Depr'!AY452+Debt!AZ452+Pat.!AP452+Rates!AW452</f>
        <v>0</v>
      </c>
      <c r="BD452" s="106"/>
      <c r="BE452" s="106"/>
    </row>
    <row r="453" spans="1:57">
      <c r="A453" s="849">
        <v>426.1</v>
      </c>
      <c r="B453" s="846" t="s">
        <v>880</v>
      </c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224"/>
      <c r="S453" s="106">
        <f>+'Regulatory Charge'!M453+Fuel!M453+PCM!N453+Interest!M453+'O&amp;M'!O453+'Capex &amp; Depr'!O453+Debt!P453+Pat.!F453+Rates!M453</f>
        <v>1.0759854000000001E-2</v>
      </c>
      <c r="T453" s="106">
        <f>+'Regulatory Charge'!N453+Fuel!N453+PCM!O453+Interest!N453+'O&amp;M'!P453+'Capex &amp; Depr'!P453+Debt!Q453+Pat.!G453+Rates!N453</f>
        <v>5.7126540000000002E-3</v>
      </c>
      <c r="U453" s="106">
        <f>+'Regulatory Charge'!O453+Fuel!O453+PCM!P453+Interest!O453+'O&amp;M'!Q453+'Capex &amp; Depr'!Q453+Debt!R453+Pat.!H453+Rates!O453</f>
        <v>6.1971540000000007E-3</v>
      </c>
      <c r="V453" s="106">
        <f>+'Regulatory Charge'!P453+Fuel!P453+PCM!Q453+Interest!P453+'O&amp;M'!R453+'Capex &amp; Depr'!R453+Debt!S453+Pat.!I453+Rates!P453</f>
        <v>4.4232539999999997E-3</v>
      </c>
      <c r="W453" s="106">
        <f>+'Regulatory Charge'!Q453+Fuel!Q453+PCM!R453+Interest!Q453+'O&amp;M'!S453+'Capex &amp; Depr'!S453+Debt!T453+Pat.!J453+Rates!Q453</f>
        <v>3.2904540000000004E-3</v>
      </c>
      <c r="X453" s="106">
        <f>+'Regulatory Charge'!R453+Fuel!R453+PCM!S453+Interest!R453+'O&amp;M'!T453+'Capex &amp; Depr'!T453+Debt!U453+Pat.!K453+Rates!R453</f>
        <v>2.8727040000000002E-3</v>
      </c>
      <c r="Y453" s="106">
        <f>+'Regulatory Charge'!S453+Fuel!S453+PCM!T453+Interest!S453+'O&amp;M'!U453+'Capex &amp; Depr'!U453+Debt!V453+Pat.!L453+Rates!S453</f>
        <v>2.3766540000000002E-3</v>
      </c>
      <c r="Z453" s="106">
        <f>+'Regulatory Charge'!T453+Fuel!T453+PCM!U453+Interest!T453+'O&amp;M'!V453+'Capex &amp; Depr'!V453+Debt!W453+Pat.!M453+Rates!T453</f>
        <v>2.7276539999999999E-3</v>
      </c>
      <c r="AA453" s="106">
        <f>+'Regulatory Charge'!U453+Fuel!U453+PCM!V453+Interest!U453+'O&amp;M'!W453+'Capex &amp; Depr'!W453+Debt!X453+Pat.!N453+Rates!U453</f>
        <v>2.5935540000000001E-3</v>
      </c>
      <c r="AB453" s="106">
        <f>+'Regulatory Charge'!V453+Fuel!V453+PCM!W453+Interest!V453+'O&amp;M'!X453+'Capex &amp; Depr'!X453+Debt!Y453+Pat.!O453+Rates!V453</f>
        <v>4.7094540000000009E-3</v>
      </c>
      <c r="AC453" s="106">
        <f>+'Regulatory Charge'!W453+Fuel!W453+PCM!X453+Interest!W453+'O&amp;M'!Y453+'Capex &amp; Depr'!Y453+Debt!Z453+Pat.!P453+Rates!W453</f>
        <v>4.9251540000000002E-3</v>
      </c>
      <c r="AD453" s="106">
        <f>+'Regulatory Charge'!X453+Fuel!X453+PCM!Y453+Interest!X453+'O&amp;M'!Z453+'Capex &amp; Depr'!Z453+Debt!AA453+Pat.!Q453+Rates!X453</f>
        <v>4.8822539999999999E-3</v>
      </c>
      <c r="AE453" s="224">
        <f t="shared" si="0"/>
        <v>5.5470798000000009E-2</v>
      </c>
      <c r="AF453" s="106">
        <f>+'Regulatory Charge'!Z453+Fuel!Z453+PCM!AA453+Interest!Z453+'O&amp;M'!AB453+'Capex &amp; Depr'!AB453+Debt!AC453+Pat.!S453+Rates!Z453</f>
        <v>1.0759854000000001E-2</v>
      </c>
      <c r="AG453" s="106">
        <f>+'Regulatory Charge'!AA453+Fuel!AA453+PCM!AB453+Interest!AA453+'O&amp;M'!AC453+'Capex &amp; Depr'!AC453+Debt!AD453+Pat.!T453+Rates!AA453</f>
        <v>5.7126540000000002E-3</v>
      </c>
      <c r="AH453" s="106">
        <f>+'Regulatory Charge'!AB453+Fuel!AB453+PCM!AC453+Interest!AB453+'O&amp;M'!AD453+'Capex &amp; Depr'!AD453+Debt!AE453+Pat.!U453+Rates!AB453</f>
        <v>6.1971540000000007E-3</v>
      </c>
      <c r="AI453" s="106">
        <f>+'Regulatory Charge'!AC453+Fuel!AC453+PCM!AD453+Interest!AC453+'O&amp;M'!AE453+'Capex &amp; Depr'!AE453+Debt!AF453+Pat.!V453+Rates!AC453</f>
        <v>4.4232539999999997E-3</v>
      </c>
      <c r="AJ453" s="106">
        <f>+'Regulatory Charge'!AD453+Fuel!AD453+PCM!AE453+Interest!AD453+'O&amp;M'!AF453+'Capex &amp; Depr'!AF453+Debt!AG453+Pat.!W453+Rates!AD453</f>
        <v>3.2904540000000004E-3</v>
      </c>
      <c r="AK453" s="106">
        <f>+'Regulatory Charge'!AE453+Fuel!AE453+PCM!AF453+Interest!AE453+'O&amp;M'!AG453+'Capex &amp; Depr'!AG453+Debt!AH453+Pat.!X453+Rates!AE453</f>
        <v>2.8727040000000002E-3</v>
      </c>
      <c r="AL453" s="106">
        <f>+'Regulatory Charge'!AF453+Fuel!AF453+PCM!AG453+Interest!AF453+'O&amp;M'!AH453+'Capex &amp; Depr'!AH453+Debt!AI453+Pat.!Y453+Rates!AF453</f>
        <v>2.3766540000000002E-3</v>
      </c>
      <c r="AM453" s="106">
        <f>+'Regulatory Charge'!AG453+Fuel!AG453+PCM!AH453+Interest!AG453+'O&amp;M'!AI453+'Capex &amp; Depr'!AI453+Debt!AJ453+Pat.!Z453+Rates!AG453</f>
        <v>2.7276539999999999E-3</v>
      </c>
      <c r="AN453" s="106">
        <f>+'Regulatory Charge'!AH453+Fuel!AH453+PCM!AI453+Interest!AH453+'O&amp;M'!AJ453+'Capex &amp; Depr'!AJ453+Debt!AK453+Pat.!AA453+Rates!AH453</f>
        <v>2.5935540000000001E-3</v>
      </c>
      <c r="AO453" s="106">
        <f>+'Regulatory Charge'!AI453+Fuel!AI453+PCM!AJ453+Interest!AI453+'O&amp;M'!AK453+'Capex &amp; Depr'!AK453+Debt!AL453+Pat.!AB453+Rates!AI453</f>
        <v>4.7094540000000009E-3</v>
      </c>
      <c r="AP453" s="106">
        <f>+'Regulatory Charge'!AJ453+Fuel!AJ453+PCM!AK453+Interest!AJ453+'O&amp;M'!AL453+'Capex &amp; Depr'!AL453+Debt!AM453+Pat.!AC453+Rates!AJ453</f>
        <v>4.9251540000000002E-3</v>
      </c>
      <c r="AQ453" s="106">
        <f>+'Regulatory Charge'!AK453+Fuel!AK453+PCM!AL453+Interest!AK453+'O&amp;M'!AM453+'Capex &amp; Depr'!AM453+Debt!AN453+Pat.!AD453+Rates!AK453</f>
        <v>4.8822539999999999E-3</v>
      </c>
      <c r="AR453" s="224">
        <f t="shared" si="1"/>
        <v>5.5470798000000009E-2</v>
      </c>
      <c r="AS453" s="106">
        <f>+'Regulatory Charge'!AM453+Fuel!AM453+PCM!AN453+Interest!AM453+'O&amp;M'!AO453+'Capex &amp; Depr'!AO453+Debt!AP453+Pat.!AF453+Rates!AM453</f>
        <v>5.999989800000001E-2</v>
      </c>
      <c r="AT453" s="106">
        <f>+'Regulatory Charge'!AN453+Fuel!AN453+PCM!AO453+Interest!AN453+'O&amp;M'!AP453+'Capex &amp; Depr'!AP453+Debt!AQ453+Pat.!AG453+Rates!AN453</f>
        <v>5.999989800000001E-2</v>
      </c>
      <c r="AU453" s="106">
        <f>+'Regulatory Charge'!AO453+Fuel!AO453+PCM!AP453+Interest!AO453+'O&amp;M'!AQ453+'Capex &amp; Depr'!AQ453+Debt!AR453+Pat.!AH453+Rates!AO453</f>
        <v>6.1799894940000009E-2</v>
      </c>
      <c r="AV453" s="106">
        <f>+'Regulatory Charge'!AP453+Fuel!AP453+PCM!AQ453+Interest!AP453+'O&amp;M'!AR453+'Capex &amp; Depr'!AR453+Debt!AS453+Pat.!AI453+Rates!AP453</f>
        <v>6.3653891788200009E-2</v>
      </c>
      <c r="AW453" s="106">
        <f>+'Regulatory Charge'!AQ453+Fuel!AQ453+PCM!AR453+Interest!AQ453+'O&amp;M'!AS453+'Capex &amp; Depr'!AS453+Debt!AT453+Pat.!AJ453+Rates!AQ453</f>
        <v>6.5563508541846005E-2</v>
      </c>
      <c r="AX453" s="106">
        <f>+'Regulatory Charge'!AR453+Fuel!AR453+PCM!AS453+Interest!AR453+'O&amp;M'!AT453+'Capex &amp; Depr'!AT453+Debt!AU453+Pat.!AK453+Rates!AR453</f>
        <v>6.7530413798101388E-2</v>
      </c>
      <c r="AY453" s="106">
        <f>+'Regulatory Charge'!AS453+Fuel!AS453+PCM!AT453+Interest!AS453+'O&amp;M'!AU453+'Capex &amp; Depr'!AU453+Debt!AV453+Pat.!AL453+Rates!AS453</f>
        <v>6.9556326212044425E-2</v>
      </c>
      <c r="AZ453" s="106">
        <f>+'Regulatory Charge'!AT453+Fuel!AT453+PCM!AU453+Interest!AT453+'O&amp;M'!AV453+'Capex &amp; Depr'!AV453+Debt!AW453+Pat.!AM453+Rates!AT453</f>
        <v>7.1643015998405765E-2</v>
      </c>
      <c r="BA453" s="106">
        <f>+'Regulatory Charge'!AU453+Fuel!AU453+PCM!AV453+Interest!AU453+'O&amp;M'!AW453+'Capex &amp; Depr'!AW453+Debt!AX453+Pat.!AN453+Rates!AU453</f>
        <v>7.3792306478357939E-2</v>
      </c>
      <c r="BB453" s="106">
        <f>+'Regulatory Charge'!AV453+Fuel!AV453+PCM!AW453+Interest!AV453+'O&amp;M'!AX453+'Capex &amp; Depr'!AX453+Debt!AY453+Pat.!AO453+Rates!AV453</f>
        <v>7.6006075672708673E-2</v>
      </c>
      <c r="BC453" s="106">
        <f>+'Regulatory Charge'!AW453+Fuel!AW453+PCM!AX453+Interest!AW453+'O&amp;M'!AY453+'Capex &amp; Depr'!AY453+Debt!AZ453+Pat.!AP453+Rates!AW453</f>
        <v>7.8286257942889931E-2</v>
      </c>
      <c r="BD453" s="106"/>
      <c r="BE453" s="106"/>
    </row>
    <row r="454" spans="1:57">
      <c r="A454" s="849" t="s">
        <v>881</v>
      </c>
      <c r="B454" s="846" t="s">
        <v>882</v>
      </c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224"/>
      <c r="S454" s="106">
        <f>+'Regulatory Charge'!M454+Fuel!M454+PCM!N454+Interest!M454+'O&amp;M'!O454+'Capex &amp; Depr'!O454+Debt!P454+Pat.!F454+Rates!M454</f>
        <v>0</v>
      </c>
      <c r="T454" s="106">
        <f>+'Regulatory Charge'!N454+Fuel!N454+PCM!O454+Interest!N454+'O&amp;M'!P454+'Capex &amp; Depr'!P454+Debt!Q454+Pat.!G454+Rates!N454</f>
        <v>0</v>
      </c>
      <c r="U454" s="106">
        <f>+'Regulatory Charge'!O454+Fuel!O454+PCM!P454+Interest!O454+'O&amp;M'!Q454+'Capex &amp; Depr'!Q454+Debt!R454+Pat.!H454+Rates!O454</f>
        <v>0</v>
      </c>
      <c r="V454" s="106">
        <f>+'Regulatory Charge'!P454+Fuel!P454+PCM!Q454+Interest!P454+'O&amp;M'!R454+'Capex &amp; Depr'!R454+Debt!S454+Pat.!I454+Rates!P454</f>
        <v>0</v>
      </c>
      <c r="W454" s="106">
        <f>+'Regulatory Charge'!Q454+Fuel!Q454+PCM!R454+Interest!Q454+'O&amp;M'!S454+'Capex &amp; Depr'!S454+Debt!T454+Pat.!J454+Rates!Q454</f>
        <v>0</v>
      </c>
      <c r="X454" s="106">
        <f>+'Regulatory Charge'!R454+Fuel!R454+PCM!S454+Interest!R454+'O&amp;M'!T454+'Capex &amp; Depr'!T454+Debt!U454+Pat.!K454+Rates!R454</f>
        <v>0</v>
      </c>
      <c r="Y454" s="106">
        <f>+'Regulatory Charge'!S454+Fuel!S454+PCM!T454+Interest!S454+'O&amp;M'!U454+'Capex &amp; Depr'!U454+Debt!V454+Pat.!L454+Rates!S454</f>
        <v>0</v>
      </c>
      <c r="Z454" s="106">
        <f>+'Regulatory Charge'!T454+Fuel!T454+PCM!U454+Interest!T454+'O&amp;M'!V454+'Capex &amp; Depr'!V454+Debt!W454+Pat.!M454+Rates!T454</f>
        <v>0</v>
      </c>
      <c r="AA454" s="106">
        <f>+'Regulatory Charge'!U454+Fuel!U454+PCM!V454+Interest!U454+'O&amp;M'!W454+'Capex &amp; Depr'!W454+Debt!X454+Pat.!N454+Rates!U454</f>
        <v>0</v>
      </c>
      <c r="AB454" s="106">
        <f>+'Regulatory Charge'!V454+Fuel!V454+PCM!W454+Interest!V454+'O&amp;M'!X454+'Capex &amp; Depr'!X454+Debt!Y454+Pat.!O454+Rates!V454</f>
        <v>0</v>
      </c>
      <c r="AC454" s="106">
        <f>+'Regulatory Charge'!W454+Fuel!W454+PCM!X454+Interest!W454+'O&amp;M'!Y454+'Capex &amp; Depr'!Y454+Debt!Z454+Pat.!P454+Rates!W454</f>
        <v>0</v>
      </c>
      <c r="AD454" s="106">
        <f>+'Regulatory Charge'!X454+Fuel!X454+PCM!Y454+Interest!X454+'O&amp;M'!Z454+'Capex &amp; Depr'!Z454+Debt!AA454+Pat.!Q454+Rates!X454</f>
        <v>0</v>
      </c>
      <c r="AE454" s="224">
        <f t="shared" si="0"/>
        <v>0</v>
      </c>
      <c r="AF454" s="106">
        <f>+'Regulatory Charge'!Z454+Fuel!Z454+PCM!AA454+Interest!Z454+'O&amp;M'!AB454+'Capex &amp; Depr'!AB454+Debt!AC454+Pat.!S454+Rates!Z454</f>
        <v>0</v>
      </c>
      <c r="AG454" s="106">
        <f>+'Regulatory Charge'!AA454+Fuel!AA454+PCM!AB454+Interest!AA454+'O&amp;M'!AC454+'Capex &amp; Depr'!AC454+Debt!AD454+Pat.!T454+Rates!AA454</f>
        <v>0</v>
      </c>
      <c r="AH454" s="106">
        <f>+'Regulatory Charge'!AB454+Fuel!AB454+PCM!AC454+Interest!AB454+'O&amp;M'!AD454+'Capex &amp; Depr'!AD454+Debt!AE454+Pat.!U454+Rates!AB454</f>
        <v>0</v>
      </c>
      <c r="AI454" s="106">
        <f>+'Regulatory Charge'!AC454+Fuel!AC454+PCM!AD454+Interest!AC454+'O&amp;M'!AE454+'Capex &amp; Depr'!AE454+Debt!AF454+Pat.!V454+Rates!AC454</f>
        <v>0</v>
      </c>
      <c r="AJ454" s="106">
        <f>+'Regulatory Charge'!AD454+Fuel!AD454+PCM!AE454+Interest!AD454+'O&amp;M'!AF454+'Capex &amp; Depr'!AF454+Debt!AG454+Pat.!W454+Rates!AD454</f>
        <v>0</v>
      </c>
      <c r="AK454" s="106">
        <f>+'Regulatory Charge'!AE454+Fuel!AE454+PCM!AF454+Interest!AE454+'O&amp;M'!AG454+'Capex &amp; Depr'!AG454+Debt!AH454+Pat.!X454+Rates!AE454</f>
        <v>0</v>
      </c>
      <c r="AL454" s="106">
        <f>+'Regulatory Charge'!AF454+Fuel!AF454+PCM!AG454+Interest!AF454+'O&amp;M'!AH454+'Capex &amp; Depr'!AH454+Debt!AI454+Pat.!Y454+Rates!AF454</f>
        <v>0</v>
      </c>
      <c r="AM454" s="106">
        <f>+'Regulatory Charge'!AG454+Fuel!AG454+PCM!AH454+Interest!AG454+'O&amp;M'!AI454+'Capex &amp; Depr'!AI454+Debt!AJ454+Pat.!Z454+Rates!AG454</f>
        <v>0</v>
      </c>
      <c r="AN454" s="106">
        <f>+'Regulatory Charge'!AH454+Fuel!AH454+PCM!AI454+Interest!AH454+'O&amp;M'!AJ454+'Capex &amp; Depr'!AJ454+Debt!AK454+Pat.!AA454+Rates!AH454</f>
        <v>0</v>
      </c>
      <c r="AO454" s="106">
        <f>+'Regulatory Charge'!AI454+Fuel!AI454+PCM!AJ454+Interest!AI454+'O&amp;M'!AK454+'Capex &amp; Depr'!AK454+Debt!AL454+Pat.!AB454+Rates!AI454</f>
        <v>0</v>
      </c>
      <c r="AP454" s="106">
        <f>+'Regulatory Charge'!AJ454+Fuel!AJ454+PCM!AK454+Interest!AJ454+'O&amp;M'!AL454+'Capex &amp; Depr'!AL454+Debt!AM454+Pat.!AC454+Rates!AJ454</f>
        <v>0</v>
      </c>
      <c r="AQ454" s="106">
        <f>+'Regulatory Charge'!AK454+Fuel!AK454+PCM!AL454+Interest!AK454+'O&amp;M'!AM454+'Capex &amp; Depr'!AM454+Debt!AN454+Pat.!AD454+Rates!AK454</f>
        <v>0</v>
      </c>
      <c r="AR454" s="224">
        <f t="shared" si="1"/>
        <v>0</v>
      </c>
      <c r="AS454" s="106">
        <f>+'Regulatory Charge'!AM454+Fuel!AM454+PCM!AN454+Interest!AM454+'O&amp;M'!AO454+'Capex &amp; Depr'!AO454+Debt!AP454+Pat.!AF454+Rates!AM454</f>
        <v>0</v>
      </c>
      <c r="AT454" s="106">
        <f>+'Regulatory Charge'!AN454+Fuel!AN454+PCM!AO454+Interest!AN454+'O&amp;M'!AP454+'Capex &amp; Depr'!AP454+Debt!AQ454+Pat.!AG454+Rates!AN454</f>
        <v>0</v>
      </c>
      <c r="AU454" s="106">
        <f>+'Regulatory Charge'!AO454+Fuel!AO454+PCM!AP454+Interest!AO454+'O&amp;M'!AQ454+'Capex &amp; Depr'!AQ454+Debt!AR454+Pat.!AH454+Rates!AO454</f>
        <v>0</v>
      </c>
      <c r="AV454" s="106">
        <f>+'Regulatory Charge'!AP454+Fuel!AP454+PCM!AQ454+Interest!AP454+'O&amp;M'!AR454+'Capex &amp; Depr'!AR454+Debt!AS454+Pat.!AI454+Rates!AP454</f>
        <v>0</v>
      </c>
      <c r="AW454" s="106">
        <f>+'Regulatory Charge'!AQ454+Fuel!AQ454+PCM!AR454+Interest!AQ454+'O&amp;M'!AS454+'Capex &amp; Depr'!AS454+Debt!AT454+Pat.!AJ454+Rates!AQ454</f>
        <v>0</v>
      </c>
      <c r="AX454" s="106">
        <f>+'Regulatory Charge'!AR454+Fuel!AR454+PCM!AS454+Interest!AR454+'O&amp;M'!AT454+'Capex &amp; Depr'!AT454+Debt!AU454+Pat.!AK454+Rates!AR454</f>
        <v>0</v>
      </c>
      <c r="AY454" s="106">
        <f>+'Regulatory Charge'!AS454+Fuel!AS454+PCM!AT454+Interest!AS454+'O&amp;M'!AU454+'Capex &amp; Depr'!AU454+Debt!AV454+Pat.!AL454+Rates!AS454</f>
        <v>0</v>
      </c>
      <c r="AZ454" s="106">
        <f>+'Regulatory Charge'!AT454+Fuel!AT454+PCM!AU454+Interest!AT454+'O&amp;M'!AV454+'Capex &amp; Depr'!AV454+Debt!AW454+Pat.!AM454+Rates!AT454</f>
        <v>0</v>
      </c>
      <c r="BA454" s="106">
        <f>+'Regulatory Charge'!AU454+Fuel!AU454+PCM!AV454+Interest!AU454+'O&amp;M'!AW454+'Capex &amp; Depr'!AW454+Debt!AX454+Pat.!AN454+Rates!AU454</f>
        <v>0</v>
      </c>
      <c r="BB454" s="106">
        <f>+'Regulatory Charge'!AV454+Fuel!AV454+PCM!AW454+Interest!AV454+'O&amp;M'!AX454+'Capex &amp; Depr'!AX454+Debt!AY454+Pat.!AO454+Rates!AV454</f>
        <v>0</v>
      </c>
      <c r="BC454" s="106">
        <f>+'Regulatory Charge'!AW454+Fuel!AW454+PCM!AX454+Interest!AW454+'O&amp;M'!AY454+'Capex &amp; Depr'!AY454+Debt!AZ454+Pat.!AP454+Rates!AW454</f>
        <v>0</v>
      </c>
      <c r="BD454" s="106"/>
      <c r="BE454" s="106"/>
    </row>
    <row r="455" spans="1:57">
      <c r="A455" s="849">
        <v>426.4</v>
      </c>
      <c r="B455" s="846" t="s">
        <v>883</v>
      </c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224"/>
      <c r="S455" s="106">
        <f>+'Regulatory Charge'!M455+Fuel!M455+PCM!N455+Interest!M455+'O&amp;M'!O455+'Capex &amp; Depr'!O455+Debt!P455+Pat.!F455+Rates!M455</f>
        <v>1.0299491999999997E-3</v>
      </c>
      <c r="T455" s="106">
        <f>+'Regulatory Charge'!N455+Fuel!N455+PCM!O455+Interest!N455+'O&amp;M'!P455+'Capex &amp; Depr'!P455+Debt!Q455+Pat.!G455+Rates!N455</f>
        <v>6.4111319999999997E-4</v>
      </c>
      <c r="U455" s="106">
        <f>+'Regulatory Charge'!O455+Fuel!O455+PCM!P455+Interest!O455+'O&amp;M'!Q455+'Capex &amp; Depr'!Q455+Debt!R455+Pat.!H455+Rates!O455</f>
        <v>7.0411319999999999E-4</v>
      </c>
      <c r="V455" s="106">
        <f>+'Regulatory Charge'!P455+Fuel!P455+PCM!Q455+Interest!P455+'O&amp;M'!R455+'Capex &amp; Depr'!R455+Debt!S455+Pat.!I455+Rates!P455</f>
        <v>9.8257320000000011E-4</v>
      </c>
      <c r="W455" s="106">
        <f>+'Regulatory Charge'!Q455+Fuel!Q455+PCM!R455+Interest!Q455+'O&amp;M'!S455+'Capex &amp; Depr'!S455+Debt!T455+Pat.!J455+Rates!Q455</f>
        <v>6.3783719999999989E-4</v>
      </c>
      <c r="X455" s="106">
        <f>+'Regulatory Charge'!R455+Fuel!R455+PCM!S455+Interest!R455+'O&amp;M'!T455+'Capex &amp; Depr'!T455+Debt!U455+Pat.!K455+Rates!R455</f>
        <v>2.0869909200000002E-2</v>
      </c>
      <c r="Y455" s="106">
        <f>+'Regulatory Charge'!S455+Fuel!S455+PCM!T455+Interest!S455+'O&amp;M'!U455+'Capex &amp; Depr'!U455+Debt!V455+Pat.!L455+Rates!S455</f>
        <v>9.6795719999999994E-4</v>
      </c>
      <c r="Z455" s="106">
        <f>+'Regulatory Charge'!T455+Fuel!T455+PCM!U455+Interest!T455+'O&amp;M'!V455+'Capex &amp; Depr'!V455+Debt!W455+Pat.!M455+Rates!T455</f>
        <v>6.2145719999999992E-4</v>
      </c>
      <c r="AA455" s="106">
        <f>+'Regulatory Charge'!U455+Fuel!U455+PCM!V455+Interest!U455+'O&amp;M'!W455+'Capex &amp; Depr'!W455+Debt!X455+Pat.!N455+Rates!U455</f>
        <v>7.2754920000000004E-4</v>
      </c>
      <c r="AB455" s="106">
        <f>+'Regulatory Charge'!V455+Fuel!V455+PCM!W455+Interest!V455+'O&amp;M'!X455+'Capex &amp; Depr'!X455+Debt!Y455+Pat.!O455+Rates!V455</f>
        <v>9.7501320000000001E-4</v>
      </c>
      <c r="AC455" s="106">
        <f>+'Regulatory Charge'!W455+Fuel!W455+PCM!X455+Interest!W455+'O&amp;M'!Y455+'Capex &amp; Depr'!Y455+Debt!Z455+Pat.!P455+Rates!W455</f>
        <v>6.2120519999999985E-4</v>
      </c>
      <c r="AD455" s="106">
        <f>+'Regulatory Charge'!X455+Fuel!X455+PCM!Y455+Interest!X455+'O&amp;M'!Z455+'Capex &amp; Depr'!Z455+Debt!AA455+Pat.!Q455+Rates!X455</f>
        <v>6.2120519999999985E-4</v>
      </c>
      <c r="AE455" s="224">
        <f t="shared" si="0"/>
        <v>2.9399882400000001E-2</v>
      </c>
      <c r="AF455" s="106">
        <f>+'Regulatory Charge'!Z455+Fuel!Z455+PCM!AA455+Interest!Z455+'O&amp;M'!AB455+'Capex &amp; Depr'!AB455+Debt!AC455+Pat.!S455+Rates!Z455</f>
        <v>1.1316060000000001E-3</v>
      </c>
      <c r="AG455" s="106">
        <f>+'Regulatory Charge'!AA455+Fuel!AA455+PCM!AB455+Interest!AA455+'O&amp;M'!AC455+'Capex &amp; Depr'!AC455+Debt!AD455+Pat.!T455+Rates!AA455</f>
        <v>7.4176199999999998E-4</v>
      </c>
      <c r="AH455" s="106">
        <f>+'Regulatory Charge'!AB455+Fuel!AB455+PCM!AC455+Interest!AB455+'O&amp;M'!AD455+'Capex &amp; Depr'!AD455+Debt!AE455+Pat.!U455+Rates!AB455</f>
        <v>8.0476199999999999E-4</v>
      </c>
      <c r="AI455" s="106">
        <f>+'Regulatory Charge'!AC455+Fuel!AC455+PCM!AD455+Interest!AC455+'O&amp;M'!AE455+'Capex &amp; Depr'!AE455+Debt!AF455+Pat.!V455+Rates!AC455</f>
        <v>1.0842299999999998E-3</v>
      </c>
      <c r="AJ455" s="106">
        <f>+'Regulatory Charge'!AD455+Fuel!AD455+PCM!AE455+Interest!AD455+'O&amp;M'!AF455+'Capex &amp; Depr'!AF455+Debt!AG455+Pat.!W455+Rates!AD455</f>
        <v>7.3873799999999985E-4</v>
      </c>
      <c r="AK455" s="106">
        <f>+'Regulatory Charge'!AE455+Fuel!AE455+PCM!AF455+Interest!AE455+'O&amp;M'!AG455+'Capex &amp; Depr'!AG455+Debt!AH455+Pat.!X455+Rates!AE455</f>
        <v>2.1474558000000001E-2</v>
      </c>
      <c r="AL455" s="106">
        <f>+'Regulatory Charge'!AF455+Fuel!AF455+PCM!AG455+Interest!AF455+'O&amp;M'!AH455+'Capex &amp; Depr'!AH455+Debt!AI455+Pat.!Y455+Rates!AF455</f>
        <v>1.0192139999999998E-3</v>
      </c>
      <c r="AM455" s="106">
        <f>+'Regulatory Charge'!AG455+Fuel!AG455+PCM!AH455+Interest!AG455+'O&amp;M'!AI455+'Capex &amp; Depr'!AI455+Debt!AJ455+Pat.!Z455+Rates!AG455</f>
        <v>6.7170599999999978E-4</v>
      </c>
      <c r="AN455" s="106">
        <f>+'Regulatory Charge'!AH455+Fuel!AH455+PCM!AI455+Interest!AH455+'O&amp;M'!AJ455+'Capex &amp; Depr'!AJ455+Debt!AK455+Pat.!AA455+Rates!AH455</f>
        <v>7.777979999999999E-4</v>
      </c>
      <c r="AO455" s="106">
        <f>+'Regulatory Charge'!AI455+Fuel!AI455+PCM!AJ455+Interest!AI455+'O&amp;M'!AK455+'Capex &amp; Depr'!AK455+Debt!AL455+Pat.!AB455+Rates!AI455</f>
        <v>1.0262699999999997E-3</v>
      </c>
      <c r="AP455" s="106">
        <f>+'Regulatory Charge'!AJ455+Fuel!AJ455+PCM!AK455+Interest!AJ455+'O&amp;M'!AL455+'Capex &amp; Depr'!AL455+Debt!AM455+Pat.!AC455+Rates!AJ455</f>
        <v>6.7145399999999971E-4</v>
      </c>
      <c r="AQ455" s="106">
        <f>+'Regulatory Charge'!AK455+Fuel!AK455+PCM!AL455+Interest!AK455+'O&amp;M'!AM455+'Capex &amp; Depr'!AM455+Debt!AN455+Pat.!AD455+Rates!AK455</f>
        <v>6.7145399999999971E-4</v>
      </c>
      <c r="AR455" s="224">
        <f t="shared" si="1"/>
        <v>3.0813551999999998E-2</v>
      </c>
      <c r="AS455" s="106">
        <f>+'Regulatory Charge'!AM455+Fuel!AM455+PCM!AN455+Interest!AM455+'O&amp;M'!AO455+'Capex &amp; Depr'!AO455+Debt!AP455+Pat.!AF455+Rates!AM455</f>
        <v>2.9327255999999993E-2</v>
      </c>
      <c r="AT455" s="106">
        <f>+'Regulatory Charge'!AN455+Fuel!AN455+PCM!AO455+Interest!AN455+'O&amp;M'!AP455+'Capex &amp; Depr'!AP455+Debt!AQ455+Pat.!AG455+Rates!AN455</f>
        <v>3.5565515999999998E-2</v>
      </c>
      <c r="AU455" s="106">
        <f>+'Regulatory Charge'!AO455+Fuel!AO455+PCM!AP455+Interest!AO455+'O&amp;M'!AQ455+'Capex &amp; Depr'!AQ455+Debt!AR455+Pat.!AH455+Rates!AO455</f>
        <v>3.663248148E-2</v>
      </c>
      <c r="AV455" s="106">
        <f>+'Regulatory Charge'!AP455+Fuel!AP455+PCM!AQ455+Interest!AP455+'O&amp;M'!AR455+'Capex &amp; Depr'!AR455+Debt!AS455+Pat.!AI455+Rates!AP455</f>
        <v>3.7731455924399998E-2</v>
      </c>
      <c r="AW455" s="106">
        <f>+'Regulatory Charge'!AQ455+Fuel!AQ455+PCM!AR455+Interest!AQ455+'O&amp;M'!AS455+'Capex &amp; Depr'!AS455+Debt!AT455+Pat.!AJ455+Rates!AQ455</f>
        <v>3.8863399602131997E-2</v>
      </c>
      <c r="AX455" s="106">
        <f>+'Regulatory Charge'!AR455+Fuel!AR455+PCM!AS455+Interest!AR455+'O&amp;M'!AT455+'Capex &amp; Depr'!AT455+Debt!AU455+Pat.!AK455+Rates!AR455</f>
        <v>4.0029301590195958E-2</v>
      </c>
      <c r="AY455" s="106">
        <f>+'Regulatory Charge'!AS455+Fuel!AS455+PCM!AT455+Interest!AS455+'O&amp;M'!AU455+'Capex &amp; Depr'!AU455+Debt!AV455+Pat.!AL455+Rates!AS455</f>
        <v>4.1230180637901841E-2</v>
      </c>
      <c r="AZ455" s="106">
        <f>+'Regulatory Charge'!AT455+Fuel!AT455+PCM!AU455+Interest!AT455+'O&amp;M'!AV455+'Capex &amp; Depr'!AV455+Debt!AW455+Pat.!AM455+Rates!AT455</f>
        <v>4.2467086057038896E-2</v>
      </c>
      <c r="BA455" s="106">
        <f>+'Regulatory Charge'!AU455+Fuel!AU455+PCM!AV455+Interest!AU455+'O&amp;M'!AW455+'Capex &amp; Depr'!AW455+Debt!AX455+Pat.!AN455+Rates!AU455</f>
        <v>4.3741098638750066E-2</v>
      </c>
      <c r="BB455" s="106">
        <f>+'Regulatory Charge'!AV455+Fuel!AV455+PCM!AW455+Interest!AV455+'O&amp;M'!AX455+'Capex &amp; Depr'!AX455+Debt!AY455+Pat.!AO455+Rates!AV455</f>
        <v>4.5053331597912569E-2</v>
      </c>
      <c r="BC455" s="106">
        <f>+'Regulatory Charge'!AW455+Fuel!AW455+PCM!AX455+Interest!AW455+'O&amp;M'!AY455+'Capex &amp; Depr'!AY455+Debt!AZ455+Pat.!AP455+Rates!AW455</f>
        <v>4.6404931545849945E-2</v>
      </c>
      <c r="BD455" s="106"/>
      <c r="BE455" s="106"/>
    </row>
    <row r="456" spans="1:57">
      <c r="A456" s="849" t="s">
        <v>884</v>
      </c>
      <c r="B456" s="846" t="s">
        <v>885</v>
      </c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224"/>
      <c r="S456" s="106">
        <f>+'Regulatory Charge'!M456+Fuel!M456+PCM!N456+Interest!M456+'O&amp;M'!O456+'Capex &amp; Depr'!O456+Debt!P456+Pat.!F456+Rates!M456</f>
        <v>0</v>
      </c>
      <c r="T456" s="106">
        <f>+'Regulatory Charge'!N456+Fuel!N456+PCM!O456+Interest!N456+'O&amp;M'!P456+'Capex &amp; Depr'!P456+Debt!Q456+Pat.!G456+Rates!N456</f>
        <v>0</v>
      </c>
      <c r="U456" s="106">
        <f>+'Regulatory Charge'!O456+Fuel!O456+PCM!P456+Interest!O456+'O&amp;M'!Q456+'Capex &amp; Depr'!Q456+Debt!R456+Pat.!H456+Rates!O456</f>
        <v>0</v>
      </c>
      <c r="V456" s="106">
        <f>+'Regulatory Charge'!P456+Fuel!P456+PCM!Q456+Interest!P456+'O&amp;M'!R456+'Capex &amp; Depr'!R456+Debt!S456+Pat.!I456+Rates!P456</f>
        <v>0</v>
      </c>
      <c r="W456" s="106">
        <f>+'Regulatory Charge'!Q456+Fuel!Q456+PCM!R456+Interest!Q456+'O&amp;M'!S456+'Capex &amp; Depr'!S456+Debt!T456+Pat.!J456+Rates!Q456</f>
        <v>0</v>
      </c>
      <c r="X456" s="106">
        <f>+'Regulatory Charge'!R456+Fuel!R456+PCM!S456+Interest!R456+'O&amp;M'!T456+'Capex &amp; Depr'!T456+Debt!U456+Pat.!K456+Rates!R456</f>
        <v>0</v>
      </c>
      <c r="Y456" s="106">
        <f>+'Regulatory Charge'!S456+Fuel!S456+PCM!T456+Interest!S456+'O&amp;M'!U456+'Capex &amp; Depr'!U456+Debt!V456+Pat.!L456+Rates!S456</f>
        <v>0</v>
      </c>
      <c r="Z456" s="106">
        <f>+'Regulatory Charge'!T456+Fuel!T456+PCM!U456+Interest!T456+'O&amp;M'!V456+'Capex &amp; Depr'!V456+Debt!W456+Pat.!M456+Rates!T456</f>
        <v>0</v>
      </c>
      <c r="AA456" s="106">
        <f>+'Regulatory Charge'!U456+Fuel!U456+PCM!V456+Interest!U456+'O&amp;M'!W456+'Capex &amp; Depr'!W456+Debt!X456+Pat.!N456+Rates!U456</f>
        <v>0</v>
      </c>
      <c r="AB456" s="106">
        <f>+'Regulatory Charge'!V456+Fuel!V456+PCM!W456+Interest!V456+'O&amp;M'!X456+'Capex &amp; Depr'!X456+Debt!Y456+Pat.!O456+Rates!V456</f>
        <v>0</v>
      </c>
      <c r="AC456" s="106">
        <f>+'Regulatory Charge'!W456+Fuel!W456+PCM!X456+Interest!W456+'O&amp;M'!Y456+'Capex &amp; Depr'!Y456+Debt!Z456+Pat.!P456+Rates!W456</f>
        <v>0</v>
      </c>
      <c r="AD456" s="106">
        <f>+'Regulatory Charge'!X456+Fuel!X456+PCM!Y456+Interest!X456+'O&amp;M'!Z456+'Capex &amp; Depr'!Z456+Debt!AA456+Pat.!Q456+Rates!X456</f>
        <v>0</v>
      </c>
      <c r="AE456" s="224">
        <f t="shared" si="0"/>
        <v>0</v>
      </c>
      <c r="AF456" s="106">
        <f>+'Regulatory Charge'!Z456+Fuel!Z456+PCM!AA456+Interest!Z456+'O&amp;M'!AB456+'Capex &amp; Depr'!AB456+Debt!AC456+Pat.!S456+Rates!Z456</f>
        <v>0</v>
      </c>
      <c r="AG456" s="106">
        <f>+'Regulatory Charge'!AA456+Fuel!AA456+PCM!AB456+Interest!AA456+'O&amp;M'!AC456+'Capex &amp; Depr'!AC456+Debt!AD456+Pat.!T456+Rates!AA456</f>
        <v>0</v>
      </c>
      <c r="AH456" s="106">
        <f>+'Regulatory Charge'!AB456+Fuel!AB456+PCM!AC456+Interest!AB456+'O&amp;M'!AD456+'Capex &amp; Depr'!AD456+Debt!AE456+Pat.!U456+Rates!AB456</f>
        <v>0</v>
      </c>
      <c r="AI456" s="106">
        <f>+'Regulatory Charge'!AC456+Fuel!AC456+PCM!AD456+Interest!AC456+'O&amp;M'!AE456+'Capex &amp; Depr'!AE456+Debt!AF456+Pat.!V456+Rates!AC456</f>
        <v>0</v>
      </c>
      <c r="AJ456" s="106">
        <f>+'Regulatory Charge'!AD456+Fuel!AD456+PCM!AE456+Interest!AD456+'O&amp;M'!AF456+'Capex &amp; Depr'!AF456+Debt!AG456+Pat.!W456+Rates!AD456</f>
        <v>0</v>
      </c>
      <c r="AK456" s="106">
        <f>+'Regulatory Charge'!AE456+Fuel!AE456+PCM!AF456+Interest!AE456+'O&amp;M'!AG456+'Capex &amp; Depr'!AG456+Debt!AH456+Pat.!X456+Rates!AE456</f>
        <v>0</v>
      </c>
      <c r="AL456" s="106">
        <f>+'Regulatory Charge'!AF456+Fuel!AF456+PCM!AG456+Interest!AF456+'O&amp;M'!AH456+'Capex &amp; Depr'!AH456+Debt!AI456+Pat.!Y456+Rates!AF456</f>
        <v>0</v>
      </c>
      <c r="AM456" s="106">
        <f>+'Regulatory Charge'!AG456+Fuel!AG456+PCM!AH456+Interest!AG456+'O&amp;M'!AI456+'Capex &amp; Depr'!AI456+Debt!AJ456+Pat.!Z456+Rates!AG456</f>
        <v>0</v>
      </c>
      <c r="AN456" s="106">
        <f>+'Regulatory Charge'!AH456+Fuel!AH456+PCM!AI456+Interest!AH456+'O&amp;M'!AJ456+'Capex &amp; Depr'!AJ456+Debt!AK456+Pat.!AA456+Rates!AH456</f>
        <v>0</v>
      </c>
      <c r="AO456" s="106">
        <f>+'Regulatory Charge'!AI456+Fuel!AI456+PCM!AJ456+Interest!AI456+'O&amp;M'!AK456+'Capex &amp; Depr'!AK456+Debt!AL456+Pat.!AB456+Rates!AI456</f>
        <v>0</v>
      </c>
      <c r="AP456" s="106">
        <f>+'Regulatory Charge'!AJ456+Fuel!AJ456+PCM!AK456+Interest!AJ456+'O&amp;M'!AL456+'Capex &amp; Depr'!AL456+Debt!AM456+Pat.!AC456+Rates!AJ456</f>
        <v>0</v>
      </c>
      <c r="AQ456" s="106">
        <f>+'Regulatory Charge'!AK456+Fuel!AK456+PCM!AL456+Interest!AK456+'O&amp;M'!AM456+'Capex &amp; Depr'!AM456+Debt!AN456+Pat.!AD456+Rates!AK456</f>
        <v>0</v>
      </c>
      <c r="AR456" s="224">
        <f t="shared" si="1"/>
        <v>0</v>
      </c>
      <c r="AS456" s="106">
        <f>+'Regulatory Charge'!AM456+Fuel!AM456+PCM!AN456+Interest!AM456+'O&amp;M'!AO456+'Capex &amp; Depr'!AO456+Debt!AP456+Pat.!AF456+Rates!AM456</f>
        <v>0</v>
      </c>
      <c r="AT456" s="106">
        <f>+'Regulatory Charge'!AN456+Fuel!AN456+PCM!AO456+Interest!AN456+'O&amp;M'!AP456+'Capex &amp; Depr'!AP456+Debt!AQ456+Pat.!AG456+Rates!AN456</f>
        <v>0</v>
      </c>
      <c r="AU456" s="106">
        <f>+'Regulatory Charge'!AO456+Fuel!AO456+PCM!AP456+Interest!AO456+'O&amp;M'!AQ456+'Capex &amp; Depr'!AQ456+Debt!AR456+Pat.!AH456+Rates!AO456</f>
        <v>0</v>
      </c>
      <c r="AV456" s="106">
        <f>+'Regulatory Charge'!AP456+Fuel!AP456+PCM!AQ456+Interest!AP456+'O&amp;M'!AR456+'Capex &amp; Depr'!AR456+Debt!AS456+Pat.!AI456+Rates!AP456</f>
        <v>0</v>
      </c>
      <c r="AW456" s="106">
        <f>+'Regulatory Charge'!AQ456+Fuel!AQ456+PCM!AR456+Interest!AQ456+'O&amp;M'!AS456+'Capex &amp; Depr'!AS456+Debt!AT456+Pat.!AJ456+Rates!AQ456</f>
        <v>0</v>
      </c>
      <c r="AX456" s="106">
        <f>+'Regulatory Charge'!AR456+Fuel!AR456+PCM!AS456+Interest!AR456+'O&amp;M'!AT456+'Capex &amp; Depr'!AT456+Debt!AU456+Pat.!AK456+Rates!AR456</f>
        <v>0</v>
      </c>
      <c r="AY456" s="106">
        <f>+'Regulatory Charge'!AS456+Fuel!AS456+PCM!AT456+Interest!AS456+'O&amp;M'!AU456+'Capex &amp; Depr'!AU456+Debt!AV456+Pat.!AL456+Rates!AS456</f>
        <v>0</v>
      </c>
      <c r="AZ456" s="106">
        <f>+'Regulatory Charge'!AT456+Fuel!AT456+PCM!AU456+Interest!AT456+'O&amp;M'!AV456+'Capex &amp; Depr'!AV456+Debt!AW456+Pat.!AM456+Rates!AT456</f>
        <v>0</v>
      </c>
      <c r="BA456" s="106">
        <f>+'Regulatory Charge'!AU456+Fuel!AU456+PCM!AV456+Interest!AU456+'O&amp;M'!AW456+'Capex &amp; Depr'!AW456+Debt!AX456+Pat.!AN456+Rates!AU456</f>
        <v>0</v>
      </c>
      <c r="BB456" s="106">
        <f>+'Regulatory Charge'!AV456+Fuel!AV456+PCM!AW456+Interest!AV456+'O&amp;M'!AX456+'Capex &amp; Depr'!AX456+Debt!AY456+Pat.!AO456+Rates!AV456</f>
        <v>0</v>
      </c>
      <c r="BC456" s="106">
        <f>+'Regulatory Charge'!AW456+Fuel!AW456+PCM!AX456+Interest!AW456+'O&amp;M'!AY456+'Capex &amp; Depr'!AY456+Debt!AZ456+Pat.!AP456+Rates!AW456</f>
        <v>0</v>
      </c>
      <c r="BD456" s="106"/>
      <c r="BE456" s="106"/>
    </row>
    <row r="457" spans="1:57">
      <c r="A457" s="849">
        <v>427.1</v>
      </c>
      <c r="B457" s="846" t="s">
        <v>970</v>
      </c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224"/>
      <c r="S457" s="106">
        <f>+'Regulatory Charge'!M457+Fuel!M457+PCM!N457+Interest!M457+'O&amp;M'!O457+'Capex &amp; Depr'!O457+Debt!P457+Pat.!F457+Rates!M457</f>
        <v>3.801779070814082</v>
      </c>
      <c r="T457" s="106">
        <f>+'Regulatory Charge'!N457+Fuel!N457+PCM!O457+Interest!N457+'O&amp;M'!P457+'Capex &amp; Depr'!P457+Debt!Q457+Pat.!G457+Rates!N457</f>
        <v>3.4943951115753671</v>
      </c>
      <c r="U457" s="106">
        <f>+'Regulatory Charge'!O457+Fuel!O457+PCM!P457+Interest!O457+'O&amp;M'!Q457+'Capex &amp; Depr'!Q457+Debt!R457+Pat.!H457+Rates!O457</f>
        <v>3.9287821486613619</v>
      </c>
      <c r="V457" s="106">
        <f>+'Regulatory Charge'!P457+Fuel!P457+PCM!Q457+Interest!P457+'O&amp;M'!R457+'Capex &amp; Depr'!R457+Debt!S457+Pat.!I457+Rates!P457</f>
        <v>3.83665864991969</v>
      </c>
      <c r="W457" s="106">
        <f>+'Regulatory Charge'!Q457+Fuel!Q457+PCM!R457+Interest!Q457+'O&amp;M'!S457+'Capex &amp; Depr'!S457+Debt!T457+Pat.!J457+Rates!Q457</f>
        <v>3.9440452341408143</v>
      </c>
      <c r="X457" s="106">
        <f>+'Regulatory Charge'!R457+Fuel!R457+PCM!S457+Interest!R457+'O&amp;M'!T457+'Capex &amp; Depr'!T457+Debt!U457+Pat.!K457+Rates!R457</f>
        <v>3.8024176742278777</v>
      </c>
      <c r="Y457" s="106">
        <f>+'Regulatory Charge'!S457+Fuel!S457+PCM!T457+Interest!S457+'O&amp;M'!U457+'Capex &amp; Depr'!U457+Debt!V457+Pat.!L457+Rates!S457</f>
        <v>3.9362067521730828</v>
      </c>
      <c r="Z457" s="106">
        <f>+'Regulatory Charge'!T457+Fuel!T457+PCM!U457+Interest!T457+'O&amp;M'!V457+'Capex &amp; Depr'!V457+Debt!W457+Pat.!M457+Rates!T457</f>
        <v>3.9362085321730831</v>
      </c>
      <c r="AA457" s="106">
        <f>+'Regulatory Charge'!U457+Fuel!U457+PCM!V457+Interest!U457+'O&amp;M'!W457+'Capex &amp; Depr'!W457+Debt!X457+Pat.!N457+Rates!U457</f>
        <v>3.8212760943723696</v>
      </c>
      <c r="AB457" s="106">
        <f>+'Regulatory Charge'!V457+Fuel!V457+PCM!W457+Interest!V457+'O&amp;M'!X457+'Capex &amp; Depr'!X457+Debt!Y457+Pat.!O457+Rates!V457</f>
        <v>3.9734602275230535</v>
      </c>
      <c r="AC457" s="106">
        <f>+'Regulatory Charge'!W457+Fuel!W457+PCM!X457+Interest!W457+'O&amp;M'!Y457+'Capex &amp; Depr'!Y457+Debt!Z457+Pat.!P457+Rates!W457</f>
        <v>3.8654261019066158</v>
      </c>
      <c r="AD457" s="106">
        <f>+'Regulatory Charge'!X457+Fuel!X457+PCM!Y457+Interest!X457+'O&amp;M'!Z457+'Capex &amp; Depr'!Z457+Debt!AA457+Pat.!Q457+Rates!X457</f>
        <v>3.9650209604738875</v>
      </c>
      <c r="AE457" s="224">
        <f t="shared" si="0"/>
        <v>46.305676557961284</v>
      </c>
      <c r="AF457" s="106">
        <f>+'Regulatory Charge'!Z457+Fuel!Z457+PCM!AA457+Interest!Z457+'O&amp;M'!AB457+'Capex &amp; Depr'!AB457+Debt!AC457+Pat.!S457+Rates!Z457</f>
        <v>3.9097754603369017</v>
      </c>
      <c r="AG457" s="106">
        <f>+'Regulatory Charge'!AA457+Fuel!AA457+PCM!AB457+Interest!AA457+'O&amp;M'!AC457+'Capex &amp; Depr'!AC457+Debt!AD457+Pat.!T457+Rates!AA457</f>
        <v>3.6642238723916956</v>
      </c>
      <c r="AH457" s="106">
        <f>+'Regulatory Charge'!AB457+Fuel!AB457+PCM!AC457+Interest!AB457+'O&amp;M'!AD457+'Capex &amp; Depr'!AD457+Debt!AE457+Pat.!U457+Rates!AB457</f>
        <v>3.9823145892786194</v>
      </c>
      <c r="AI457" s="106">
        <f>+'Regulatory Charge'!AC457+Fuel!AC457+PCM!AD457+Interest!AC457+'O&amp;M'!AE457+'Capex &amp; Depr'!AE457+Debt!AF457+Pat.!V457+Rates!AC457</f>
        <v>3.8982678284567012</v>
      </c>
      <c r="AJ457" s="106">
        <f>+'Regulatory Charge'!AD457+Fuel!AD457+PCM!AE457+Interest!AD457+'O&amp;M'!AF457+'Capex &amp; Depr'!AF457+Debt!AG457+Pat.!W457+Rates!AD457</f>
        <v>4.0079655861279342</v>
      </c>
      <c r="AK457" s="106">
        <f>+'Regulatory Charge'!AE457+Fuel!AE457+PCM!AF457+Interest!AE457+'O&amp;M'!AG457+'Capex &amp; Depr'!AG457+Debt!AH457+Pat.!X457+Rates!AE457</f>
        <v>3.8807800374799095</v>
      </c>
      <c r="AL457" s="106">
        <f>+'Regulatory Charge'!AF457+Fuel!AF457+PCM!AG457+Interest!AF457+'O&amp;M'!AH457+'Capex &amp; Depr'!AH457+Debt!AI457+Pat.!Y457+Rates!AF457</f>
        <v>4.0073893833703202</v>
      </c>
      <c r="AM457" s="106">
        <f>+'Regulatory Charge'!AG457+Fuel!AG457+PCM!AH457+Interest!AG457+'O&amp;M'!AI457+'Capex &amp; Depr'!AI457+Debt!AJ457+Pat.!Z457+Rates!AG457</f>
        <v>4.0073912733703203</v>
      </c>
      <c r="AN457" s="106">
        <f>+'Regulatory Charge'!AH457+Fuel!AH457+PCM!AI457+Interest!AH457+'O&amp;M'!AJ457+'Capex &amp; Depr'!AJ457+Debt!AK457+Pat.!AA457+Rates!AH457</f>
        <v>3.8897148599820222</v>
      </c>
      <c r="AO457" s="106">
        <f>+'Regulatory Charge'!AI457+Fuel!AI457+PCM!AJ457+Interest!AI457+'O&amp;M'!AK457+'Capex &amp; Depr'!AK457+Debt!AL457+Pat.!AB457+Rates!AI457</f>
        <v>4.0110692558724326</v>
      </c>
      <c r="AP457" s="106">
        <f>+'Regulatory Charge'!AJ457+Fuel!AJ457+PCM!AK457+Interest!AJ457+'O&amp;M'!AL457+'Capex &amp; Depr'!AL457+Debt!AM457+Pat.!AC457+Rates!AJ457</f>
        <v>3.9016498424477755</v>
      </c>
      <c r="AQ457" s="106">
        <f>+'Regulatory Charge'!AK457+Fuel!AK457+PCM!AL457+Interest!AK457+'O&amp;M'!AM457+'Capex &amp; Depr'!AM457+Debt!AN457+Pat.!AD457+Rates!AK457</f>
        <v>4.0023426518211815</v>
      </c>
      <c r="AR457" s="224">
        <f t="shared" si="1"/>
        <v>47.162884640935815</v>
      </c>
      <c r="AS457" s="106">
        <f>+'Regulatory Charge'!AM457+Fuel!AM457+PCM!AN457+Interest!AM457+'O&amp;M'!AO457+'Capex &amp; Depr'!AO457+Debt!AP457+Pat.!AF457+Rates!AM457</f>
        <v>47.086316568922427</v>
      </c>
      <c r="AT457" s="106">
        <f>+'Regulatory Charge'!AN457+Fuel!AN457+PCM!AO457+Interest!AN457+'O&amp;M'!AP457+'Capex &amp; Depr'!AP457+Debt!AQ457+Pat.!AG457+Rates!AN457</f>
        <v>46.728476173825342</v>
      </c>
      <c r="AU457" s="106">
        <f>+'Regulatory Charge'!AO457+Fuel!AO457+PCM!AP457+Interest!AO457+'O&amp;M'!AQ457+'Capex &amp; Depr'!AQ457+Debt!AR457+Pat.!AH457+Rates!AO457</f>
        <v>46.187527526229218</v>
      </c>
      <c r="AV457" s="106">
        <f>+'Regulatory Charge'!AP457+Fuel!AP457+PCM!AQ457+Interest!AP457+'O&amp;M'!AR457+'Capex &amp; Depr'!AR457+Debt!AS457+Pat.!AI457+Rates!AP457</f>
        <v>45.672031402321018</v>
      </c>
      <c r="AW457" s="106">
        <f>+'Regulatory Charge'!AQ457+Fuel!AQ457+PCM!AR457+Interest!AQ457+'O&amp;M'!AS457+'Capex &amp; Depr'!AS457+Debt!AT457+Pat.!AJ457+Rates!AQ457</f>
        <v>45.079611382012061</v>
      </c>
      <c r="AX457" s="106">
        <f>+'Regulatory Charge'!AR457+Fuel!AR457+PCM!AS457+Interest!AR457+'O&amp;M'!AT457+'Capex &amp; Depr'!AT457+Debt!AU457+Pat.!AK457+Rates!AR457</f>
        <v>42.852504259480142</v>
      </c>
      <c r="AY457" s="106">
        <f>+'Regulatory Charge'!AS457+Fuel!AS457+PCM!AT457+Interest!AS457+'O&amp;M'!AU457+'Capex &amp; Depr'!AU457+Debt!AV457+Pat.!AL457+Rates!AS457</f>
        <v>40.200945414741241</v>
      </c>
      <c r="AZ457" s="106">
        <f>+'Regulatory Charge'!AT457+Fuel!AT457+PCM!AU457+Interest!AT457+'O&amp;M'!AV457+'Capex &amp; Depr'!AV457+Debt!AW457+Pat.!AM457+Rates!AT457</f>
        <v>38.506243554889551</v>
      </c>
      <c r="BA457" s="106">
        <f>+'Regulatory Charge'!AU457+Fuel!AU457+PCM!AV457+Interest!AU457+'O&amp;M'!AW457+'Capex &amp; Depr'!AW457+Debt!AX457+Pat.!AN457+Rates!AU457</f>
        <v>37.78500426261197</v>
      </c>
      <c r="BB457" s="106">
        <f>+'Regulatory Charge'!AV457+Fuel!AV457+PCM!AW457+Interest!AV457+'O&amp;M'!AX457+'Capex &amp; Depr'!AX457+Debt!AY457+Pat.!AO457+Rates!AV457</f>
        <v>49.247819955978557</v>
      </c>
      <c r="BC457" s="106">
        <f>+'Regulatory Charge'!AW457+Fuel!AW457+PCM!AX457+Interest!AW457+'O&amp;M'!AY457+'Capex &amp; Depr'!AY457+Debt!AZ457+Pat.!AP457+Rates!AW457</f>
        <v>47.555071233125901</v>
      </c>
      <c r="BD457" s="106"/>
      <c r="BE457" s="106"/>
    </row>
    <row r="458" spans="1:57">
      <c r="A458" s="849" t="s">
        <v>886</v>
      </c>
      <c r="B458" s="846" t="s">
        <v>971</v>
      </c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224"/>
      <c r="S458" s="106">
        <f>+'Regulatory Charge'!M458+Fuel!M458+PCM!N458+Interest!M458+'O&amp;M'!O458+'Capex &amp; Depr'!O458+Debt!P458+Pat.!F458+Rates!M458</f>
        <v>-2.2880000000000001E-3</v>
      </c>
      <c r="T458" s="106">
        <f>+'Regulatory Charge'!N458+Fuel!N458+PCM!O458+Interest!N458+'O&amp;M'!P458+'Capex &amp; Depr'!P458+Debt!Q458+Pat.!G458+Rates!N458</f>
        <v>-6.149E-3</v>
      </c>
      <c r="U458" s="106">
        <f>+'Regulatory Charge'!O458+Fuel!O458+PCM!P458+Interest!O458+'O&amp;M'!Q458+'Capex &amp; Depr'!Q458+Debt!R458+Pat.!H458+Rates!O458</f>
        <v>-2.2452E-2</v>
      </c>
      <c r="V458" s="106">
        <f>+'Regulatory Charge'!P458+Fuel!P458+PCM!Q458+Interest!P458+'O&amp;M'!R458+'Capex &amp; Depr'!R458+Debt!S458+Pat.!I458+Rates!P458</f>
        <v>-4.6127000000000001E-2</v>
      </c>
      <c r="W458" s="106">
        <f>+'Regulatory Charge'!Q458+Fuel!Q458+PCM!R458+Interest!Q458+'O&amp;M'!S458+'Capex &amp; Depr'!S458+Debt!T458+Pat.!J458+Rates!Q458</f>
        <v>-3.9792000000000001E-2</v>
      </c>
      <c r="X458" s="106">
        <f>+'Regulatory Charge'!R458+Fuel!R458+PCM!S458+Interest!R458+'O&amp;M'!T458+'Capex &amp; Depr'!T458+Debt!U458+Pat.!K458+Rates!R458</f>
        <v>-6.0372000000000002E-2</v>
      </c>
      <c r="Y458" s="106">
        <f>+'Regulatory Charge'!S458+Fuel!S458+PCM!T458+Interest!S458+'O&amp;M'!U458+'Capex &amp; Depr'!U458+Debt!V458+Pat.!L458+Rates!S458</f>
        <v>-7.9520999999999994E-2</v>
      </c>
      <c r="Z458" s="106">
        <f>+'Regulatory Charge'!T458+Fuel!T458+PCM!U458+Interest!T458+'O&amp;M'!V458+'Capex &amp; Depr'!V458+Debt!W458+Pat.!M458+Rates!T458</f>
        <v>-4.0534000000000001E-2</v>
      </c>
      <c r="AA458" s="106">
        <f>+'Regulatory Charge'!U458+Fuel!U458+PCM!V458+Interest!U458+'O&amp;M'!W458+'Capex &amp; Depr'!W458+Debt!X458+Pat.!N458+Rates!U458</f>
        <v>-6.0048999999999998E-2</v>
      </c>
      <c r="AB458" s="106">
        <f>+'Regulatory Charge'!V458+Fuel!V458+PCM!W458+Interest!V458+'O&amp;M'!X458+'Capex &amp; Depr'!X458+Debt!Y458+Pat.!O458+Rates!V458</f>
        <v>-0.103341</v>
      </c>
      <c r="AC458" s="106">
        <f>+'Regulatory Charge'!W458+Fuel!W458+PCM!X458+Interest!W458+'O&amp;M'!Y458+'Capex &amp; Depr'!Y458+Debt!Z458+Pat.!P458+Rates!W458</f>
        <v>-0.135347</v>
      </c>
      <c r="AD458" s="106">
        <f>+'Regulatory Charge'!X458+Fuel!X458+PCM!Y458+Interest!X458+'O&amp;M'!Z458+'Capex &amp; Depr'!Z458+Debt!AA458+Pat.!Q458+Rates!X458</f>
        <v>-0.17677200000000001</v>
      </c>
      <c r="AE458" s="224">
        <f t="shared" si="0"/>
        <v>-0.7727440000000001</v>
      </c>
      <c r="AF458" s="106">
        <f>+'Regulatory Charge'!Z458+Fuel!Z458+PCM!AA458+Interest!Z458+'O&amp;M'!AB458+'Capex &amp; Depr'!AB458+Debt!AC458+Pat.!S458+Rates!Z458</f>
        <v>-0.167106</v>
      </c>
      <c r="AG458" s="106">
        <f>+'Regulatory Charge'!AA458+Fuel!AA458+PCM!AB458+Interest!AA458+'O&amp;M'!AC458+'Capex &amp; Depr'!AC458+Debt!AD458+Pat.!T458+Rates!AA458</f>
        <v>-0.19242100000000001</v>
      </c>
      <c r="AH458" s="106">
        <f>+'Regulatory Charge'!AB458+Fuel!AB458+PCM!AC458+Interest!AB458+'O&amp;M'!AD458+'Capex &amp; Depr'!AD458+Debt!AE458+Pat.!U458+Rates!AB458</f>
        <v>-0.22428799999999999</v>
      </c>
      <c r="AI458" s="106">
        <f>+'Regulatory Charge'!AC458+Fuel!AC458+PCM!AD458+Interest!AC458+'O&amp;M'!AE458+'Capex &amp; Depr'!AE458+Debt!AF458+Pat.!V458+Rates!AC458</f>
        <v>-0.28519099999999997</v>
      </c>
      <c r="AJ458" s="106">
        <f>+'Regulatory Charge'!AD458+Fuel!AD458+PCM!AE458+Interest!AD458+'O&amp;M'!AF458+'Capex &amp; Depr'!AF458+Debt!AG458+Pat.!W458+Rates!AD458</f>
        <v>-0.34490500000000002</v>
      </c>
      <c r="AK458" s="106">
        <f>+'Regulatory Charge'!AE458+Fuel!AE458+PCM!AF458+Interest!AE458+'O&amp;M'!AG458+'Capex &amp; Depr'!AG458+Debt!AH458+Pat.!X458+Rates!AE458</f>
        <v>-0.38440999999999997</v>
      </c>
      <c r="AL458" s="106">
        <f>+'Regulatory Charge'!AF458+Fuel!AF458+PCM!AG458+Interest!AF458+'O&amp;M'!AH458+'Capex &amp; Depr'!AH458+Debt!AI458+Pat.!Y458+Rates!AF458</f>
        <v>-0.39462599999999998</v>
      </c>
      <c r="AM458" s="106">
        <f>+'Regulatory Charge'!AG458+Fuel!AG458+PCM!AH458+Interest!AG458+'O&amp;M'!AI458+'Capex &amp; Depr'!AI458+Debt!AJ458+Pat.!Z458+Rates!AG458</f>
        <v>-1.1945000000000001E-2</v>
      </c>
      <c r="AN458" s="106">
        <f>+'Regulatory Charge'!AH458+Fuel!AH458+PCM!AI458+Interest!AH458+'O&amp;M'!AJ458+'Capex &amp; Depr'!AJ458+Debt!AK458+Pat.!AA458+Rates!AH458</f>
        <v>-2.4031E-2</v>
      </c>
      <c r="AO458" s="106">
        <f>+'Regulatory Charge'!AI458+Fuel!AI458+PCM!AJ458+Interest!AI458+'O&amp;M'!AK458+'Capex &amp; Depr'!AK458+Debt!AL458+Pat.!AB458+Rates!AI458</f>
        <v>-3.7665999999999998E-2</v>
      </c>
      <c r="AP458" s="106">
        <f>+'Regulatory Charge'!AJ458+Fuel!AJ458+PCM!AK458+Interest!AJ458+'O&amp;M'!AL458+'Capex &amp; Depr'!AL458+Debt!AM458+Pat.!AC458+Rates!AJ458</f>
        <v>-1.8280000000000001E-2</v>
      </c>
      <c r="AQ458" s="106">
        <f>+'Regulatory Charge'!AK458+Fuel!AK458+PCM!AL458+Interest!AK458+'O&amp;M'!AM458+'Capex &amp; Depr'!AM458+Debt!AN458+Pat.!AD458+Rates!AK458</f>
        <v>-1.8363999999999998E-2</v>
      </c>
      <c r="AR458" s="224">
        <f t="shared" si="1"/>
        <v>-2.1032329999999999</v>
      </c>
      <c r="AS458" s="106">
        <f>+'Regulatory Charge'!AM458+Fuel!AM458+PCM!AN458+Interest!AM458+'O&amp;M'!AO458+'Capex &amp; Depr'!AO458+Debt!AP458+Pat.!AF458+Rates!AM458</f>
        <v>-0.49871399999999999</v>
      </c>
      <c r="AT458" s="106">
        <f>+'Regulatory Charge'!AN458+Fuel!AN458+PCM!AO458+Interest!AN458+'O&amp;M'!AP458+'Capex &amp; Depr'!AP458+Debt!AQ458+Pat.!AG458+Rates!AN458</f>
        <v>-0.36825999999999998</v>
      </c>
      <c r="AU458" s="106">
        <f>+'Regulatory Charge'!AO458+Fuel!AO458+PCM!AP458+Interest!AO458+'O&amp;M'!AQ458+'Capex &amp; Depr'!AQ458+Debt!AR458+Pat.!AH458+Rates!AO458</f>
        <v>-0.37511157613749996</v>
      </c>
      <c r="AV458" s="106">
        <f>+'Regulatory Charge'!AP458+Fuel!AP458+PCM!AQ458+Interest!AP458+'O&amp;M'!AR458+'Capex &amp; Depr'!AR458+Debt!AS458+Pat.!AI458+Rates!AP458</f>
        <v>-0.38636492342162509</v>
      </c>
      <c r="AW458" s="106">
        <f>+'Regulatory Charge'!AQ458+Fuel!AQ458+PCM!AR458+Interest!AQ458+'O&amp;M'!AS458+'Capex &amp; Depr'!AS458+Debt!AT458+Pat.!AJ458+Rates!AQ458</f>
        <v>-0.5039223692651057</v>
      </c>
      <c r="AX458" s="106">
        <f>+'Regulatory Charge'!AR458+Fuel!AR458+PCM!AS458+Interest!AR458+'O&amp;M'!AT458+'Capex &amp; Depr'!AT458+Debt!AU458+Pat.!AK458+Rates!AR458</f>
        <v>-0.51904004034305895</v>
      </c>
      <c r="AY458" s="106">
        <f>+'Regulatory Charge'!AS458+Fuel!AS458+PCM!AT458+Interest!AS458+'O&amp;M'!AU458+'Capex &amp; Depr'!AU458+Debt!AV458+Pat.!AL458+Rates!AS458</f>
        <v>-0.5346112415533506</v>
      </c>
      <c r="AZ458" s="106">
        <f>+'Regulatory Charge'!AT458+Fuel!AT458+PCM!AU458+Interest!AT458+'O&amp;M'!AV458+'Capex &amp; Depr'!AV458+Debt!AW458+Pat.!AM458+Rates!AT458</f>
        <v>-0.55064957879995124</v>
      </c>
      <c r="BA458" s="106">
        <f>+'Regulatory Charge'!AU458+Fuel!AU458+PCM!AV458+Interest!AU458+'O&amp;M'!AW458+'Capex &amp; Depr'!AW458+Debt!AX458+Pat.!AN458+Rates!AU458</f>
        <v>-0.56716906616394969</v>
      </c>
      <c r="BB458" s="106">
        <f>+'Regulatory Charge'!AV458+Fuel!AV458+PCM!AW458+Interest!AV458+'O&amp;M'!AX458+'Capex &amp; Depr'!AX458+Debt!AY458+Pat.!AO458+Rates!AV458</f>
        <v>-0.58418413814886827</v>
      </c>
      <c r="BC458" s="106">
        <f>+'Regulatory Charge'!AW458+Fuel!AW458+PCM!AX458+Interest!AW458+'O&amp;M'!AY458+'Capex &amp; Depr'!AY458+Debt!AZ458+Pat.!AP458+Rates!AW458</f>
        <v>-0.60170966229333434</v>
      </c>
      <c r="BD458" s="106"/>
      <c r="BE458" s="106"/>
    </row>
    <row r="459" spans="1:57">
      <c r="A459" s="849" t="s">
        <v>895</v>
      </c>
      <c r="B459" s="846" t="s">
        <v>896</v>
      </c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224"/>
      <c r="S459" s="106">
        <f>+'Regulatory Charge'!M459+Fuel!M459+PCM!N459+Interest!M459+'O&amp;M'!O459+'Capex &amp; Depr'!O459+Debt!P459+Pat.!F459+Rates!M459</f>
        <v>3.436992018365851E-2</v>
      </c>
      <c r="T459" s="106">
        <f>+'Regulatory Charge'!N459+Fuel!N459+PCM!O459+Interest!N459+'O&amp;M'!P459+'Capex &amp; Depr'!P459+Debt!Q459+Pat.!G459+Rates!N459</f>
        <v>3.2139229305670057E-2</v>
      </c>
      <c r="U459" s="106">
        <f>+'Regulatory Charge'!O459+Fuel!O459+PCM!P459+Interest!O459+'O&amp;M'!Q459+'Capex &amp; Depr'!Q459+Debt!R459+Pat.!H459+Rates!O459</f>
        <v>4.0851401665139994E-2</v>
      </c>
      <c r="V459" s="106">
        <f>+'Regulatory Charge'!P459+Fuel!P459+PCM!Q459+Interest!P459+'O&amp;M'!R459+'Capex &amp; Depr'!R459+Debt!S459+Pat.!I459+Rates!P459</f>
        <v>4.0107834705810509E-2</v>
      </c>
      <c r="W459" s="106">
        <f>+'Regulatory Charge'!Q459+Fuel!Q459+PCM!R459+Interest!Q459+'O&amp;M'!S459+'Capex &amp; Depr'!S459+Debt!T459+Pat.!J459+Rates!Q459</f>
        <v>4.0851401665139994E-2</v>
      </c>
      <c r="X459" s="106">
        <f>+'Regulatory Charge'!R459+Fuel!R459+PCM!S459+Interest!R459+'O&amp;M'!T459+'Capex &amp; Depr'!T459+Debt!U459+Pat.!K459+Rates!R459</f>
        <v>4.0107834705810509E-2</v>
      </c>
      <c r="Y459" s="106">
        <f>+'Regulatory Charge'!S459+Fuel!S459+PCM!T459+Interest!S459+'O&amp;M'!U459+'Capex &amp; Depr'!U459+Debt!V459+Pat.!L459+Rates!S459</f>
        <v>4.0851401665139994E-2</v>
      </c>
      <c r="Z459" s="106">
        <f>+'Regulatory Charge'!T459+Fuel!T459+PCM!U459+Interest!T459+'O&amp;M'!V459+'Capex &amp; Depr'!V459+Debt!W459+Pat.!M459+Rates!T459</f>
        <v>4.0851401665139994E-2</v>
      </c>
      <c r="AA459" s="106">
        <f>+'Regulatory Charge'!U459+Fuel!U459+PCM!V459+Interest!U459+'O&amp;M'!W459+'Capex &amp; Depr'!W459+Debt!X459+Pat.!N459+Rates!U459</f>
        <v>4.0107834705810509E-2</v>
      </c>
      <c r="AB459" s="106">
        <f>+'Regulatory Charge'!V459+Fuel!V459+PCM!W459+Interest!V459+'O&amp;M'!X459+'Capex &amp; Depr'!X459+Debt!Y459+Pat.!O459+Rates!V459</f>
        <v>4.0851401665139994E-2</v>
      </c>
      <c r="AC459" s="106">
        <f>+'Regulatory Charge'!W459+Fuel!W459+PCM!X459+Interest!W459+'O&amp;M'!Y459+'Capex &amp; Depr'!Y459+Debt!Z459+Pat.!P459+Rates!W459</f>
        <v>4.0107834705810509E-2</v>
      </c>
      <c r="AD459" s="106">
        <f>+'Regulatory Charge'!X459+Fuel!X459+PCM!Y459+Interest!X459+'O&amp;M'!Z459+'Capex &amp; Depr'!Z459+Debt!AA459+Pat.!Q459+Rates!X459</f>
        <v>6.0851401665139991E-2</v>
      </c>
      <c r="AE459" s="224">
        <f t="shared" ref="AE459:AE471" si="2">SUM(S459:AD459)</f>
        <v>0.49204889830341059</v>
      </c>
      <c r="AF459" s="106">
        <f>+'Regulatory Charge'!Z459+Fuel!Z459+PCM!AA459+Interest!Z459+'O&amp;M'!AB459+'Capex &amp; Depr'!AB459+Debt!AC459+Pat.!S459+Rates!Z459</f>
        <v>4.0851401665139994E-2</v>
      </c>
      <c r="AG459" s="106">
        <f>+'Regulatory Charge'!AA459+Fuel!AA459+PCM!AB459+Interest!AA459+'O&amp;M'!AC459+'Capex &amp; Depr'!AC459+Debt!AD459+Pat.!T459+Rates!AA459</f>
        <v>3.8620710787151541E-2</v>
      </c>
      <c r="AH459" s="106">
        <f>+'Regulatory Charge'!AB459+Fuel!AB459+PCM!AC459+Interest!AB459+'O&amp;M'!AD459+'Capex &amp; Depr'!AD459+Debt!AE459+Pat.!U459+Rates!AB459</f>
        <v>4.0851401665139994E-2</v>
      </c>
      <c r="AI459" s="106">
        <f>+'Regulatory Charge'!AC459+Fuel!AC459+PCM!AD459+Interest!AC459+'O&amp;M'!AE459+'Capex &amp; Depr'!AE459+Debt!AF459+Pat.!V459+Rates!AC459</f>
        <v>4.0107834705810509E-2</v>
      </c>
      <c r="AJ459" s="106">
        <f>+'Regulatory Charge'!AD459+Fuel!AD459+PCM!AE459+Interest!AD459+'O&amp;M'!AF459+'Capex &amp; Depr'!AF459+Debt!AG459+Pat.!W459+Rates!AD459</f>
        <v>4.0851401665139994E-2</v>
      </c>
      <c r="AK459" s="106">
        <f>+'Regulatory Charge'!AE459+Fuel!AE459+PCM!AF459+Interest!AE459+'O&amp;M'!AG459+'Capex &amp; Depr'!AG459+Debt!AH459+Pat.!X459+Rates!AE459</f>
        <v>4.0107834705810509E-2</v>
      </c>
      <c r="AL459" s="106">
        <f>+'Regulatory Charge'!AF459+Fuel!AF459+PCM!AG459+Interest!AF459+'O&amp;M'!AH459+'Capex &amp; Depr'!AH459+Debt!AI459+Pat.!Y459+Rates!AF459</f>
        <v>4.0851401665139994E-2</v>
      </c>
      <c r="AM459" s="106">
        <f>+'Regulatory Charge'!AG459+Fuel!AG459+PCM!AH459+Interest!AG459+'O&amp;M'!AI459+'Capex &amp; Depr'!AI459+Debt!AJ459+Pat.!Z459+Rates!AG459</f>
        <v>4.0851401665139994E-2</v>
      </c>
      <c r="AN459" s="106">
        <f>+'Regulatory Charge'!AH459+Fuel!AH459+PCM!AI459+Interest!AH459+'O&amp;M'!AJ459+'Capex &amp; Depr'!AJ459+Debt!AK459+Pat.!AA459+Rates!AH459</f>
        <v>4.0107834705810509E-2</v>
      </c>
      <c r="AO459" s="106">
        <f>+'Regulatory Charge'!AI459+Fuel!AI459+PCM!AJ459+Interest!AI459+'O&amp;M'!AK459+'Capex &amp; Depr'!AK459+Debt!AL459+Pat.!AB459+Rates!AI459</f>
        <v>4.0851401665139994E-2</v>
      </c>
      <c r="AP459" s="106">
        <f>+'Regulatory Charge'!AJ459+Fuel!AJ459+PCM!AK459+Interest!AJ459+'O&amp;M'!AL459+'Capex &amp; Depr'!AL459+Debt!AM459+Pat.!AC459+Rates!AJ459</f>
        <v>4.0107834705810509E-2</v>
      </c>
      <c r="AQ459" s="106">
        <f>+'Regulatory Charge'!AK459+Fuel!AK459+PCM!AL459+Interest!AK459+'O&amp;M'!AM459+'Capex &amp; Depr'!AM459+Debt!AN459+Pat.!AD459+Rates!AK459</f>
        <v>6.0851401665139991E-2</v>
      </c>
      <c r="AR459" s="224">
        <f t="shared" ref="AR459:AR471" si="3">SUM(AF459:AQ459)</f>
        <v>0.50501186126637354</v>
      </c>
      <c r="AS459" s="106">
        <f>+'Regulatory Charge'!AM459+Fuel!AM459+PCM!AN459+Interest!AM459+'O&amp;M'!AO459+'Capex &amp; Depr'!AO459+Debt!AP459+Pat.!AF459+Rates!AM459</f>
        <v>0.50501186126637354</v>
      </c>
      <c r="AT459" s="106">
        <f>+'Regulatory Charge'!AN459+Fuel!AN459+PCM!AO459+Interest!AN459+'O&amp;M'!AP459+'Capex &amp; Depr'!AP459+Debt!AQ459+Pat.!AG459+Rates!AN459</f>
        <v>0.34992208489236964</v>
      </c>
      <c r="AU459" s="106">
        <f>+'Regulatory Charge'!AO459+Fuel!AO459+PCM!AP459+Interest!AO459+'O&amp;M'!AQ459+'Capex &amp; Depr'!AQ459+Debt!AR459+Pat.!AH459+Rates!AO459</f>
        <v>0.34917852793304016</v>
      </c>
      <c r="AV459" s="106">
        <f>+'Regulatory Charge'!AP459+Fuel!AP459+PCM!AQ459+Interest!AP459+'O&amp;M'!AR459+'Capex &amp; Depr'!AR459+Debt!AS459+Pat.!AI459+Rates!AP459</f>
        <v>0.34917852793304016</v>
      </c>
      <c r="AW459" s="106">
        <f>+'Regulatory Charge'!AQ459+Fuel!AQ459+PCM!AR459+Interest!AQ459+'O&amp;M'!AS459+'Capex &amp; Depr'!AS459+Debt!AT459+Pat.!AJ459+Rates!AQ459</f>
        <v>0.34917852793304016</v>
      </c>
      <c r="AX459" s="106">
        <f>+'Regulatory Charge'!AR459+Fuel!AR459+PCM!AS459+Interest!AR459+'O&amp;M'!AT459+'Capex &amp; Depr'!AT459+Debt!AU459+Pat.!AK459+Rates!AR459</f>
        <v>0.34992208489236964</v>
      </c>
      <c r="AY459" s="106">
        <f>+'Regulatory Charge'!AS459+Fuel!AS459+PCM!AT459+Interest!AS459+'O&amp;M'!AU459+'Capex &amp; Depr'!AU459+Debt!AV459+Pat.!AL459+Rates!AS459</f>
        <v>0.34917852793304016</v>
      </c>
      <c r="AZ459" s="106">
        <f>+'Regulatory Charge'!AT459+Fuel!AT459+PCM!AU459+Interest!AT459+'O&amp;M'!AV459+'Capex &amp; Depr'!AV459+Debt!AW459+Pat.!AM459+Rates!AT459</f>
        <v>0.34917852793304016</v>
      </c>
      <c r="BA459" s="106">
        <f>+'Regulatory Charge'!AU459+Fuel!AU459+PCM!AV459+Interest!AU459+'O&amp;M'!AW459+'Capex &amp; Depr'!AW459+Debt!AX459+Pat.!AN459+Rates!AU459</f>
        <v>0.34917852793304016</v>
      </c>
      <c r="BB459" s="106">
        <f>+'Regulatory Charge'!AV459+Fuel!AV459+PCM!AW459+Interest!AV459+'O&amp;M'!AX459+'Capex &amp; Depr'!AX459+Debt!AY459+Pat.!AO459+Rates!AV459</f>
        <v>0.63951675213736958</v>
      </c>
      <c r="BC459" s="106">
        <f>+'Regulatory Charge'!AW459+Fuel!AW459+PCM!AX459+Interest!AW459+'O&amp;M'!AY459+'Capex &amp; Depr'!AY459+Debt!AZ459+Pat.!AP459+Rates!AW459</f>
        <v>0.6387731951780401</v>
      </c>
      <c r="BD459" s="106"/>
      <c r="BE459" s="106"/>
    </row>
    <row r="460" spans="1:57">
      <c r="A460" s="849" t="s">
        <v>897</v>
      </c>
      <c r="B460" s="846" t="s">
        <v>898</v>
      </c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224"/>
      <c r="S460" s="106">
        <f>+'Regulatory Charge'!M460+Fuel!M460+PCM!N460+Interest!M460+'O&amp;M'!O460+'Capex &amp; Depr'!O460+Debt!P460+Pat.!F460+Rates!M460</f>
        <v>0</v>
      </c>
      <c r="T460" s="106">
        <f>+'Regulatory Charge'!N460+Fuel!N460+PCM!O460+Interest!N460+'O&amp;M'!P460+'Capex &amp; Depr'!P460+Debt!Q460+Pat.!G460+Rates!N460</f>
        <v>0</v>
      </c>
      <c r="U460" s="106">
        <f>+'Regulatory Charge'!O460+Fuel!O460+PCM!P460+Interest!O460+'O&amp;M'!Q460+'Capex &amp; Depr'!Q460+Debt!R460+Pat.!H460+Rates!O460</f>
        <v>0</v>
      </c>
      <c r="V460" s="106">
        <f>+'Regulatory Charge'!P460+Fuel!P460+PCM!Q460+Interest!P460+'O&amp;M'!R460+'Capex &amp; Depr'!R460+Debt!S460+Pat.!I460+Rates!P460</f>
        <v>0</v>
      </c>
      <c r="W460" s="106">
        <f>+'Regulatory Charge'!Q460+Fuel!Q460+PCM!R460+Interest!Q460+'O&amp;M'!S460+'Capex &amp; Depr'!S460+Debt!T460+Pat.!J460+Rates!Q460</f>
        <v>0</v>
      </c>
      <c r="X460" s="106">
        <f>+'Regulatory Charge'!R460+Fuel!R460+PCM!S460+Interest!R460+'O&amp;M'!T460+'Capex &amp; Depr'!T460+Debt!U460+Pat.!K460+Rates!R460</f>
        <v>0</v>
      </c>
      <c r="Y460" s="106">
        <f>+'Regulatory Charge'!S460+Fuel!S460+PCM!T460+Interest!S460+'O&amp;M'!U460+'Capex &amp; Depr'!U460+Debt!V460+Pat.!L460+Rates!S460</f>
        <v>0</v>
      </c>
      <c r="Z460" s="106">
        <f>+'Regulatory Charge'!T460+Fuel!T460+PCM!U460+Interest!T460+'O&amp;M'!V460+'Capex &amp; Depr'!V460+Debt!W460+Pat.!M460+Rates!T460</f>
        <v>0</v>
      </c>
      <c r="AA460" s="106">
        <f>+'Regulatory Charge'!U460+Fuel!U460+PCM!V460+Interest!U460+'O&amp;M'!W460+'Capex &amp; Depr'!W460+Debt!X460+Pat.!N460+Rates!U460</f>
        <v>0</v>
      </c>
      <c r="AB460" s="106">
        <f>+'Regulatory Charge'!V460+Fuel!V460+PCM!W460+Interest!V460+'O&amp;M'!X460+'Capex &amp; Depr'!X460+Debt!Y460+Pat.!O460+Rates!V460</f>
        <v>0</v>
      </c>
      <c r="AC460" s="106">
        <f>+'Regulatory Charge'!W460+Fuel!W460+PCM!X460+Interest!W460+'O&amp;M'!Y460+'Capex &amp; Depr'!Y460+Debt!Z460+Pat.!P460+Rates!W460</f>
        <v>0</v>
      </c>
      <c r="AD460" s="106">
        <f>+'Regulatory Charge'!X460+Fuel!X460+PCM!Y460+Interest!X460+'O&amp;M'!Z460+'Capex &amp; Depr'!Z460+Debt!AA460+Pat.!Q460+Rates!X460</f>
        <v>0</v>
      </c>
      <c r="AE460" s="224">
        <f t="shared" si="2"/>
        <v>0</v>
      </c>
      <c r="AF460" s="106">
        <f>+'Regulatory Charge'!Z460+Fuel!Z460+PCM!AA460+Interest!Z460+'O&amp;M'!AB460+'Capex &amp; Depr'!AB460+Debt!AC460+Pat.!S460+Rates!Z460</f>
        <v>0</v>
      </c>
      <c r="AG460" s="106">
        <f>+'Regulatory Charge'!AA460+Fuel!AA460+PCM!AB460+Interest!AA460+'O&amp;M'!AC460+'Capex &amp; Depr'!AC460+Debt!AD460+Pat.!T460+Rates!AA460</f>
        <v>0</v>
      </c>
      <c r="AH460" s="106">
        <f>+'Regulatory Charge'!AB460+Fuel!AB460+PCM!AC460+Interest!AB460+'O&amp;M'!AD460+'Capex &amp; Depr'!AD460+Debt!AE460+Pat.!U460+Rates!AB460</f>
        <v>0</v>
      </c>
      <c r="AI460" s="106">
        <f>+'Regulatory Charge'!AC460+Fuel!AC460+PCM!AD460+Interest!AC460+'O&amp;M'!AE460+'Capex &amp; Depr'!AE460+Debt!AF460+Pat.!V460+Rates!AC460</f>
        <v>0</v>
      </c>
      <c r="AJ460" s="106">
        <f>+'Regulatory Charge'!AD460+Fuel!AD460+PCM!AE460+Interest!AD460+'O&amp;M'!AF460+'Capex &amp; Depr'!AF460+Debt!AG460+Pat.!W460+Rates!AD460</f>
        <v>0</v>
      </c>
      <c r="AK460" s="106">
        <f>+'Regulatory Charge'!AE460+Fuel!AE460+PCM!AF460+Interest!AE460+'O&amp;M'!AG460+'Capex &amp; Depr'!AG460+Debt!AH460+Pat.!X460+Rates!AE460</f>
        <v>0</v>
      </c>
      <c r="AL460" s="106">
        <f>+'Regulatory Charge'!AF460+Fuel!AF460+PCM!AG460+Interest!AF460+'O&amp;M'!AH460+'Capex &amp; Depr'!AH460+Debt!AI460+Pat.!Y460+Rates!AF460</f>
        <v>0</v>
      </c>
      <c r="AM460" s="106">
        <f>+'Regulatory Charge'!AG460+Fuel!AG460+PCM!AH460+Interest!AG460+'O&amp;M'!AI460+'Capex &amp; Depr'!AI460+Debt!AJ460+Pat.!Z460+Rates!AG460</f>
        <v>0</v>
      </c>
      <c r="AN460" s="106">
        <f>+'Regulatory Charge'!AH460+Fuel!AH460+PCM!AI460+Interest!AH460+'O&amp;M'!AJ460+'Capex &amp; Depr'!AJ460+Debt!AK460+Pat.!AA460+Rates!AH460</f>
        <v>0</v>
      </c>
      <c r="AO460" s="106">
        <f>+'Regulatory Charge'!AI460+Fuel!AI460+PCM!AJ460+Interest!AI460+'O&amp;M'!AK460+'Capex &amp; Depr'!AK460+Debt!AL460+Pat.!AB460+Rates!AI460</f>
        <v>0</v>
      </c>
      <c r="AP460" s="106">
        <f>+'Regulatory Charge'!AJ460+Fuel!AJ460+PCM!AK460+Interest!AJ460+'O&amp;M'!AL460+'Capex &amp; Depr'!AL460+Debt!AM460+Pat.!AC460+Rates!AJ460</f>
        <v>0</v>
      </c>
      <c r="AQ460" s="106">
        <f>+'Regulatory Charge'!AK460+Fuel!AK460+PCM!AL460+Interest!AK460+'O&amp;M'!AM460+'Capex &amp; Depr'!AM460+Debt!AN460+Pat.!AD460+Rates!AK460</f>
        <v>0</v>
      </c>
      <c r="AR460" s="224">
        <f t="shared" si="3"/>
        <v>0</v>
      </c>
      <c r="AS460" s="106">
        <f>+'Regulatory Charge'!AM460+Fuel!AM460+PCM!AN460+Interest!AM460+'O&amp;M'!AO460+'Capex &amp; Depr'!AO460+Debt!AP460+Pat.!AF460+Rates!AM460</f>
        <v>0</v>
      </c>
      <c r="AT460" s="106">
        <f>+'Regulatory Charge'!AN460+Fuel!AN460+PCM!AO460+Interest!AN460+'O&amp;M'!AP460+'Capex &amp; Depr'!AP460+Debt!AQ460+Pat.!AG460+Rates!AN460</f>
        <v>0</v>
      </c>
      <c r="AU460" s="106">
        <f>+'Regulatory Charge'!AO460+Fuel!AO460+PCM!AP460+Interest!AO460+'O&amp;M'!AQ460+'Capex &amp; Depr'!AQ460+Debt!AR460+Pat.!AH460+Rates!AO460</f>
        <v>0</v>
      </c>
      <c r="AV460" s="106">
        <f>+'Regulatory Charge'!AP460+Fuel!AP460+PCM!AQ460+Interest!AP460+'O&amp;M'!AR460+'Capex &amp; Depr'!AR460+Debt!AS460+Pat.!AI460+Rates!AP460</f>
        <v>0</v>
      </c>
      <c r="AW460" s="106">
        <f>+'Regulatory Charge'!AQ460+Fuel!AQ460+PCM!AR460+Interest!AQ460+'O&amp;M'!AS460+'Capex &amp; Depr'!AS460+Debt!AT460+Pat.!AJ460+Rates!AQ460</f>
        <v>0</v>
      </c>
      <c r="AX460" s="106">
        <f>+'Regulatory Charge'!AR460+Fuel!AR460+PCM!AS460+Interest!AR460+'O&amp;M'!AT460+'Capex &amp; Depr'!AT460+Debt!AU460+Pat.!AK460+Rates!AR460</f>
        <v>0</v>
      </c>
      <c r="AY460" s="106">
        <f>+'Regulatory Charge'!AS460+Fuel!AS460+PCM!AT460+Interest!AS460+'O&amp;M'!AU460+'Capex &amp; Depr'!AU460+Debt!AV460+Pat.!AL460+Rates!AS460</f>
        <v>0</v>
      </c>
      <c r="AZ460" s="106">
        <f>+'Regulatory Charge'!AT460+Fuel!AT460+PCM!AU460+Interest!AT460+'O&amp;M'!AV460+'Capex &amp; Depr'!AV460+Debt!AW460+Pat.!AM460+Rates!AT460</f>
        <v>0</v>
      </c>
      <c r="BA460" s="106">
        <f>+'Regulatory Charge'!AU460+Fuel!AU460+PCM!AV460+Interest!AU460+'O&amp;M'!AW460+'Capex &amp; Depr'!AW460+Debt!AX460+Pat.!AN460+Rates!AU460</f>
        <v>0</v>
      </c>
      <c r="BB460" s="106">
        <f>+'Regulatory Charge'!AV460+Fuel!AV460+PCM!AW460+Interest!AV460+'O&amp;M'!AX460+'Capex &amp; Depr'!AX460+Debt!AY460+Pat.!AO460+Rates!AV460</f>
        <v>0</v>
      </c>
      <c r="BC460" s="106">
        <f>+'Regulatory Charge'!AW460+Fuel!AW460+PCM!AX460+Interest!AW460+'O&amp;M'!AY460+'Capex &amp; Depr'!AY460+Debt!AZ460+Pat.!AP460+Rates!AW460</f>
        <v>0</v>
      </c>
      <c r="BD460" s="106"/>
      <c r="BE460" s="106"/>
    </row>
    <row r="461" spans="1:57">
      <c r="A461" s="849" t="s">
        <v>899</v>
      </c>
      <c r="B461" s="846" t="s">
        <v>900</v>
      </c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224"/>
      <c r="S461" s="106">
        <f>+'Regulatory Charge'!M461+Fuel!M461+PCM!N461+Interest!M461+'O&amp;M'!O461+'Capex &amp; Depr'!O461+Debt!P461+Pat.!F461+Rates!M461</f>
        <v>0</v>
      </c>
      <c r="T461" s="106">
        <f>+'Regulatory Charge'!N461+Fuel!N461+PCM!O461+Interest!N461+'O&amp;M'!P461+'Capex &amp; Depr'!P461+Debt!Q461+Pat.!G461+Rates!N461</f>
        <v>0</v>
      </c>
      <c r="U461" s="106">
        <f>+'Regulatory Charge'!O461+Fuel!O461+PCM!P461+Interest!O461+'O&amp;M'!Q461+'Capex &amp; Depr'!Q461+Debt!R461+Pat.!H461+Rates!O461</f>
        <v>0</v>
      </c>
      <c r="V461" s="106">
        <f>+'Regulatory Charge'!P461+Fuel!P461+PCM!Q461+Interest!P461+'O&amp;M'!R461+'Capex &amp; Depr'!R461+Debt!S461+Pat.!I461+Rates!P461</f>
        <v>0</v>
      </c>
      <c r="W461" s="106">
        <f>+'Regulatory Charge'!Q461+Fuel!Q461+PCM!R461+Interest!Q461+'O&amp;M'!S461+'Capex &amp; Depr'!S461+Debt!T461+Pat.!J461+Rates!Q461</f>
        <v>0</v>
      </c>
      <c r="X461" s="106">
        <f>+'Regulatory Charge'!R461+Fuel!R461+PCM!S461+Interest!R461+'O&amp;M'!T461+'Capex &amp; Depr'!T461+Debt!U461+Pat.!K461+Rates!R461</f>
        <v>0</v>
      </c>
      <c r="Y461" s="106">
        <f>+'Regulatory Charge'!S461+Fuel!S461+PCM!T461+Interest!S461+'O&amp;M'!U461+'Capex &amp; Depr'!U461+Debt!V461+Pat.!L461+Rates!S461</f>
        <v>0</v>
      </c>
      <c r="Z461" s="106">
        <f>+'Regulatory Charge'!T461+Fuel!T461+PCM!U461+Interest!T461+'O&amp;M'!V461+'Capex &amp; Depr'!V461+Debt!W461+Pat.!M461+Rates!T461</f>
        <v>0</v>
      </c>
      <c r="AA461" s="106">
        <f>+'Regulatory Charge'!U461+Fuel!U461+PCM!V461+Interest!U461+'O&amp;M'!W461+'Capex &amp; Depr'!W461+Debt!X461+Pat.!N461+Rates!U461</f>
        <v>0</v>
      </c>
      <c r="AB461" s="106">
        <f>+'Regulatory Charge'!V461+Fuel!V461+PCM!W461+Interest!V461+'O&amp;M'!X461+'Capex &amp; Depr'!X461+Debt!Y461+Pat.!O461+Rates!V461</f>
        <v>0</v>
      </c>
      <c r="AC461" s="106">
        <f>+'Regulatory Charge'!W461+Fuel!W461+PCM!X461+Interest!W461+'O&amp;M'!Y461+'Capex &amp; Depr'!Y461+Debt!Z461+Pat.!P461+Rates!W461</f>
        <v>0</v>
      </c>
      <c r="AD461" s="106">
        <f>+'Regulatory Charge'!X461+Fuel!X461+PCM!Y461+Interest!X461+'O&amp;M'!Z461+'Capex &amp; Depr'!Z461+Debt!AA461+Pat.!Q461+Rates!X461</f>
        <v>0</v>
      </c>
      <c r="AE461" s="224">
        <f t="shared" si="2"/>
        <v>0</v>
      </c>
      <c r="AF461" s="106">
        <f>+'Regulatory Charge'!Z461+Fuel!Z461+PCM!AA461+Interest!Z461+'O&amp;M'!AB461+'Capex &amp; Depr'!AB461+Debt!AC461+Pat.!S461+Rates!Z461</f>
        <v>0</v>
      </c>
      <c r="AG461" s="106">
        <f>+'Regulatory Charge'!AA461+Fuel!AA461+PCM!AB461+Interest!AA461+'O&amp;M'!AC461+'Capex &amp; Depr'!AC461+Debt!AD461+Pat.!T461+Rates!AA461</f>
        <v>0</v>
      </c>
      <c r="AH461" s="106">
        <f>+'Regulatory Charge'!AB461+Fuel!AB461+PCM!AC461+Interest!AB461+'O&amp;M'!AD461+'Capex &amp; Depr'!AD461+Debt!AE461+Pat.!U461+Rates!AB461</f>
        <v>0</v>
      </c>
      <c r="AI461" s="106">
        <f>+'Regulatory Charge'!AC461+Fuel!AC461+PCM!AD461+Interest!AC461+'O&amp;M'!AE461+'Capex &amp; Depr'!AE461+Debt!AF461+Pat.!V461+Rates!AC461</f>
        <v>0</v>
      </c>
      <c r="AJ461" s="106">
        <f>+'Regulatory Charge'!AD461+Fuel!AD461+PCM!AE461+Interest!AD461+'O&amp;M'!AF461+'Capex &amp; Depr'!AF461+Debt!AG461+Pat.!W461+Rates!AD461</f>
        <v>0</v>
      </c>
      <c r="AK461" s="106">
        <f>+'Regulatory Charge'!AE461+Fuel!AE461+PCM!AF461+Interest!AE461+'O&amp;M'!AG461+'Capex &amp; Depr'!AG461+Debt!AH461+Pat.!X461+Rates!AE461</f>
        <v>0</v>
      </c>
      <c r="AL461" s="106">
        <f>+'Regulatory Charge'!AF461+Fuel!AF461+PCM!AG461+Interest!AF461+'O&amp;M'!AH461+'Capex &amp; Depr'!AH461+Debt!AI461+Pat.!Y461+Rates!AF461</f>
        <v>0</v>
      </c>
      <c r="AM461" s="106">
        <f>+'Regulatory Charge'!AG461+Fuel!AG461+PCM!AH461+Interest!AG461+'O&amp;M'!AI461+'Capex &amp; Depr'!AI461+Debt!AJ461+Pat.!Z461+Rates!AG461</f>
        <v>0</v>
      </c>
      <c r="AN461" s="106">
        <f>+'Regulatory Charge'!AH461+Fuel!AH461+PCM!AI461+Interest!AH461+'O&amp;M'!AJ461+'Capex &amp; Depr'!AJ461+Debt!AK461+Pat.!AA461+Rates!AH461</f>
        <v>0</v>
      </c>
      <c r="AO461" s="106">
        <f>+'Regulatory Charge'!AI461+Fuel!AI461+PCM!AJ461+Interest!AI461+'O&amp;M'!AK461+'Capex &amp; Depr'!AK461+Debt!AL461+Pat.!AB461+Rates!AI461</f>
        <v>0</v>
      </c>
      <c r="AP461" s="106">
        <f>+'Regulatory Charge'!AJ461+Fuel!AJ461+PCM!AK461+Interest!AJ461+'O&amp;M'!AL461+'Capex &amp; Depr'!AL461+Debt!AM461+Pat.!AC461+Rates!AJ461</f>
        <v>0</v>
      </c>
      <c r="AQ461" s="106">
        <f>+'Regulatory Charge'!AK461+Fuel!AK461+PCM!AL461+Interest!AK461+'O&amp;M'!AM461+'Capex &amp; Depr'!AM461+Debt!AN461+Pat.!AD461+Rates!AK461</f>
        <v>0</v>
      </c>
      <c r="AR461" s="224">
        <f t="shared" si="3"/>
        <v>0</v>
      </c>
      <c r="AS461" s="106">
        <f>+'Regulatory Charge'!AM461+Fuel!AM461+PCM!AN461+Interest!AM461+'O&amp;M'!AO461+'Capex &amp; Depr'!AO461+Debt!AP461+Pat.!AF461+Rates!AM461</f>
        <v>0</v>
      </c>
      <c r="AT461" s="106">
        <f>+'Regulatory Charge'!AN461+Fuel!AN461+PCM!AO461+Interest!AN461+'O&amp;M'!AP461+'Capex &amp; Depr'!AP461+Debt!AQ461+Pat.!AG461+Rates!AN461</f>
        <v>0</v>
      </c>
      <c r="AU461" s="106">
        <f>+'Regulatory Charge'!AO461+Fuel!AO461+PCM!AP461+Interest!AO461+'O&amp;M'!AQ461+'Capex &amp; Depr'!AQ461+Debt!AR461+Pat.!AH461+Rates!AO461</f>
        <v>0</v>
      </c>
      <c r="AV461" s="106">
        <f>+'Regulatory Charge'!AP461+Fuel!AP461+PCM!AQ461+Interest!AP461+'O&amp;M'!AR461+'Capex &amp; Depr'!AR461+Debt!AS461+Pat.!AI461+Rates!AP461</f>
        <v>0</v>
      </c>
      <c r="AW461" s="106">
        <f>+'Regulatory Charge'!AQ461+Fuel!AQ461+PCM!AR461+Interest!AQ461+'O&amp;M'!AS461+'Capex &amp; Depr'!AS461+Debt!AT461+Pat.!AJ461+Rates!AQ461</f>
        <v>0</v>
      </c>
      <c r="AX461" s="106">
        <f>+'Regulatory Charge'!AR461+Fuel!AR461+PCM!AS461+Interest!AR461+'O&amp;M'!AT461+'Capex &amp; Depr'!AT461+Debt!AU461+Pat.!AK461+Rates!AR461</f>
        <v>0</v>
      </c>
      <c r="AY461" s="106">
        <f>+'Regulatory Charge'!AS461+Fuel!AS461+PCM!AT461+Interest!AS461+'O&amp;M'!AU461+'Capex &amp; Depr'!AU461+Debt!AV461+Pat.!AL461+Rates!AS461</f>
        <v>0</v>
      </c>
      <c r="AZ461" s="106">
        <f>+'Regulatory Charge'!AT461+Fuel!AT461+PCM!AU461+Interest!AT461+'O&amp;M'!AV461+'Capex &amp; Depr'!AV461+Debt!AW461+Pat.!AM461+Rates!AT461</f>
        <v>0</v>
      </c>
      <c r="BA461" s="106">
        <f>+'Regulatory Charge'!AU461+Fuel!AU461+PCM!AV461+Interest!AU461+'O&amp;M'!AW461+'Capex &amp; Depr'!AW461+Debt!AX461+Pat.!AN461+Rates!AU461</f>
        <v>0</v>
      </c>
      <c r="BB461" s="106">
        <f>+'Regulatory Charge'!AV461+Fuel!AV461+PCM!AW461+Interest!AV461+'O&amp;M'!AX461+'Capex &amp; Depr'!AX461+Debt!AY461+Pat.!AO461+Rates!AV461</f>
        <v>0</v>
      </c>
      <c r="BC461" s="106">
        <f>+'Regulatory Charge'!AW461+Fuel!AW461+PCM!AX461+Interest!AW461+'O&amp;M'!AY461+'Capex &amp; Depr'!AY461+Debt!AZ461+Pat.!AP461+Rates!AW461</f>
        <v>0</v>
      </c>
      <c r="BD461" s="106"/>
      <c r="BE461" s="106"/>
    </row>
    <row r="462" spans="1:57">
      <c r="A462" s="849" t="s">
        <v>901</v>
      </c>
      <c r="B462" s="846" t="s">
        <v>902</v>
      </c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224"/>
      <c r="S462" s="106">
        <f>+'Regulatory Charge'!M462+Fuel!M462+PCM!N462+Interest!M462+'O&amp;M'!O462+'Capex &amp; Depr'!O462+Debt!P462+Pat.!F462+Rates!M462</f>
        <v>0</v>
      </c>
      <c r="T462" s="106">
        <f>+'Regulatory Charge'!N462+Fuel!N462+PCM!O462+Interest!N462+'O&amp;M'!P462+'Capex &amp; Depr'!P462+Debt!Q462+Pat.!G462+Rates!N462</f>
        <v>0</v>
      </c>
      <c r="U462" s="106">
        <f>+'Regulatory Charge'!O462+Fuel!O462+PCM!P462+Interest!O462+'O&amp;M'!Q462+'Capex &amp; Depr'!Q462+Debt!R462+Pat.!H462+Rates!O462</f>
        <v>0</v>
      </c>
      <c r="V462" s="106">
        <f>+'Regulatory Charge'!P462+Fuel!P462+PCM!Q462+Interest!P462+'O&amp;M'!R462+'Capex &amp; Depr'!R462+Debt!S462+Pat.!I462+Rates!P462</f>
        <v>0</v>
      </c>
      <c r="W462" s="106">
        <f>+'Regulatory Charge'!Q462+Fuel!Q462+PCM!R462+Interest!Q462+'O&amp;M'!S462+'Capex &amp; Depr'!S462+Debt!T462+Pat.!J462+Rates!Q462</f>
        <v>0</v>
      </c>
      <c r="X462" s="106">
        <f>+'Regulatory Charge'!R462+Fuel!R462+PCM!S462+Interest!R462+'O&amp;M'!T462+'Capex &amp; Depr'!T462+Debt!U462+Pat.!K462+Rates!R462</f>
        <v>0</v>
      </c>
      <c r="Y462" s="106">
        <f>+'Regulatory Charge'!S462+Fuel!S462+PCM!T462+Interest!S462+'O&amp;M'!U462+'Capex &amp; Depr'!U462+Debt!V462+Pat.!L462+Rates!S462</f>
        <v>0</v>
      </c>
      <c r="Z462" s="106">
        <f>+'Regulatory Charge'!T462+Fuel!T462+PCM!U462+Interest!T462+'O&amp;M'!V462+'Capex &amp; Depr'!V462+Debt!W462+Pat.!M462+Rates!T462</f>
        <v>0</v>
      </c>
      <c r="AA462" s="106">
        <f>+'Regulatory Charge'!U462+Fuel!U462+PCM!V462+Interest!U462+'O&amp;M'!W462+'Capex &amp; Depr'!W462+Debt!X462+Pat.!N462+Rates!U462</f>
        <v>0</v>
      </c>
      <c r="AB462" s="106">
        <f>+'Regulatory Charge'!V462+Fuel!V462+PCM!W462+Interest!V462+'O&amp;M'!X462+'Capex &amp; Depr'!X462+Debt!Y462+Pat.!O462+Rates!V462</f>
        <v>0</v>
      </c>
      <c r="AC462" s="106">
        <f>+'Regulatory Charge'!W462+Fuel!W462+PCM!X462+Interest!W462+'O&amp;M'!Y462+'Capex &amp; Depr'!Y462+Debt!Z462+Pat.!P462+Rates!W462</f>
        <v>0</v>
      </c>
      <c r="AD462" s="106">
        <f>+'Regulatory Charge'!X462+Fuel!X462+PCM!Y462+Interest!X462+'O&amp;M'!Z462+'Capex &amp; Depr'!Z462+Debt!AA462+Pat.!Q462+Rates!X462</f>
        <v>0</v>
      </c>
      <c r="AE462" s="224">
        <f t="shared" si="2"/>
        <v>0</v>
      </c>
      <c r="AF462" s="106">
        <f>+'Regulatory Charge'!Z462+Fuel!Z462+PCM!AA462+Interest!Z462+'O&amp;M'!AB462+'Capex &amp; Depr'!AB462+Debt!AC462+Pat.!S462+Rates!Z462</f>
        <v>0</v>
      </c>
      <c r="AG462" s="106">
        <f>+'Regulatory Charge'!AA462+Fuel!AA462+PCM!AB462+Interest!AA462+'O&amp;M'!AC462+'Capex &amp; Depr'!AC462+Debt!AD462+Pat.!T462+Rates!AA462</f>
        <v>0</v>
      </c>
      <c r="AH462" s="106">
        <f>+'Regulatory Charge'!AB462+Fuel!AB462+PCM!AC462+Interest!AB462+'O&amp;M'!AD462+'Capex &amp; Depr'!AD462+Debt!AE462+Pat.!U462+Rates!AB462</f>
        <v>0</v>
      </c>
      <c r="AI462" s="106">
        <f>+'Regulatory Charge'!AC462+Fuel!AC462+PCM!AD462+Interest!AC462+'O&amp;M'!AE462+'Capex &amp; Depr'!AE462+Debt!AF462+Pat.!V462+Rates!AC462</f>
        <v>0</v>
      </c>
      <c r="AJ462" s="106">
        <f>+'Regulatory Charge'!AD462+Fuel!AD462+PCM!AE462+Interest!AD462+'O&amp;M'!AF462+'Capex &amp; Depr'!AF462+Debt!AG462+Pat.!W462+Rates!AD462</f>
        <v>0</v>
      </c>
      <c r="AK462" s="106">
        <f>+'Regulatory Charge'!AE462+Fuel!AE462+PCM!AF462+Interest!AE462+'O&amp;M'!AG462+'Capex &amp; Depr'!AG462+Debt!AH462+Pat.!X462+Rates!AE462</f>
        <v>0</v>
      </c>
      <c r="AL462" s="106">
        <f>+'Regulatory Charge'!AF462+Fuel!AF462+PCM!AG462+Interest!AF462+'O&amp;M'!AH462+'Capex &amp; Depr'!AH462+Debt!AI462+Pat.!Y462+Rates!AF462</f>
        <v>0</v>
      </c>
      <c r="AM462" s="106">
        <f>+'Regulatory Charge'!AG462+Fuel!AG462+PCM!AH462+Interest!AG462+'O&amp;M'!AI462+'Capex &amp; Depr'!AI462+Debt!AJ462+Pat.!Z462+Rates!AG462</f>
        <v>0</v>
      </c>
      <c r="AN462" s="106">
        <f>+'Regulatory Charge'!AH462+Fuel!AH462+PCM!AI462+Interest!AH462+'O&amp;M'!AJ462+'Capex &amp; Depr'!AJ462+Debt!AK462+Pat.!AA462+Rates!AH462</f>
        <v>0</v>
      </c>
      <c r="AO462" s="106">
        <f>+'Regulatory Charge'!AI462+Fuel!AI462+PCM!AJ462+Interest!AI462+'O&amp;M'!AK462+'Capex &amp; Depr'!AK462+Debt!AL462+Pat.!AB462+Rates!AI462</f>
        <v>0</v>
      </c>
      <c r="AP462" s="106">
        <f>+'Regulatory Charge'!AJ462+Fuel!AJ462+PCM!AK462+Interest!AJ462+'O&amp;M'!AL462+'Capex &amp; Depr'!AL462+Debt!AM462+Pat.!AC462+Rates!AJ462</f>
        <v>0</v>
      </c>
      <c r="AQ462" s="106">
        <f>+'Regulatory Charge'!AK462+Fuel!AK462+PCM!AL462+Interest!AK462+'O&amp;M'!AM462+'Capex &amp; Depr'!AM462+Debt!AN462+Pat.!AD462+Rates!AK462</f>
        <v>0</v>
      </c>
      <c r="AR462" s="224">
        <f t="shared" si="3"/>
        <v>0</v>
      </c>
      <c r="AS462" s="106">
        <f>+'Regulatory Charge'!AM462+Fuel!AM462+PCM!AN462+Interest!AM462+'O&amp;M'!AO462+'Capex &amp; Depr'!AO462+Debt!AP462+Pat.!AF462+Rates!AM462</f>
        <v>0</v>
      </c>
      <c r="AT462" s="106">
        <f>+'Regulatory Charge'!AN462+Fuel!AN462+PCM!AO462+Interest!AN462+'O&amp;M'!AP462+'Capex &amp; Depr'!AP462+Debt!AQ462+Pat.!AG462+Rates!AN462</f>
        <v>0</v>
      </c>
      <c r="AU462" s="106">
        <f>+'Regulatory Charge'!AO462+Fuel!AO462+PCM!AP462+Interest!AO462+'O&amp;M'!AQ462+'Capex &amp; Depr'!AQ462+Debt!AR462+Pat.!AH462+Rates!AO462</f>
        <v>0</v>
      </c>
      <c r="AV462" s="106">
        <f>+'Regulatory Charge'!AP462+Fuel!AP462+PCM!AQ462+Interest!AP462+'O&amp;M'!AR462+'Capex &amp; Depr'!AR462+Debt!AS462+Pat.!AI462+Rates!AP462</f>
        <v>0</v>
      </c>
      <c r="AW462" s="106">
        <f>+'Regulatory Charge'!AQ462+Fuel!AQ462+PCM!AR462+Interest!AQ462+'O&amp;M'!AS462+'Capex &amp; Depr'!AS462+Debt!AT462+Pat.!AJ462+Rates!AQ462</f>
        <v>0</v>
      </c>
      <c r="AX462" s="106">
        <f>+'Regulatory Charge'!AR462+Fuel!AR462+PCM!AS462+Interest!AR462+'O&amp;M'!AT462+'Capex &amp; Depr'!AT462+Debt!AU462+Pat.!AK462+Rates!AR462</f>
        <v>0</v>
      </c>
      <c r="AY462" s="106">
        <f>+'Regulatory Charge'!AS462+Fuel!AS462+PCM!AT462+Interest!AS462+'O&amp;M'!AU462+'Capex &amp; Depr'!AU462+Debt!AV462+Pat.!AL462+Rates!AS462</f>
        <v>0</v>
      </c>
      <c r="AZ462" s="106">
        <f>+'Regulatory Charge'!AT462+Fuel!AT462+PCM!AU462+Interest!AT462+'O&amp;M'!AV462+'Capex &amp; Depr'!AV462+Debt!AW462+Pat.!AM462+Rates!AT462</f>
        <v>0</v>
      </c>
      <c r="BA462" s="106">
        <f>+'Regulatory Charge'!AU462+Fuel!AU462+PCM!AV462+Interest!AU462+'O&amp;M'!AW462+'Capex &amp; Depr'!AW462+Debt!AX462+Pat.!AN462+Rates!AU462</f>
        <v>0</v>
      </c>
      <c r="BB462" s="106">
        <f>+'Regulatory Charge'!AV462+Fuel!AV462+PCM!AW462+Interest!AV462+'O&amp;M'!AX462+'Capex &amp; Depr'!AX462+Debt!AY462+Pat.!AO462+Rates!AV462</f>
        <v>0</v>
      </c>
      <c r="BC462" s="106">
        <f>+'Regulatory Charge'!AW462+Fuel!AW462+PCM!AX462+Interest!AW462+'O&amp;M'!AY462+'Capex &amp; Depr'!AY462+Debt!AZ462+Pat.!AP462+Rates!AW462</f>
        <v>0</v>
      </c>
      <c r="BD462" s="106"/>
      <c r="BE462" s="106"/>
    </row>
    <row r="463" spans="1:57">
      <c r="A463" s="849" t="s">
        <v>903</v>
      </c>
      <c r="B463" s="846" t="s">
        <v>904</v>
      </c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224"/>
      <c r="S463" s="106">
        <f>+'Regulatory Charge'!M463+Fuel!M463+PCM!N463+Interest!M463+'O&amp;M'!O463+'Capex &amp; Depr'!O463+Debt!P463+Pat.!F463+Rates!M463</f>
        <v>0</v>
      </c>
      <c r="T463" s="106">
        <f>+'Regulatory Charge'!N463+Fuel!N463+PCM!O463+Interest!N463+'O&amp;M'!P463+'Capex &amp; Depr'!P463+Debt!Q463+Pat.!G463+Rates!N463</f>
        <v>0</v>
      </c>
      <c r="U463" s="106">
        <f>+'Regulatory Charge'!O463+Fuel!O463+PCM!P463+Interest!O463+'O&amp;M'!Q463+'Capex &amp; Depr'!Q463+Debt!R463+Pat.!H463+Rates!O463</f>
        <v>0</v>
      </c>
      <c r="V463" s="106">
        <f>+'Regulatory Charge'!P463+Fuel!P463+PCM!Q463+Interest!P463+'O&amp;M'!R463+'Capex &amp; Depr'!R463+Debt!S463+Pat.!I463+Rates!P463</f>
        <v>0</v>
      </c>
      <c r="W463" s="106">
        <f>+'Regulatory Charge'!Q463+Fuel!Q463+PCM!R463+Interest!Q463+'O&amp;M'!S463+'Capex &amp; Depr'!S463+Debt!T463+Pat.!J463+Rates!Q463</f>
        <v>0</v>
      </c>
      <c r="X463" s="106">
        <f>+'Regulatory Charge'!R463+Fuel!R463+PCM!S463+Interest!R463+'O&amp;M'!T463+'Capex &amp; Depr'!T463+Debt!U463+Pat.!K463+Rates!R463</f>
        <v>0</v>
      </c>
      <c r="Y463" s="106">
        <f>+'Regulatory Charge'!S463+Fuel!S463+PCM!T463+Interest!S463+'O&amp;M'!U463+'Capex &amp; Depr'!U463+Debt!V463+Pat.!L463+Rates!S463</f>
        <v>0</v>
      </c>
      <c r="Z463" s="106">
        <f>+'Regulatory Charge'!T463+Fuel!T463+PCM!U463+Interest!T463+'O&amp;M'!V463+'Capex &amp; Depr'!V463+Debt!W463+Pat.!M463+Rates!T463</f>
        <v>0</v>
      </c>
      <c r="AA463" s="106">
        <f>+'Regulatory Charge'!U463+Fuel!U463+PCM!V463+Interest!U463+'O&amp;M'!W463+'Capex &amp; Depr'!W463+Debt!X463+Pat.!N463+Rates!U463</f>
        <v>0</v>
      </c>
      <c r="AB463" s="106">
        <f>+'Regulatory Charge'!V463+Fuel!V463+PCM!W463+Interest!V463+'O&amp;M'!X463+'Capex &amp; Depr'!X463+Debt!Y463+Pat.!O463+Rates!V463</f>
        <v>0</v>
      </c>
      <c r="AC463" s="106">
        <f>+'Regulatory Charge'!W463+Fuel!W463+PCM!X463+Interest!W463+'O&amp;M'!Y463+'Capex &amp; Depr'!Y463+Debt!Z463+Pat.!P463+Rates!W463</f>
        <v>0</v>
      </c>
      <c r="AD463" s="106">
        <f>+'Regulatory Charge'!X463+Fuel!X463+PCM!Y463+Interest!X463+'O&amp;M'!Z463+'Capex &amp; Depr'!Z463+Debt!AA463+Pat.!Q463+Rates!X463</f>
        <v>0</v>
      </c>
      <c r="AE463" s="224">
        <f t="shared" si="2"/>
        <v>0</v>
      </c>
      <c r="AF463" s="106">
        <f>+'Regulatory Charge'!Z463+Fuel!Z463+PCM!AA463+Interest!Z463+'O&amp;M'!AB463+'Capex &amp; Depr'!AB463+Debt!AC463+Pat.!S463+Rates!Z463</f>
        <v>0</v>
      </c>
      <c r="AG463" s="106">
        <f>+'Regulatory Charge'!AA463+Fuel!AA463+PCM!AB463+Interest!AA463+'O&amp;M'!AC463+'Capex &amp; Depr'!AC463+Debt!AD463+Pat.!T463+Rates!AA463</f>
        <v>0</v>
      </c>
      <c r="AH463" s="106">
        <f>+'Regulatory Charge'!AB463+Fuel!AB463+PCM!AC463+Interest!AB463+'O&amp;M'!AD463+'Capex &amp; Depr'!AD463+Debt!AE463+Pat.!U463+Rates!AB463</f>
        <v>0</v>
      </c>
      <c r="AI463" s="106">
        <f>+'Regulatory Charge'!AC463+Fuel!AC463+PCM!AD463+Interest!AC463+'O&amp;M'!AE463+'Capex &amp; Depr'!AE463+Debt!AF463+Pat.!V463+Rates!AC463</f>
        <v>0</v>
      </c>
      <c r="AJ463" s="106">
        <f>+'Regulatory Charge'!AD463+Fuel!AD463+PCM!AE463+Interest!AD463+'O&amp;M'!AF463+'Capex &amp; Depr'!AF463+Debt!AG463+Pat.!W463+Rates!AD463</f>
        <v>0</v>
      </c>
      <c r="AK463" s="106">
        <f>+'Regulatory Charge'!AE463+Fuel!AE463+PCM!AF463+Interest!AE463+'O&amp;M'!AG463+'Capex &amp; Depr'!AG463+Debt!AH463+Pat.!X463+Rates!AE463</f>
        <v>0</v>
      </c>
      <c r="AL463" s="106">
        <f>+'Regulatory Charge'!AF463+Fuel!AF463+PCM!AG463+Interest!AF463+'O&amp;M'!AH463+'Capex &amp; Depr'!AH463+Debt!AI463+Pat.!Y463+Rates!AF463</f>
        <v>0</v>
      </c>
      <c r="AM463" s="106">
        <f>+'Regulatory Charge'!AG463+Fuel!AG463+PCM!AH463+Interest!AG463+'O&amp;M'!AI463+'Capex &amp; Depr'!AI463+Debt!AJ463+Pat.!Z463+Rates!AG463</f>
        <v>0</v>
      </c>
      <c r="AN463" s="106">
        <f>+'Regulatory Charge'!AH463+Fuel!AH463+PCM!AI463+Interest!AH463+'O&amp;M'!AJ463+'Capex &amp; Depr'!AJ463+Debt!AK463+Pat.!AA463+Rates!AH463</f>
        <v>0</v>
      </c>
      <c r="AO463" s="106">
        <f>+'Regulatory Charge'!AI463+Fuel!AI463+PCM!AJ463+Interest!AI463+'O&amp;M'!AK463+'Capex &amp; Depr'!AK463+Debt!AL463+Pat.!AB463+Rates!AI463</f>
        <v>0</v>
      </c>
      <c r="AP463" s="106">
        <f>+'Regulatory Charge'!AJ463+Fuel!AJ463+PCM!AK463+Interest!AJ463+'O&amp;M'!AL463+'Capex &amp; Depr'!AL463+Debt!AM463+Pat.!AC463+Rates!AJ463</f>
        <v>0</v>
      </c>
      <c r="AQ463" s="106">
        <f>+'Regulatory Charge'!AK463+Fuel!AK463+PCM!AL463+Interest!AK463+'O&amp;M'!AM463+'Capex &amp; Depr'!AM463+Debt!AN463+Pat.!AD463+Rates!AK463</f>
        <v>0</v>
      </c>
      <c r="AR463" s="224">
        <f t="shared" si="3"/>
        <v>0</v>
      </c>
      <c r="AS463" s="106">
        <f>+'Regulatory Charge'!AM463+Fuel!AM463+PCM!AN463+Interest!AM463+'O&amp;M'!AO463+'Capex &amp; Depr'!AO463+Debt!AP463+Pat.!AF463+Rates!AM463</f>
        <v>0</v>
      </c>
      <c r="AT463" s="106">
        <f>+'Regulatory Charge'!AN463+Fuel!AN463+PCM!AO463+Interest!AN463+'O&amp;M'!AP463+'Capex &amp; Depr'!AP463+Debt!AQ463+Pat.!AG463+Rates!AN463</f>
        <v>0</v>
      </c>
      <c r="AU463" s="106">
        <f>+'Regulatory Charge'!AO463+Fuel!AO463+PCM!AP463+Interest!AO463+'O&amp;M'!AQ463+'Capex &amp; Depr'!AQ463+Debt!AR463+Pat.!AH463+Rates!AO463</f>
        <v>0</v>
      </c>
      <c r="AV463" s="106">
        <f>+'Regulatory Charge'!AP463+Fuel!AP463+PCM!AQ463+Interest!AP463+'O&amp;M'!AR463+'Capex &amp; Depr'!AR463+Debt!AS463+Pat.!AI463+Rates!AP463</f>
        <v>0</v>
      </c>
      <c r="AW463" s="106">
        <f>+'Regulatory Charge'!AQ463+Fuel!AQ463+PCM!AR463+Interest!AQ463+'O&amp;M'!AS463+'Capex &amp; Depr'!AS463+Debt!AT463+Pat.!AJ463+Rates!AQ463</f>
        <v>0</v>
      </c>
      <c r="AX463" s="106">
        <f>+'Regulatory Charge'!AR463+Fuel!AR463+PCM!AS463+Interest!AR463+'O&amp;M'!AT463+'Capex &amp; Depr'!AT463+Debt!AU463+Pat.!AK463+Rates!AR463</f>
        <v>0</v>
      </c>
      <c r="AY463" s="106">
        <f>+'Regulatory Charge'!AS463+Fuel!AS463+PCM!AT463+Interest!AS463+'O&amp;M'!AU463+'Capex &amp; Depr'!AU463+Debt!AV463+Pat.!AL463+Rates!AS463</f>
        <v>0</v>
      </c>
      <c r="AZ463" s="106">
        <f>+'Regulatory Charge'!AT463+Fuel!AT463+PCM!AU463+Interest!AT463+'O&amp;M'!AV463+'Capex &amp; Depr'!AV463+Debt!AW463+Pat.!AM463+Rates!AT463</f>
        <v>0</v>
      </c>
      <c r="BA463" s="106">
        <f>+'Regulatory Charge'!AU463+Fuel!AU463+PCM!AV463+Interest!AU463+'O&amp;M'!AW463+'Capex &amp; Depr'!AW463+Debt!AX463+Pat.!AN463+Rates!AU463</f>
        <v>0</v>
      </c>
      <c r="BB463" s="106">
        <f>+'Regulatory Charge'!AV463+Fuel!AV463+PCM!AW463+Interest!AV463+'O&amp;M'!AX463+'Capex &amp; Depr'!AX463+Debt!AY463+Pat.!AO463+Rates!AV463</f>
        <v>0</v>
      </c>
      <c r="BC463" s="106">
        <f>+'Regulatory Charge'!AW463+Fuel!AW463+PCM!AX463+Interest!AW463+'O&amp;M'!AY463+'Capex &amp; Depr'!AY463+Debt!AZ463+Pat.!AP463+Rates!AW463</f>
        <v>0</v>
      </c>
      <c r="BD463" s="106"/>
      <c r="BE463" s="106"/>
    </row>
    <row r="464" spans="1:57">
      <c r="A464" s="849" t="s">
        <v>905</v>
      </c>
      <c r="B464" s="846" t="s">
        <v>1014</v>
      </c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297"/>
      <c r="R464" s="224"/>
      <c r="S464" s="106">
        <f>+'Regulatory Charge'!M464+Fuel!M464+PCM!N464+Interest!M464+'O&amp;M'!O464+'Capex &amp; Depr'!O464+Debt!P464+Pat.!F464+Rates!M464</f>
        <v>-13.057759881768906</v>
      </c>
      <c r="T464" s="106">
        <f>+'Regulatory Charge'!N464+Fuel!N464+PCM!O464+Interest!N464+'O&amp;M'!P464+'Capex &amp; Depr'!P464+Debt!Q464+Pat.!G464+Rates!N464</f>
        <v>-11.175042451467311</v>
      </c>
      <c r="U464" s="106">
        <f>+'Regulatory Charge'!O464+Fuel!O464+PCM!P464+Interest!O464+'O&amp;M'!Q464+'Capex &amp; Depr'!Q464+Debt!R464+Pat.!H464+Rates!O464</f>
        <v>-9.8436198424196828</v>
      </c>
      <c r="V464" s="106">
        <f>+'Regulatory Charge'!P464+Fuel!P464+PCM!Q464+Interest!P464+'O&amp;M'!R464+'Capex &amp; Depr'!R464+Debt!S464+Pat.!I464+Rates!P464</f>
        <v>-7.6062418737210011</v>
      </c>
      <c r="W464" s="106">
        <f>+'Regulatory Charge'!Q464+Fuel!Q464+PCM!R464+Interest!Q464+'O&amp;M'!S464+'Capex &amp; Depr'!S464+Debt!T464+Pat.!J464+Rates!Q464</f>
        <v>-8.6463657578305728</v>
      </c>
      <c r="X464" s="106">
        <f>+'Regulatory Charge'!R464+Fuel!R464+PCM!S464+Interest!R464+'O&amp;M'!T464+'Capex &amp; Depr'!T464+Debt!U464+Pat.!K464+Rates!R464</f>
        <v>-11.379588048505315</v>
      </c>
      <c r="Y464" s="106">
        <f>+'Regulatory Charge'!S464+Fuel!S464+PCM!T464+Interest!S464+'O&amp;M'!U464+'Capex &amp; Depr'!U464+Debt!V464+Pat.!L464+Rates!S464</f>
        <v>-12.595806293087865</v>
      </c>
      <c r="Z464" s="106">
        <f>+'Regulatory Charge'!T464+Fuel!T464+PCM!U464+Interest!T464+'O&amp;M'!V464+'Capex &amp; Depr'!V464+Debt!W464+Pat.!M464+Rates!T464</f>
        <v>-14.320490409342494</v>
      </c>
      <c r="AA464" s="106">
        <f>+'Regulatory Charge'!U464+Fuel!U464+PCM!V464+Interest!U464+'O&amp;M'!W464+'Capex &amp; Depr'!W464+Debt!X464+Pat.!N464+Rates!U464</f>
        <v>-13.575183558776084</v>
      </c>
      <c r="AB464" s="106">
        <f>+'Regulatory Charge'!V464+Fuel!V464+PCM!W464+Interest!V464+'O&amp;M'!X464+'Capex &amp; Depr'!X464+Debt!Y464+Pat.!O464+Rates!V464</f>
        <v>-11.210098365531115</v>
      </c>
      <c r="AC464" s="106">
        <f>+'Regulatory Charge'!W464+Fuel!W464+PCM!X464+Interest!W464+'O&amp;M'!Y464+'Capex &amp; Depr'!Y464+Debt!Z464+Pat.!P464+Rates!W464</f>
        <v>-12.796036684434087</v>
      </c>
      <c r="AD464" s="106">
        <f>+'Regulatory Charge'!X464+Fuel!X464+PCM!Y464+Interest!X464+'O&amp;M'!Z464+'Capex &amp; Depr'!Z464+Debt!AA464+Pat.!Q464+Rates!X464</f>
        <v>-17.184114542725979</v>
      </c>
      <c r="AE464" s="224">
        <f t="shared" si="2"/>
        <v>-143.39034770961041</v>
      </c>
      <c r="AF464" s="106">
        <f>+'Regulatory Charge'!Z464+Fuel!Z464+PCM!AA464+Interest!Z464+'O&amp;M'!AB464+'Capex &amp; Depr'!AB464+Debt!AC464+Pat.!S464+Rates!Z464</f>
        <v>-18.52227309742544</v>
      </c>
      <c r="AG464" s="106">
        <f>+'Regulatory Charge'!AA464+Fuel!AA464+PCM!AB464+Interest!AA464+'O&amp;M'!AC464+'Capex &amp; Depr'!AC464+Debt!AD464+Pat.!T464+Rates!AA464</f>
        <v>-16.037562194444828</v>
      </c>
      <c r="AH464" s="106">
        <f>+'Regulatory Charge'!AB464+Fuel!AB464+PCM!AC464+Interest!AB464+'O&amp;M'!AD464+'Capex &amp; Depr'!AD464+Debt!AE464+Pat.!U464+Rates!AB464</f>
        <v>-14.140275886598475</v>
      </c>
      <c r="AI464" s="106">
        <f>+'Regulatory Charge'!AC464+Fuel!AC464+PCM!AD464+Interest!AC464+'O&amp;M'!AE464+'Capex &amp; Depr'!AE464+Debt!AF464+Pat.!V464+Rates!AC464</f>
        <v>-11.130457932869406</v>
      </c>
      <c r="AJ464" s="106">
        <f>+'Regulatory Charge'!AD464+Fuel!AD464+PCM!AE464+Interest!AD464+'O&amp;M'!AF464+'Capex &amp; Depr'!AF464+Debt!AG464+Pat.!W464+Rates!AD464</f>
        <v>-12.597977387842212</v>
      </c>
      <c r="AK464" s="106">
        <f>+'Regulatory Charge'!AE464+Fuel!AE464+PCM!AF464+Interest!AE464+'O&amp;M'!AG464+'Capex &amp; Depr'!AG464+Debt!AH464+Pat.!X464+Rates!AE464</f>
        <v>-16.310171316367253</v>
      </c>
      <c r="AL464" s="106">
        <f>+'Regulatory Charge'!AF464+Fuel!AF464+PCM!AG464+Interest!AF464+'O&amp;M'!AH464+'Capex &amp; Depr'!AH464+Debt!AI464+Pat.!Y464+Rates!AF464</f>
        <v>-17.673143064161607</v>
      </c>
      <c r="AM464" s="106">
        <f>+'Regulatory Charge'!AG464+Fuel!AG464+PCM!AH464+Interest!AG464+'O&amp;M'!AI464+'Capex &amp; Depr'!AI464+Debt!AJ464+Pat.!Z464+Rates!AG464</f>
        <v>-18.218871953312593</v>
      </c>
      <c r="AN464" s="106">
        <f>+'Regulatory Charge'!AH464+Fuel!AH464+PCM!AI464+Interest!AH464+'O&amp;M'!AJ464+'Capex &amp; Depr'!AJ464+Debt!AK464+Pat.!AA464+Rates!AH464</f>
        <v>-14.233134902161908</v>
      </c>
      <c r="AO464" s="106">
        <f>+'Regulatory Charge'!AI464+Fuel!AI464+PCM!AJ464+Interest!AI464+'O&amp;M'!AK464+'Capex &amp; Depr'!AK464+Debt!AL464+Pat.!AB464+Rates!AI464</f>
        <v>-11.73810866521929</v>
      </c>
      <c r="AP464" s="106">
        <f>+'Regulatory Charge'!AJ464+Fuel!AJ464+PCM!AK464+Interest!AJ464+'O&amp;M'!AL464+'Capex &amp; Depr'!AL464+Debt!AM464+Pat.!AC464+Rates!AJ464</f>
        <v>-13.390758116000324</v>
      </c>
      <c r="AQ464" s="106">
        <f>+'Regulatory Charge'!AK464+Fuel!AK464+PCM!AL464+Interest!AK464+'O&amp;M'!AM464+'Capex &amp; Depr'!AM464+Debt!AN464+Pat.!AD464+Rates!AK464</f>
        <v>-17.946481138107945</v>
      </c>
      <c r="AR464" s="224">
        <f t="shared" si="3"/>
        <v>-181.93921565451126</v>
      </c>
      <c r="AS464" s="106">
        <f>+'Regulatory Charge'!AM464+Fuel!AM464+PCM!AN464+Interest!AM464+'O&amp;M'!AO464+'Capex &amp; Depr'!AO464+Debt!AP464+Pat.!AF464+Rates!AM464</f>
        <v>-189.89347165956514</v>
      </c>
      <c r="AT464" s="106">
        <f>+'Regulatory Charge'!AN464+Fuel!AN464+PCM!AO464+Interest!AN464+'O&amp;M'!AP464+'Capex &amp; Depr'!AP464+Debt!AQ464+Pat.!AG464+Rates!AN464</f>
        <v>-198.2682139182354</v>
      </c>
      <c r="AU464" s="106">
        <f>+'Regulatory Charge'!AO464+Fuel!AO464+PCM!AP464+Interest!AO464+'O&amp;M'!AQ464+'Capex &amp; Depr'!AQ464+Debt!AR464+Pat.!AH464+Rates!AO464</f>
        <v>-203.11127013890291</v>
      </c>
      <c r="AV464" s="106">
        <f>+'Regulatory Charge'!AP464+Fuel!AP464+PCM!AQ464+Interest!AP464+'O&amp;M'!AR464+'Capex &amp; Depr'!AR464+Debt!AS464+Pat.!AI464+Rates!AP464</f>
        <v>-207.43817543667325</v>
      </c>
      <c r="AW464" s="106">
        <f>+'Regulatory Charge'!AQ464+Fuel!AQ464+PCM!AR464+Interest!AQ464+'O&amp;M'!AS464+'Capex &amp; Depr'!AS464+Debt!AT464+Pat.!AJ464+Rates!AQ464</f>
        <v>-210.65208338810805</v>
      </c>
      <c r="AX464" s="106">
        <f>+'Regulatory Charge'!AR464+Fuel!AR464+PCM!AS464+Interest!AR464+'O&amp;M'!AT464+'Capex &amp; Depr'!AT464+Debt!AU464+Pat.!AK464+Rates!AR464</f>
        <v>-193.79617455155244</v>
      </c>
      <c r="AY464" s="106">
        <f>+'Regulatory Charge'!AS464+Fuel!AS464+PCM!AT464+Interest!AS464+'O&amp;M'!AU464+'Capex &amp; Depr'!AU464+Debt!AV464+Pat.!AL464+Rates!AS464</f>
        <v>-188.94261744053009</v>
      </c>
      <c r="AZ464" s="106">
        <f>+'Regulatory Charge'!AT464+Fuel!AT464+PCM!AU464+Interest!AT464+'O&amp;M'!AV464+'Capex &amp; Depr'!AV464+Debt!AW464+Pat.!AM464+Rates!AT464</f>
        <v>-194.10868370843573</v>
      </c>
      <c r="BA464" s="106">
        <f>+'Regulatory Charge'!AU464+Fuel!AU464+PCM!AV464+Interest!AU464+'O&amp;M'!AW464+'Capex &amp; Depr'!AW464+Debt!AX464+Pat.!AN464+Rates!AU464</f>
        <v>-210.45088404306804</v>
      </c>
      <c r="BB464" s="106">
        <f>+'Regulatory Charge'!AV464+Fuel!AV464+PCM!AW464+Interest!AV464+'O&amp;M'!AX464+'Capex &amp; Depr'!AX464+Debt!AY464+Pat.!AO464+Rates!AV464</f>
        <v>-223.35483015620756</v>
      </c>
      <c r="BC464" s="106">
        <f>+'Regulatory Charge'!AW464+Fuel!AW464+PCM!AX464+Interest!AW464+'O&amp;M'!AY464+'Capex &amp; Depr'!AY464+Debt!AZ464+Pat.!AP464+Rates!AW464</f>
        <v>-241.4216848094035</v>
      </c>
      <c r="BD464" s="106"/>
      <c r="BE464" s="106"/>
    </row>
    <row r="465" spans="1:57">
      <c r="A465" s="849" t="s">
        <v>908</v>
      </c>
      <c r="B465" s="846" t="s">
        <v>1015</v>
      </c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297"/>
      <c r="R465" s="224"/>
      <c r="S465" s="106">
        <f>+'Regulatory Charge'!M465+Fuel!M465+PCM!N465+Interest!M465+'O&amp;M'!O465+'Capex &amp; Depr'!O465+Debt!P465+Pat.!F465+Rates!M465</f>
        <v>-3.5156708117266082</v>
      </c>
      <c r="T465" s="106">
        <f>+'Regulatory Charge'!N465+Fuel!N465+PCM!O465+Interest!N465+'O&amp;M'!P465+'Capex &amp; Depr'!P465+Debt!Q465+Pat.!G465+Rates!N465</f>
        <v>-3.4033689747513738</v>
      </c>
      <c r="U465" s="106">
        <f>+'Regulatory Charge'!O465+Fuel!O465+PCM!P465+Interest!O465+'O&amp;M'!Q465+'Capex &amp; Depr'!Q465+Debt!R465+Pat.!H465+Rates!O465</f>
        <v>-3.5129445159502044</v>
      </c>
      <c r="V465" s="106">
        <f>+'Regulatory Charge'!P465+Fuel!P465+PCM!Q465+Interest!P465+'O&amp;M'!R465+'Capex &amp; Depr'!R465+Debt!S465+Pat.!I465+Rates!P465</f>
        <v>-3.3720315088678103</v>
      </c>
      <c r="W465" s="106">
        <f>+'Regulatory Charge'!Q465+Fuel!Q465+PCM!R465+Interest!Q465+'O&amp;M'!S465+'Capex &amp; Depr'!S465+Debt!T465+Pat.!J465+Rates!Q465</f>
        <v>-3.4356144519971603</v>
      </c>
      <c r="X465" s="106">
        <f>+'Regulatory Charge'!R465+Fuel!R465+PCM!S465+Interest!R465+'O&amp;M'!T465+'Capex &amp; Depr'!T465+Debt!U465+Pat.!K465+Rates!R465</f>
        <v>-3.4656185323219688</v>
      </c>
      <c r="Y465" s="106">
        <f>+'Regulatory Charge'!S465+Fuel!S465+PCM!T465+Interest!S465+'O&amp;M'!U465+'Capex &amp; Depr'!U465+Debt!V465+Pat.!L465+Rates!S465</f>
        <v>-3.7365293099158259</v>
      </c>
      <c r="Z465" s="106">
        <f>+'Regulatory Charge'!T465+Fuel!T465+PCM!U465+Interest!T465+'O&amp;M'!V465+'Capex &amp; Depr'!V465+Debt!W465+Pat.!M465+Rates!T465</f>
        <v>-4.0224768624321152</v>
      </c>
      <c r="AA465" s="106">
        <f>+'Regulatory Charge'!U465+Fuel!U465+PCM!V465+Interest!U465+'O&amp;M'!W465+'Capex &amp; Depr'!W465+Debt!X465+Pat.!N465+Rates!U465</f>
        <v>-4.4137970250501155</v>
      </c>
      <c r="AB465" s="106">
        <f>+'Regulatory Charge'!V465+Fuel!V465+PCM!W465+Interest!V465+'O&amp;M'!X465+'Capex &amp; Depr'!X465+Debt!Y465+Pat.!O465+Rates!V465</f>
        <v>-4.4703096575328285</v>
      </c>
      <c r="AC465" s="106">
        <f>+'Regulatory Charge'!W465+Fuel!W465+PCM!X465+Interest!W465+'O&amp;M'!Y465+'Capex &amp; Depr'!Y465+Debt!Z465+Pat.!P465+Rates!W465</f>
        <v>-4.4113650515772358</v>
      </c>
      <c r="AD465" s="106">
        <f>+'Regulatory Charge'!X465+Fuel!X465+PCM!Y465+Interest!X465+'O&amp;M'!Z465+'Capex &amp; Depr'!Z465+Debt!AA465+Pat.!Q465+Rates!X465</f>
        <v>-4.5032100310039089</v>
      </c>
      <c r="AE465" s="224">
        <f t="shared" si="2"/>
        <v>-46.262936733127162</v>
      </c>
      <c r="AF465" s="106">
        <f>+'Regulatory Charge'!Z465+Fuel!Z465+PCM!AA465+Interest!Z465+'O&amp;M'!AB465+'Capex &amp; Depr'!AB465+Debt!AC465+Pat.!S465+Rates!Z465</f>
        <v>-4.5684992865942293</v>
      </c>
      <c r="AG465" s="106">
        <f>+'Regulatory Charge'!AA465+Fuel!AA465+PCM!AB465+Interest!AA465+'O&amp;M'!AC465+'Capex &amp; Depr'!AC465+Debt!AD465+Pat.!T465+Rates!AA465</f>
        <v>-4.3948709341666641</v>
      </c>
      <c r="AH465" s="106">
        <f>+'Regulatory Charge'!AB465+Fuel!AB465+PCM!AC465+Interest!AB465+'O&amp;M'!AD465+'Capex &amp; Depr'!AD465+Debt!AE465+Pat.!U465+Rates!AB465</f>
        <v>-4.582523157911143</v>
      </c>
      <c r="AI465" s="106">
        <f>+'Regulatory Charge'!AC465+Fuel!AC465+PCM!AD465+Interest!AC465+'O&amp;M'!AE465+'Capex &amp; Depr'!AE465+Debt!AF465+Pat.!V465+Rates!AC465</f>
        <v>-4.4827602478703108</v>
      </c>
      <c r="AJ465" s="106">
        <f>+'Regulatory Charge'!AD465+Fuel!AD465+PCM!AE465+Interest!AD465+'O&amp;M'!AF465+'Capex &amp; Depr'!AF465+Debt!AG465+Pat.!W465+Rates!AD465</f>
        <v>-4.5452862325675349</v>
      </c>
      <c r="AK465" s="106">
        <f>+'Regulatory Charge'!AE465+Fuel!AE465+PCM!AF465+Interest!AE465+'O&amp;M'!AG465+'Capex &amp; Depr'!AG465+Debt!AH465+Pat.!X465+Rates!AE465</f>
        <v>-4.5170051157388471</v>
      </c>
      <c r="AL465" s="106">
        <f>+'Regulatory Charge'!AF465+Fuel!AF465+PCM!AG465+Interest!AF465+'O&amp;M'!AH465+'Capex &amp; Depr'!AH465+Debt!AI465+Pat.!Y465+Rates!AF465</f>
        <v>-4.8029290686384574</v>
      </c>
      <c r="AM465" s="106">
        <f>+'Regulatory Charge'!AG465+Fuel!AG465+PCM!AH465+Interest!AG465+'O&amp;M'!AI465+'Capex &amp; Depr'!AI465+Debt!AJ465+Pat.!Z465+Rates!AG465</f>
        <v>-4.8186512045844889</v>
      </c>
      <c r="AN465" s="106">
        <f>+'Regulatory Charge'!AH465+Fuel!AH465+PCM!AI465+Interest!AH465+'O&amp;M'!AJ465+'Capex &amp; Depr'!AJ465+Debt!AK465+Pat.!AA465+Rates!AH465</f>
        <v>-4.5861307351288163</v>
      </c>
      <c r="AO465" s="106">
        <f>+'Regulatory Charge'!AI465+Fuel!AI465+PCM!AJ465+Interest!AI465+'O&amp;M'!AK465+'Capex &amp; Depr'!AK465+Debt!AL465+Pat.!AB465+Rates!AI465</f>
        <v>-4.6339626090187576</v>
      </c>
      <c r="AP465" s="106">
        <f>+'Regulatory Charge'!AJ465+Fuel!AJ465+PCM!AK465+Interest!AJ465+'O&amp;M'!AL465+'Capex &amp; Depr'!AL465+Debt!AM465+Pat.!AC465+Rates!AJ465</f>
        <v>-4.5636585178902402</v>
      </c>
      <c r="AQ465" s="106">
        <f>+'Regulatory Charge'!AK465+Fuel!AK465+PCM!AL465+Interest!AK465+'O&amp;M'!AM465+'Capex &amp; Depr'!AM465+Debt!AN465+Pat.!AD465+Rates!AK465</f>
        <v>-4.6476502876021213</v>
      </c>
      <c r="AR465" s="224">
        <f t="shared" si="3"/>
        <v>-55.143927397711614</v>
      </c>
      <c r="AS465" s="106">
        <f>+'Regulatory Charge'!AM465+Fuel!AM465+PCM!AN465+Interest!AM465+'O&amp;M'!AO465+'Capex &amp; Depr'!AO465+Debt!AP465+Pat.!AF465+Rates!AM465</f>
        <v>-57.144739171792679</v>
      </c>
      <c r="AT465" s="106">
        <f>+'Regulatory Charge'!AN465+Fuel!AN465+PCM!AO465+Interest!AN465+'O&amp;M'!AP465+'Capex &amp; Depr'!AP465+Debt!AQ465+Pat.!AG465+Rates!AN465</f>
        <v>-59.162952822158921</v>
      </c>
      <c r="AU465" s="106">
        <f>+'Regulatory Charge'!AO465+Fuel!AO465+PCM!AP465+Interest!AO465+'O&amp;M'!AQ465+'Capex &amp; Depr'!AQ465+Debt!AR465+Pat.!AH465+Rates!AO465</f>
        <v>-59.890869717075248</v>
      </c>
      <c r="AV465" s="106">
        <f>+'Regulatory Charge'!AP465+Fuel!AP465+PCM!AQ465+Interest!AP465+'O&amp;M'!AR465+'Capex &amp; Depr'!AR465+Debt!AS465+Pat.!AI465+Rates!AP465</f>
        <v>-60.69398597714008</v>
      </c>
      <c r="AW465" s="106">
        <f>+'Regulatory Charge'!AQ465+Fuel!AQ465+PCM!AR465+Interest!AQ465+'O&amp;M'!AS465+'Capex &amp; Depr'!AS465+Debt!AT465+Pat.!AJ465+Rates!AQ465</f>
        <v>-61.147352412660872</v>
      </c>
      <c r="AX465" s="106">
        <f>+'Regulatory Charge'!AR465+Fuel!AR465+PCM!AS465+Interest!AR465+'O&amp;M'!AT465+'Capex &amp; Depr'!AT465+Debt!AU465+Pat.!AK465+Rates!AR465</f>
        <v>-56.089233531818763</v>
      </c>
      <c r="AY465" s="106">
        <f>+'Regulatory Charge'!AS465+Fuel!AS465+PCM!AT465+Interest!AS465+'O&amp;M'!AU465+'Capex &amp; Depr'!AU465+Debt!AV465+Pat.!AL465+Rates!AS465</f>
        <v>-54.372507865623305</v>
      </c>
      <c r="AZ465" s="106">
        <f>+'Regulatory Charge'!AT465+Fuel!AT465+PCM!AU465+Interest!AT465+'O&amp;M'!AV465+'Capex &amp; Depr'!AV465+Debt!AW465+Pat.!AM465+Rates!AT465</f>
        <v>-55.400544007877741</v>
      </c>
      <c r="BA465" s="106">
        <f>+'Regulatory Charge'!AU465+Fuel!AU465+PCM!AV465+Interest!AU465+'O&amp;M'!AW465+'Capex &amp; Depr'!AW465+Debt!AX465+Pat.!AN465+Rates!AU465</f>
        <v>-59.438620546533173</v>
      </c>
      <c r="BB465" s="106">
        <f>+'Regulatory Charge'!AV465+Fuel!AV465+PCM!AW465+Interest!AV465+'O&amp;M'!AX465+'Capex &amp; Depr'!AX465+Debt!AY465+Pat.!AO465+Rates!AV465</f>
        <v>-62.271683167563715</v>
      </c>
      <c r="BC465" s="106">
        <f>+'Regulatory Charge'!AW465+Fuel!AW465+PCM!AX465+Interest!AW465+'O&amp;M'!AY465+'Capex &amp; Depr'!AY465+Debt!AZ465+Pat.!AP465+Rates!AW465</f>
        <v>-66.879771144022044</v>
      </c>
      <c r="BD465" s="106"/>
      <c r="BE465" s="106"/>
    </row>
    <row r="466" spans="1:57">
      <c r="A466" s="849" t="s">
        <v>910</v>
      </c>
      <c r="B466" s="846" t="s">
        <v>1016</v>
      </c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297"/>
      <c r="R466" s="224"/>
      <c r="S466" s="106">
        <f>+'Regulatory Charge'!M466+Fuel!M466+PCM!N466+Interest!M466+'O&amp;M'!O466+'Capex &amp; Depr'!O466+Debt!P466+Pat.!F466+Rates!M466</f>
        <v>-31.302548635353432</v>
      </c>
      <c r="T466" s="106">
        <f>+'Regulatory Charge'!N466+Fuel!N466+PCM!O466+Interest!N466+'O&amp;M'!P466+'Capex &amp; Depr'!P466+Debt!Q466+Pat.!G466+Rates!N466</f>
        <v>-28.406341977898503</v>
      </c>
      <c r="U466" s="106">
        <f>+'Regulatory Charge'!O466+Fuel!O466+PCM!P466+Interest!O466+'O&amp;M'!Q466+'Capex &amp; Depr'!Q466+Debt!R466+Pat.!H466+Rates!O466</f>
        <v>-31.430770641146662</v>
      </c>
      <c r="V466" s="106">
        <f>+'Regulatory Charge'!P466+Fuel!P466+PCM!Q466+Interest!P466+'O&amp;M'!R466+'Capex &amp; Depr'!R466+Debt!S466+Pat.!I466+Rates!P466</f>
        <v>-30.369137372917596</v>
      </c>
      <c r="W466" s="106">
        <f>+'Regulatory Charge'!Q466+Fuel!Q466+PCM!R466+Interest!Q466+'O&amp;M'!S466+'Capex &amp; Depr'!S466+Debt!T466+Pat.!J466+Rates!Q466</f>
        <v>-31.420061519813377</v>
      </c>
      <c r="X466" s="106">
        <f>+'Regulatory Charge'!R466+Fuel!R466+PCM!S466+Interest!R466+'O&amp;M'!T466+'Capex &amp; Depr'!T466+Debt!U466+Pat.!K466+Rates!R466</f>
        <v>-30.513083821220032</v>
      </c>
      <c r="Y466" s="106">
        <f>+'Regulatory Charge'!S466+Fuel!S466+PCM!T466+Interest!S466+'O&amp;M'!U466+'Capex &amp; Depr'!U466+Debt!V466+Pat.!L466+Rates!S466</f>
        <v>-31.435465171242569</v>
      </c>
      <c r="Z466" s="106">
        <f>+'Regulatory Charge'!T466+Fuel!T466+PCM!U466+Interest!T466+'O&amp;M'!V466+'Capex &amp; Depr'!V466+Debt!W466+Pat.!M466+Rates!T466</f>
        <v>-25.124410387725945</v>
      </c>
      <c r="AA466" s="106">
        <f>+'Regulatory Charge'!U466+Fuel!U466+PCM!V466+Interest!U466+'O&amp;M'!W466+'Capex &amp; Depr'!W466+Debt!X466+Pat.!N466+Rates!U466</f>
        <v>-15.526997651414833</v>
      </c>
      <c r="AB466" s="106">
        <f>+'Regulatory Charge'!V466+Fuel!V466+PCM!W466+Interest!V466+'O&amp;M'!X466+'Capex &amp; Depr'!X466+Debt!Y466+Pat.!O466+Rates!V466</f>
        <v>-15.967745180173109</v>
      </c>
      <c r="AC466" s="106">
        <f>+'Regulatory Charge'!W466+Fuel!W466+PCM!X466+Interest!W466+'O&amp;M'!Y466+'Capex &amp; Depr'!Y466+Debt!Z466+Pat.!P466+Rates!W466</f>
        <v>-15.423111034530711</v>
      </c>
      <c r="AD466" s="106">
        <f>+'Regulatory Charge'!X466+Fuel!X466+PCM!Y466+Interest!X466+'O&amp;M'!Z466+'Capex &amp; Depr'!Z466+Debt!AA466+Pat.!Q466+Rates!X466</f>
        <v>-15.886075512189516</v>
      </c>
      <c r="AE466" s="224">
        <f t="shared" si="2"/>
        <v>-302.80574890562627</v>
      </c>
      <c r="AF466" s="106">
        <f>+'Regulatory Charge'!Z466+Fuel!Z466+PCM!AA466+Interest!Z466+'O&amp;M'!AB466+'Capex &amp; Depr'!AB466+Debt!AC466+Pat.!S466+Rates!Z466</f>
        <v>-15.981769773553385</v>
      </c>
      <c r="AG466" s="106">
        <f>+'Regulatory Charge'!AA466+Fuel!AA466+PCM!AB466+Interest!AA466+'O&amp;M'!AC466+'Capex &amp; Depr'!AC466+Debt!AD466+Pat.!T466+Rates!AA466</f>
        <v>-14.513285808720671</v>
      </c>
      <c r="AH466" s="106">
        <f>+'Regulatory Charge'!AB466+Fuel!AB466+PCM!AC466+Interest!AB466+'O&amp;M'!AD466+'Capex &amp; Depr'!AD466+Debt!AE466+Pat.!U466+Rates!AB466</f>
        <v>-16.060667574088264</v>
      </c>
      <c r="AI466" s="106">
        <f>+'Regulatory Charge'!AC466+Fuel!AC466+PCM!AD466+Interest!AC466+'O&amp;M'!AE466+'Capex &amp; Depr'!AE466+Debt!AF466+Pat.!V466+Rates!AC466</f>
        <v>-15.656326123772493</v>
      </c>
      <c r="AJ466" s="106">
        <f>+'Regulatory Charge'!AD466+Fuel!AD466+PCM!AE466+Interest!AD466+'O&amp;M'!AF466+'Capex &amp; Depr'!AF466+Debt!AG466+Pat.!W466+Rates!AD466</f>
        <v>-16.176813809708246</v>
      </c>
      <c r="AK466" s="106">
        <f>+'Regulatory Charge'!AE466+Fuel!AE466+PCM!AF466+Interest!AE466+'O&amp;M'!AG466+'Capex &amp; Depr'!AG466+Debt!AH466+Pat.!X466+Rates!AE466</f>
        <v>-15.703873973846431</v>
      </c>
      <c r="AL466" s="106">
        <f>+'Regulatory Charge'!AF466+Fuel!AF466+PCM!AG466+Interest!AF466+'O&amp;M'!AH466+'Capex &amp; Depr'!AH466+Debt!AI466+Pat.!Y466+Rates!AF466</f>
        <v>-16.209942823029593</v>
      </c>
      <c r="AM466" s="106">
        <f>+'Regulatory Charge'!AG466+Fuel!AG466+PCM!AH466+Interest!AG466+'O&amp;M'!AI466+'Capex &amp; Depr'!AI466+Debt!AJ466+Pat.!Z466+Rates!AG466</f>
        <v>-16.342498657794454</v>
      </c>
      <c r="AN466" s="106">
        <f>+'Regulatory Charge'!AH466+Fuel!AH466+PCM!AI466+Interest!AH466+'O&amp;M'!AJ466+'Capex &amp; Depr'!AJ466+Debt!AK466+Pat.!AA466+Rates!AH466</f>
        <v>-15.998424364761151</v>
      </c>
      <c r="AO466" s="106">
        <f>+'Regulatory Charge'!AI466+Fuel!AI466+PCM!AJ466+Interest!AI466+'O&amp;M'!AK466+'Capex &amp; Depr'!AK466+Debt!AL466+Pat.!AB466+Rates!AI466</f>
        <v>-16.41011894732101</v>
      </c>
      <c r="AP466" s="106">
        <f>+'Regulatory Charge'!AJ466+Fuel!AJ466+PCM!AK466+Interest!AJ466+'O&amp;M'!AL466+'Capex &amp; Depr'!AL466+Debt!AM466+Pat.!AC466+Rates!AJ466</f>
        <v>-15.824692622606834</v>
      </c>
      <c r="AQ466" s="106">
        <f>+'Regulatory Charge'!AK466+Fuel!AK466+PCM!AL466+Interest!AK466+'O&amp;M'!AM466+'Capex &amp; Depr'!AM466+Debt!AN466+Pat.!AD466+Rates!AK466</f>
        <v>-16.263953126367372</v>
      </c>
      <c r="AR466" s="224">
        <f t="shared" si="3"/>
        <v>-191.14236760556992</v>
      </c>
      <c r="AS466" s="106">
        <f>+'Regulatory Charge'!AM466+Fuel!AM466+PCM!AN466+Interest!AM466+'O&amp;M'!AO466+'Capex &amp; Depr'!AO466+Debt!AP466+Pat.!AF466+Rates!AM466</f>
        <v>-199.62313740427879</v>
      </c>
      <c r="AT466" s="106">
        <f>+'Regulatory Charge'!AN466+Fuel!AN466+PCM!AO466+Interest!AN466+'O&amp;M'!AP466+'Capex &amp; Depr'!AP466+Debt!AQ466+Pat.!AG466+Rates!AN466</f>
        <v>-205.7529572786253</v>
      </c>
      <c r="AU466" s="106">
        <f>+'Regulatory Charge'!AO466+Fuel!AO466+PCM!AP466+Interest!AO466+'O&amp;M'!AQ466+'Capex &amp; Depr'!AQ466+Debt!AR466+Pat.!AH466+Rates!AO466</f>
        <v>-211.2775575918331</v>
      </c>
      <c r="AV466" s="106">
        <f>+'Regulatory Charge'!AP466+Fuel!AP466+PCM!AQ466+Interest!AP466+'O&amp;M'!AR466+'Capex &amp; Depr'!AR466+Debt!AS466+Pat.!AI466+Rates!AP466</f>
        <v>-217.10206713828808</v>
      </c>
      <c r="AW466" s="106">
        <f>+'Regulatory Charge'!AQ466+Fuel!AQ466+PCM!AR466+Interest!AQ466+'O&amp;M'!AS466+'Capex &amp; Depr'!AS466+Debt!AT466+Pat.!AJ466+Rates!AQ466</f>
        <v>-204.9523694967809</v>
      </c>
      <c r="AX466" s="106">
        <f>+'Regulatory Charge'!AR466+Fuel!AR466+PCM!AS466+Interest!AR466+'O&amp;M'!AT466+'Capex &amp; Depr'!AT466+Debt!AU466+Pat.!AK466+Rates!AR466</f>
        <v>-183.78709913824244</v>
      </c>
      <c r="AY466" s="106">
        <f>+'Regulatory Charge'!AS466+Fuel!AS466+PCM!AT466+Interest!AS466+'O&amp;M'!AU466+'Capex &amp; Depr'!AU466+Debt!AV466+Pat.!AL466+Rates!AS466</f>
        <v>-176.00991538217545</v>
      </c>
      <c r="AZ466" s="106">
        <f>+'Regulatory Charge'!AT466+Fuel!AT466+PCM!AU466+Interest!AT466+'O&amp;M'!AV466+'Capex &amp; Depr'!AV466+Debt!AW466+Pat.!AM466+Rates!AT466</f>
        <v>-178.75890446641077</v>
      </c>
      <c r="BA466" s="106">
        <f>+'Regulatory Charge'!AU466+Fuel!AU466+PCM!AV466+Interest!AU466+'O&amp;M'!AW466+'Capex &amp; Depr'!AW466+Debt!AX466+Pat.!AN466+Rates!AU466</f>
        <v>-193.84874472931259</v>
      </c>
      <c r="BB466" s="106">
        <f>+'Regulatory Charge'!AV466+Fuel!AV466+PCM!AW466+Interest!AV466+'O&amp;M'!AX466+'Capex &amp; Depr'!AX466+Debt!AY466+Pat.!AO466+Rates!AV466</f>
        <v>-205.37146364900789</v>
      </c>
      <c r="BC466" s="106">
        <f>+'Regulatory Charge'!AW466+Fuel!AW466+PCM!AX466+Interest!AW466+'O&amp;M'!AY466+'Capex &amp; Depr'!AY466+Debt!AZ466+Pat.!AP466+Rates!AW466</f>
        <v>-221.14433922399863</v>
      </c>
      <c r="BD466" s="106"/>
      <c r="BE466" s="106"/>
    </row>
    <row r="467" spans="1:57">
      <c r="A467" s="849" t="s">
        <v>645</v>
      </c>
      <c r="B467" s="846" t="s">
        <v>911</v>
      </c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297"/>
      <c r="R467" s="224"/>
      <c r="S467" s="106">
        <f>+'Regulatory Charge'!M467+Fuel!M467+PCM!N467+Interest!M467+'O&amp;M'!O467+'Capex &amp; Depr'!O467+Debt!P467+Pat.!F467+Rates!M467</f>
        <v>0</v>
      </c>
      <c r="T467" s="106">
        <f>+'Regulatory Charge'!N467+Fuel!N467+PCM!O467+Interest!N467+'O&amp;M'!P467+'Capex &amp; Depr'!P467+Debt!Q467+Pat.!G467+Rates!N467</f>
        <v>0</v>
      </c>
      <c r="U467" s="106">
        <f>+'Regulatory Charge'!O467+Fuel!O467+PCM!P467+Interest!O467+'O&amp;M'!Q467+'Capex &amp; Depr'!Q467+Debt!R467+Pat.!H467+Rates!O467</f>
        <v>0</v>
      </c>
      <c r="V467" s="106">
        <f>+'Regulatory Charge'!P467+Fuel!P467+PCM!Q467+Interest!P467+'O&amp;M'!R467+'Capex &amp; Depr'!R467+Debt!S467+Pat.!I467+Rates!P467</f>
        <v>0</v>
      </c>
      <c r="W467" s="106">
        <f>+'Regulatory Charge'!Q467+Fuel!Q467+PCM!R467+Interest!Q467+'O&amp;M'!S467+'Capex &amp; Depr'!S467+Debt!T467+Pat.!J467+Rates!Q467</f>
        <v>0</v>
      </c>
      <c r="X467" s="106">
        <f>+'Regulatory Charge'!R467+Fuel!R467+PCM!S467+Interest!R467+'O&amp;M'!T467+'Capex &amp; Depr'!T467+Debt!U467+Pat.!K467+Rates!R467</f>
        <v>0</v>
      </c>
      <c r="Y467" s="106">
        <f>+'Regulatory Charge'!S467+Fuel!S467+PCM!T467+Interest!S467+'O&amp;M'!U467+'Capex &amp; Depr'!U467+Debt!V467+Pat.!L467+Rates!S467</f>
        <v>0</v>
      </c>
      <c r="Z467" s="106">
        <f>+'Regulatory Charge'!T467+Fuel!T467+PCM!U467+Interest!T467+'O&amp;M'!V467+'Capex &amp; Depr'!V467+Debt!W467+Pat.!M467+Rates!T467</f>
        <v>0</v>
      </c>
      <c r="AA467" s="106">
        <f>+'Regulatory Charge'!U467+Fuel!U467+PCM!V467+Interest!U467+'O&amp;M'!W467+'Capex &amp; Depr'!W467+Debt!X467+Pat.!N467+Rates!U467</f>
        <v>0</v>
      </c>
      <c r="AB467" s="106">
        <f>+'Regulatory Charge'!V467+Fuel!V467+PCM!W467+Interest!V467+'O&amp;M'!X467+'Capex &amp; Depr'!X467+Debt!Y467+Pat.!O467+Rates!V467</f>
        <v>0</v>
      </c>
      <c r="AC467" s="106">
        <f>+'Regulatory Charge'!W467+Fuel!W467+PCM!X467+Interest!W467+'O&amp;M'!Y467+'Capex &amp; Depr'!Y467+Debt!Z467+Pat.!P467+Rates!W467</f>
        <v>0</v>
      </c>
      <c r="AD467" s="106">
        <f>+'Regulatory Charge'!X467+Fuel!X467+PCM!Y467+Interest!X467+'O&amp;M'!Z467+'Capex &amp; Depr'!Z467+Debt!AA467+Pat.!Q467+Rates!X467</f>
        <v>0</v>
      </c>
      <c r="AE467" s="224">
        <f t="shared" si="2"/>
        <v>0</v>
      </c>
      <c r="AF467" s="106">
        <f>+'Regulatory Charge'!Z467+Fuel!Z467+PCM!AA467+Interest!Z467+'O&amp;M'!AB467+'Capex &amp; Depr'!AB467+Debt!AC467+Pat.!S467+Rates!Z467</f>
        <v>0</v>
      </c>
      <c r="AG467" s="106">
        <f>+'Regulatory Charge'!AA467+Fuel!AA467+PCM!AB467+Interest!AA467+'O&amp;M'!AC467+'Capex &amp; Depr'!AC467+Debt!AD467+Pat.!T467+Rates!AA467</f>
        <v>0</v>
      </c>
      <c r="AH467" s="106">
        <f>+'Regulatory Charge'!AB467+Fuel!AB467+PCM!AC467+Interest!AB467+'O&amp;M'!AD467+'Capex &amp; Depr'!AD467+Debt!AE467+Pat.!U467+Rates!AB467</f>
        <v>0</v>
      </c>
      <c r="AI467" s="106">
        <f>+'Regulatory Charge'!AC467+Fuel!AC467+PCM!AD467+Interest!AC467+'O&amp;M'!AE467+'Capex &amp; Depr'!AE467+Debt!AF467+Pat.!V467+Rates!AC467</f>
        <v>0</v>
      </c>
      <c r="AJ467" s="106">
        <f>+'Regulatory Charge'!AD467+Fuel!AD467+PCM!AE467+Interest!AD467+'O&amp;M'!AF467+'Capex &amp; Depr'!AF467+Debt!AG467+Pat.!W467+Rates!AD467</f>
        <v>0</v>
      </c>
      <c r="AK467" s="106">
        <f>+'Regulatory Charge'!AE467+Fuel!AE467+PCM!AF467+Interest!AE467+'O&amp;M'!AG467+'Capex &amp; Depr'!AG467+Debt!AH467+Pat.!X467+Rates!AE467</f>
        <v>0</v>
      </c>
      <c r="AL467" s="106">
        <f>+'Regulatory Charge'!AF467+Fuel!AF467+PCM!AG467+Interest!AF467+'O&amp;M'!AH467+'Capex &amp; Depr'!AH467+Debt!AI467+Pat.!Y467+Rates!AF467</f>
        <v>0</v>
      </c>
      <c r="AM467" s="106">
        <f>+'Regulatory Charge'!AG467+Fuel!AG467+PCM!AH467+Interest!AG467+'O&amp;M'!AI467+'Capex &amp; Depr'!AI467+Debt!AJ467+Pat.!Z467+Rates!AG467</f>
        <v>0</v>
      </c>
      <c r="AN467" s="106">
        <f>+'Regulatory Charge'!AH467+Fuel!AH467+PCM!AI467+Interest!AH467+'O&amp;M'!AJ467+'Capex &amp; Depr'!AJ467+Debt!AK467+Pat.!AA467+Rates!AH467</f>
        <v>0</v>
      </c>
      <c r="AO467" s="106">
        <f>+'Regulatory Charge'!AI467+Fuel!AI467+PCM!AJ467+Interest!AI467+'O&amp;M'!AK467+'Capex &amp; Depr'!AK467+Debt!AL467+Pat.!AB467+Rates!AI467</f>
        <v>0</v>
      </c>
      <c r="AP467" s="106">
        <f>+'Regulatory Charge'!AJ467+Fuel!AJ467+PCM!AK467+Interest!AJ467+'O&amp;M'!AL467+'Capex &amp; Depr'!AL467+Debt!AM467+Pat.!AC467+Rates!AJ467</f>
        <v>0</v>
      </c>
      <c r="AQ467" s="106">
        <f>+'Regulatory Charge'!AK467+Fuel!AK467+PCM!AL467+Interest!AK467+'O&amp;M'!AM467+'Capex &amp; Depr'!AM467+Debt!AN467+Pat.!AD467+Rates!AK467</f>
        <v>0</v>
      </c>
      <c r="AR467" s="224">
        <f t="shared" si="3"/>
        <v>0</v>
      </c>
      <c r="AS467" s="106">
        <f>+'Regulatory Charge'!AM467+Fuel!AM467+PCM!AN467+Interest!AM467+'O&amp;M'!AO467+'Capex &amp; Depr'!AO467+Debt!AP467+Pat.!AF467+Rates!AM467</f>
        <v>0</v>
      </c>
      <c r="AT467" s="106">
        <f>+'Regulatory Charge'!AN467+Fuel!AN467+PCM!AO467+Interest!AN467+'O&amp;M'!AP467+'Capex &amp; Depr'!AP467+Debt!AQ467+Pat.!AG467+Rates!AN467</f>
        <v>0</v>
      </c>
      <c r="AU467" s="106">
        <f>+'Regulatory Charge'!AO467+Fuel!AO467+PCM!AP467+Interest!AO467+'O&amp;M'!AQ467+'Capex &amp; Depr'!AQ467+Debt!AR467+Pat.!AH467+Rates!AO467</f>
        <v>0</v>
      </c>
      <c r="AV467" s="106">
        <f>+'Regulatory Charge'!AP467+Fuel!AP467+PCM!AQ467+Interest!AP467+'O&amp;M'!AR467+'Capex &amp; Depr'!AR467+Debt!AS467+Pat.!AI467+Rates!AP467</f>
        <v>0</v>
      </c>
      <c r="AW467" s="106">
        <f>+'Regulatory Charge'!AQ467+Fuel!AQ467+PCM!AR467+Interest!AQ467+'O&amp;M'!AS467+'Capex &amp; Depr'!AS467+Debt!AT467+Pat.!AJ467+Rates!AQ467</f>
        <v>0</v>
      </c>
      <c r="AX467" s="106">
        <f>+'Regulatory Charge'!AR467+Fuel!AR467+PCM!AS467+Interest!AR467+'O&amp;M'!AT467+'Capex &amp; Depr'!AT467+Debt!AU467+Pat.!AK467+Rates!AR467</f>
        <v>0</v>
      </c>
      <c r="AY467" s="106">
        <f>+'Regulatory Charge'!AS467+Fuel!AS467+PCM!AT467+Interest!AS467+'O&amp;M'!AU467+'Capex &amp; Depr'!AU467+Debt!AV467+Pat.!AL467+Rates!AS467</f>
        <v>0</v>
      </c>
      <c r="AZ467" s="106">
        <f>+'Regulatory Charge'!AT467+Fuel!AT467+PCM!AU467+Interest!AT467+'O&amp;M'!AV467+'Capex &amp; Depr'!AV467+Debt!AW467+Pat.!AM467+Rates!AT467</f>
        <v>0</v>
      </c>
      <c r="BA467" s="106">
        <f>+'Regulatory Charge'!AU467+Fuel!AU467+PCM!AV467+Interest!AU467+'O&amp;M'!AW467+'Capex &amp; Depr'!AW467+Debt!AX467+Pat.!AN467+Rates!AU467</f>
        <v>0</v>
      </c>
      <c r="BB467" s="106">
        <f>+'Regulatory Charge'!AV467+Fuel!AV467+PCM!AW467+Interest!AV467+'O&amp;M'!AX467+'Capex &amp; Depr'!AX467+Debt!AY467+Pat.!AO467+Rates!AV467</f>
        <v>0</v>
      </c>
      <c r="BC467" s="106">
        <f>+'Regulatory Charge'!AW467+Fuel!AW467+PCM!AX467+Interest!AW467+'O&amp;M'!AY467+'Capex &amp; Depr'!AY467+Debt!AZ467+Pat.!AP467+Rates!AW467</f>
        <v>0</v>
      </c>
      <c r="BD467" s="106"/>
      <c r="BE467" s="106"/>
    </row>
    <row r="468" spans="1:57">
      <c r="A468" s="849">
        <v>447.24200000000002</v>
      </c>
      <c r="B468" s="846" t="s">
        <v>916</v>
      </c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297"/>
      <c r="R468" s="224"/>
      <c r="S468" s="106">
        <f>+'Regulatory Charge'!M468+Fuel!M468+PCM!N468+Interest!M468+'O&amp;M'!O468+'Capex &amp; Depr'!O468+Debt!P468+Pat.!F468+Rates!M468</f>
        <v>-3.5832022533844055</v>
      </c>
      <c r="T468" s="106">
        <f>+'Regulatory Charge'!N468+Fuel!N468+PCM!O468+Interest!N468+'O&amp;M'!P468+'Capex &amp; Depr'!P468+Debt!Q468+Pat.!G468+Rates!N468</f>
        <v>-3.3714956045813005</v>
      </c>
      <c r="U468" s="106">
        <f>+'Regulatory Charge'!O468+Fuel!O468+PCM!P468+Interest!O468+'O&amp;M'!Q468+'Capex &amp; Depr'!Q468+Debt!R468+Pat.!H468+Rates!O468</f>
        <v>-3.9447198841739168</v>
      </c>
      <c r="V468" s="106">
        <f>+'Regulatory Charge'!P468+Fuel!P468+PCM!Q468+Interest!P468+'O&amp;M'!R468+'Capex &amp; Depr'!R468+Debt!S468+Pat.!I468+Rates!P468</f>
        <v>-2.4615969789114112</v>
      </c>
      <c r="W468" s="106">
        <f>+'Regulatory Charge'!Q468+Fuel!Q468+PCM!R468+Interest!Q468+'O&amp;M'!S468+'Capex &amp; Depr'!S468+Debt!T468+Pat.!J468+Rates!Q468</f>
        <v>-1.9742129510805424</v>
      </c>
      <c r="X468" s="106">
        <f>+'Regulatory Charge'!R468+Fuel!R468+PCM!S468+Interest!R468+'O&amp;M'!T468+'Capex &amp; Depr'!T468+Debt!U468+Pat.!K468+Rates!R468</f>
        <v>-1.9839802552353518</v>
      </c>
      <c r="Y468" s="106">
        <f>+'Regulatory Charge'!S468+Fuel!S468+PCM!T468+Interest!S468+'O&amp;M'!U468+'Capex &amp; Depr'!U468+Debt!V468+Pat.!L468+Rates!S468</f>
        <v>-3.4172134995957673</v>
      </c>
      <c r="Z468" s="106">
        <f>+'Regulatory Charge'!T468+Fuel!T468+PCM!U468+Interest!T468+'O&amp;M'!V468+'Capex &amp; Depr'!V468+Debt!W468+Pat.!M468+Rates!T468</f>
        <v>-6.5409816462873076</v>
      </c>
      <c r="AA468" s="106">
        <f>+'Regulatory Charge'!U468+Fuel!U468+PCM!V468+Interest!U468+'O&amp;M'!W468+'Capex &amp; Depr'!W468+Debt!X468+Pat.!N468+Rates!U468</f>
        <v>-4.6731979653710018</v>
      </c>
      <c r="AB468" s="106">
        <f>+'Regulatory Charge'!V468+Fuel!V468+PCM!W468+Interest!V468+'O&amp;M'!X468+'Capex &amp; Depr'!X468+Debt!Y468+Pat.!O468+Rates!V468</f>
        <v>-6.8936346099604453</v>
      </c>
      <c r="AC468" s="106">
        <f>+'Regulatory Charge'!W468+Fuel!W468+PCM!X468+Interest!W468+'O&amp;M'!Y468+'Capex &amp; Depr'!Y468+Debt!Z468+Pat.!P468+Rates!W468</f>
        <v>-5.7948949477747211</v>
      </c>
      <c r="AD468" s="106">
        <f>+'Regulatory Charge'!X468+Fuel!X468+PCM!Y468+Interest!X468+'O&amp;M'!Z468+'Capex &amp; Depr'!Z468+Debt!AA468+Pat.!Q468+Rates!X468</f>
        <v>-4.7089354599070559</v>
      </c>
      <c r="AE468" s="224">
        <f t="shared" si="2"/>
        <v>-49.348066056263221</v>
      </c>
      <c r="AF468" s="106">
        <f>+'Regulatory Charge'!Z468+Fuel!Z468+PCM!AA468+Interest!Z468+'O&amp;M'!AB468+'Capex &amp; Depr'!AB468+Debt!AC468+Pat.!S468+Rates!Z468</f>
        <v>-5.7566989981360068</v>
      </c>
      <c r="AG468" s="106">
        <f>+'Regulatory Charge'!AA468+Fuel!AA468+PCM!AB468+Interest!AA468+'O&amp;M'!AC468+'Capex &amp; Depr'!AC468+Debt!AD468+Pat.!T468+Rates!AA468</f>
        <v>-5.2967042770114903</v>
      </c>
      <c r="AH468" s="106">
        <f>+'Regulatory Charge'!AB468+Fuel!AB468+PCM!AC468+Interest!AB468+'O&amp;M'!AD468+'Capex &amp; Depr'!AD468+Debt!AE468+Pat.!U468+Rates!AB468</f>
        <v>-3.8270949399697463</v>
      </c>
      <c r="AI468" s="106">
        <f>+'Regulatory Charge'!AC468+Fuel!AC468+PCM!AD468+Interest!AC468+'O&amp;M'!AE468+'Capex &amp; Depr'!AE468+Debt!AF468+Pat.!V468+Rates!AC468</f>
        <v>-3.5831114882960575</v>
      </c>
      <c r="AJ468" s="106">
        <f>+'Regulatory Charge'!AD468+Fuel!AD468+PCM!AE468+Interest!AD468+'O&amp;M'!AF468+'Capex &amp; Depr'!AF468+Debt!AG468+Pat.!W468+Rates!AD468</f>
        <v>-3.3177176280984106</v>
      </c>
      <c r="AK468" s="106">
        <f>+'Regulatory Charge'!AE468+Fuel!AE468+PCM!AF468+Interest!AE468+'O&amp;M'!AG468+'Capex &amp; Depr'!AG468+Debt!AH468+Pat.!X468+Rates!AE468</f>
        <v>-4.1394084150745902</v>
      </c>
      <c r="AL468" s="106">
        <f>+'Regulatory Charge'!AF468+Fuel!AF468+PCM!AG468+Interest!AF468+'O&amp;M'!AH468+'Capex &amp; Depr'!AH468+Debt!AI468+Pat.!Y468+Rates!AF468</f>
        <v>-4.1009745028856948</v>
      </c>
      <c r="AM468" s="106">
        <f>+'Regulatory Charge'!AG468+Fuel!AG468+PCM!AH468+Interest!AG468+'O&amp;M'!AI468+'Capex &amp; Depr'!AI468+Debt!AJ468+Pat.!Z468+Rates!AG468</f>
        <v>-4.1266500839949272</v>
      </c>
      <c r="AN468" s="106">
        <f>+'Regulatory Charge'!AH468+Fuel!AH468+PCM!AI468+Interest!AH468+'O&amp;M'!AJ468+'Capex &amp; Depr'!AJ468+Debt!AK468+Pat.!AA468+Rates!AH468</f>
        <v>-4.625795757196026</v>
      </c>
      <c r="AO468" s="106">
        <f>+'Regulatory Charge'!AI468+Fuel!AI468+PCM!AJ468+Interest!AI468+'O&amp;M'!AK468+'Capex &amp; Depr'!AK468+Debt!AL468+Pat.!AB468+Rates!AI468</f>
        <v>-6.9088881393163701</v>
      </c>
      <c r="AP468" s="106">
        <f>+'Regulatory Charge'!AJ468+Fuel!AJ468+PCM!AK468+Interest!AJ468+'O&amp;M'!AL468+'Capex &amp; Depr'!AL468+Debt!AM468+Pat.!AC468+Rates!AJ468</f>
        <v>-5.7656739052663459</v>
      </c>
      <c r="AQ468" s="106">
        <f>+'Regulatory Charge'!AK468+Fuel!AK468+PCM!AL468+Interest!AK468+'O&amp;M'!AM468+'Capex &amp; Depr'!AM468+Debt!AN468+Pat.!AD468+Rates!AK468</f>
        <v>-4.5455792902488623</v>
      </c>
      <c r="AR468" s="224">
        <f t="shared" si="3"/>
        <v>-55.994297425494523</v>
      </c>
      <c r="AS468" s="106">
        <f>+'Regulatory Charge'!AM468+Fuel!AM468+PCM!AN468+Interest!AM468+'O&amp;M'!AO468+'Capex &amp; Depr'!AO468+Debt!AP468+Pat.!AF468+Rates!AM468</f>
        <v>-58.736209835812559</v>
      </c>
      <c r="AT468" s="106">
        <f>+'Regulatory Charge'!AN468+Fuel!AN468+PCM!AO468+Interest!AN468+'O&amp;M'!AP468+'Capex &amp; Depr'!AP468+Debt!AQ468+Pat.!AG468+Rates!AN468</f>
        <v>-57.872900048375776</v>
      </c>
      <c r="AU468" s="106">
        <f>+'Regulatory Charge'!AO468+Fuel!AO468+PCM!AP468+Interest!AO468+'O&amp;M'!AQ468+'Capex &amp; Depr'!AQ468+Debt!AR468+Pat.!AH468+Rates!AO468</f>
        <v>-59.135910536332723</v>
      </c>
      <c r="AV468" s="106">
        <f>+'Regulatory Charge'!AP468+Fuel!AP468+PCM!AQ468+Interest!AP468+'O&amp;M'!AR468+'Capex &amp; Depr'!AR468+Debt!AS468+Pat.!AI468+Rates!AP468</f>
        <v>-64.595536280598083</v>
      </c>
      <c r="AW468" s="106">
        <f>+'Regulatory Charge'!AQ468+Fuel!AQ468+PCM!AR468+Interest!AQ468+'O&amp;M'!AS468+'Capex &amp; Depr'!AS468+Debt!AT468+Pat.!AJ468+Rates!AQ468</f>
        <v>-231.54893638856259</v>
      </c>
      <c r="AX468" s="106">
        <f>+'Regulatory Charge'!AR468+Fuel!AR468+PCM!AS468+Interest!AR468+'O&amp;M'!AT468+'Capex &amp; Depr'!AT468+Debt!AU468+Pat.!AK468+Rates!AR468</f>
        <v>-324.33297923495741</v>
      </c>
      <c r="AY468" s="106">
        <f>+'Regulatory Charge'!AS468+Fuel!AS468+PCM!AT468+Interest!AS468+'O&amp;M'!AU468+'Capex &amp; Depr'!AU468+Debt!AV468+Pat.!AL468+Rates!AS468</f>
        <v>-348.02709461864919</v>
      </c>
      <c r="AZ468" s="106">
        <f>+'Regulatory Charge'!AT468+Fuel!AT468+PCM!AU468+Interest!AT468+'O&amp;M'!AV468+'Capex &amp; Depr'!AV468+Debt!AW468+Pat.!AM468+Rates!AT468</f>
        <v>-373.92693574530119</v>
      </c>
      <c r="BA468" s="106">
        <f>+'Regulatory Charge'!AU468+Fuel!AU468+PCM!AV468+Interest!AU468+'O&amp;M'!AW468+'Capex &amp; Depr'!AW468+Debt!AX468+Pat.!AN468+Rates!AU468</f>
        <v>-349.96812270278002</v>
      </c>
      <c r="BB468" s="106">
        <f>+'Regulatory Charge'!AV468+Fuel!AV468+PCM!AW468+Interest!AV468+'O&amp;M'!AX468+'Capex &amp; Depr'!AX468+Debt!AY468+Pat.!AO468+Rates!AV468</f>
        <v>-361.8305305149529</v>
      </c>
      <c r="BC468" s="106">
        <f>+'Regulatory Charge'!AW468+Fuel!AW468+PCM!AX468+Interest!AW468+'O&amp;M'!AY468+'Capex &amp; Depr'!AY468+Debt!AZ468+Pat.!AP468+Rates!AW468</f>
        <v>-352.51002671368315</v>
      </c>
      <c r="BD468" s="106"/>
      <c r="BE468" s="106"/>
    </row>
    <row r="469" spans="1:57">
      <c r="A469" s="849" t="s">
        <v>0</v>
      </c>
      <c r="B469" s="846" t="s">
        <v>1</v>
      </c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224"/>
      <c r="S469" s="106">
        <f>+'Regulatory Charge'!M469+Fuel!M469+PCM!N469+Interest!M469+'O&amp;M'!O469+'Capex &amp; Depr'!O469+Debt!P469+Pat.!F469+Rates!M469</f>
        <v>-2E-3</v>
      </c>
      <c r="T469" s="106">
        <f>+'Regulatory Charge'!N469+Fuel!N469+PCM!O469+Interest!N469+'O&amp;M'!P469+'Capex &amp; Depr'!P469+Debt!Q469+Pat.!G469+Rates!N469</f>
        <v>-2E-3</v>
      </c>
      <c r="U469" s="106">
        <f>+'Regulatory Charge'!O469+Fuel!O469+PCM!P469+Interest!O469+'O&amp;M'!Q469+'Capex &amp; Depr'!Q469+Debt!R469+Pat.!H469+Rates!O469</f>
        <v>-2E-3</v>
      </c>
      <c r="V469" s="106">
        <f>+'Regulatory Charge'!P469+Fuel!P469+PCM!Q469+Interest!P469+'O&amp;M'!R469+'Capex &amp; Depr'!R469+Debt!S469+Pat.!I469+Rates!P469</f>
        <v>-2E-3</v>
      </c>
      <c r="W469" s="106">
        <f>+'Regulatory Charge'!Q469+Fuel!Q469+PCM!R469+Interest!Q469+'O&amp;M'!S469+'Capex &amp; Depr'!S469+Debt!T469+Pat.!J469+Rates!Q469</f>
        <v>-2E-3</v>
      </c>
      <c r="X469" s="106">
        <f>+'Regulatory Charge'!R469+Fuel!R469+PCM!S469+Interest!R469+'O&amp;M'!T469+'Capex &amp; Depr'!T469+Debt!U469+Pat.!K469+Rates!R469</f>
        <v>-2E-3</v>
      </c>
      <c r="Y469" s="106">
        <f>+'Regulatory Charge'!S469+Fuel!S469+PCM!T469+Interest!S469+'O&amp;M'!U469+'Capex &amp; Depr'!U469+Debt!V469+Pat.!L469+Rates!S469</f>
        <v>-2E-3</v>
      </c>
      <c r="Z469" s="106">
        <f>+'Regulatory Charge'!T469+Fuel!T469+PCM!U469+Interest!T469+'O&amp;M'!V469+'Capex &amp; Depr'!V469+Debt!W469+Pat.!M469+Rates!T469</f>
        <v>-2E-3</v>
      </c>
      <c r="AA469" s="106">
        <f>+'Regulatory Charge'!U469+Fuel!U469+PCM!V469+Interest!U469+'O&amp;M'!W469+'Capex &amp; Depr'!W469+Debt!X469+Pat.!N469+Rates!U469</f>
        <v>-2E-3</v>
      </c>
      <c r="AB469" s="106">
        <f>+'Regulatory Charge'!V469+Fuel!V469+PCM!W469+Interest!V469+'O&amp;M'!X469+'Capex &amp; Depr'!X469+Debt!Y469+Pat.!O469+Rates!V469</f>
        <v>-2E-3</v>
      </c>
      <c r="AC469" s="106">
        <f>+'Regulatory Charge'!W469+Fuel!W469+PCM!X469+Interest!W469+'O&amp;M'!Y469+'Capex &amp; Depr'!Y469+Debt!Z469+Pat.!P469+Rates!W469</f>
        <v>-2E-3</v>
      </c>
      <c r="AD469" s="106">
        <f>+'Regulatory Charge'!X469+Fuel!X469+PCM!Y469+Interest!X469+'O&amp;M'!Z469+'Capex &amp; Depr'!Z469+Debt!AA469+Pat.!Q469+Rates!X469</f>
        <v>-2E-3</v>
      </c>
      <c r="AE469" s="224">
        <f t="shared" si="2"/>
        <v>-2.4000000000000007E-2</v>
      </c>
      <c r="AF469" s="106">
        <f>+'Regulatory Charge'!Z469+Fuel!Z469+PCM!AA469+Interest!Z469+'O&amp;M'!AB469+'Capex &amp; Depr'!AB469+Debt!AC469+Pat.!S469+Rates!Z469</f>
        <v>-2E-3</v>
      </c>
      <c r="AG469" s="106">
        <f>+'Regulatory Charge'!AA469+Fuel!AA469+PCM!AB469+Interest!AA469+'O&amp;M'!AC469+'Capex &amp; Depr'!AC469+Debt!AD469+Pat.!T469+Rates!AA469</f>
        <v>-2E-3</v>
      </c>
      <c r="AH469" s="106">
        <f>+'Regulatory Charge'!AB469+Fuel!AB469+PCM!AC469+Interest!AB469+'O&amp;M'!AD469+'Capex &amp; Depr'!AD469+Debt!AE469+Pat.!U469+Rates!AB469</f>
        <v>-2E-3</v>
      </c>
      <c r="AI469" s="106">
        <f>+'Regulatory Charge'!AC469+Fuel!AC469+PCM!AD469+Interest!AC469+'O&amp;M'!AE469+'Capex &amp; Depr'!AE469+Debt!AF469+Pat.!V469+Rates!AC469</f>
        <v>-2E-3</v>
      </c>
      <c r="AJ469" s="106">
        <f>+'Regulatory Charge'!AD469+Fuel!AD469+PCM!AE469+Interest!AD469+'O&amp;M'!AF469+'Capex &amp; Depr'!AF469+Debt!AG469+Pat.!W469+Rates!AD469</f>
        <v>-2E-3</v>
      </c>
      <c r="AK469" s="106">
        <f>+'Regulatory Charge'!AE469+Fuel!AE469+PCM!AF469+Interest!AE469+'O&amp;M'!AG469+'Capex &amp; Depr'!AG469+Debt!AH469+Pat.!X469+Rates!AE469</f>
        <v>-2E-3</v>
      </c>
      <c r="AL469" s="106">
        <f>+'Regulatory Charge'!AF469+Fuel!AF469+PCM!AG469+Interest!AF469+'O&amp;M'!AH469+'Capex &amp; Depr'!AH469+Debt!AI469+Pat.!Y469+Rates!AF469</f>
        <v>-2E-3</v>
      </c>
      <c r="AM469" s="106">
        <f>+'Regulatory Charge'!AG469+Fuel!AG469+PCM!AH469+Interest!AG469+'O&amp;M'!AI469+'Capex &amp; Depr'!AI469+Debt!AJ469+Pat.!Z469+Rates!AG469</f>
        <v>-2E-3</v>
      </c>
      <c r="AN469" s="106">
        <f>+'Regulatory Charge'!AH469+Fuel!AH469+PCM!AI469+Interest!AH469+'O&amp;M'!AJ469+'Capex &amp; Depr'!AJ469+Debt!AK469+Pat.!AA469+Rates!AH469</f>
        <v>-2E-3</v>
      </c>
      <c r="AO469" s="106">
        <f>+'Regulatory Charge'!AI469+Fuel!AI469+PCM!AJ469+Interest!AI469+'O&amp;M'!AK469+'Capex &amp; Depr'!AK469+Debt!AL469+Pat.!AB469+Rates!AI469</f>
        <v>-2E-3</v>
      </c>
      <c r="AP469" s="106">
        <f>+'Regulatory Charge'!AJ469+Fuel!AJ469+PCM!AK469+Interest!AJ469+'O&amp;M'!AL469+'Capex &amp; Depr'!AL469+Debt!AM469+Pat.!AC469+Rates!AJ469</f>
        <v>-2E-3</v>
      </c>
      <c r="AQ469" s="106">
        <f>+'Regulatory Charge'!AK469+Fuel!AK469+PCM!AL469+Interest!AK469+'O&amp;M'!AM469+'Capex &amp; Depr'!AM469+Debt!AN469+Pat.!AD469+Rates!AK469</f>
        <v>-2E-3</v>
      </c>
      <c r="AR469" s="224">
        <f t="shared" si="3"/>
        <v>-2.4000000000000007E-2</v>
      </c>
      <c r="AS469" s="106">
        <f>+'Regulatory Charge'!AM469+Fuel!AM469+PCM!AN469+Interest!AM469+'O&amp;M'!AO469+'Capex &amp; Depr'!AO469+Debt!AP469+Pat.!AF469+Rates!AM469</f>
        <v>-2.4E-2</v>
      </c>
      <c r="AT469" s="106">
        <f>+'Regulatory Charge'!AN469+Fuel!AN469+PCM!AO469+Interest!AN469+'O&amp;M'!AP469+'Capex &amp; Depr'!AP469+Debt!AQ469+Pat.!AG469+Rates!AN469</f>
        <v>-2.4E-2</v>
      </c>
      <c r="AU469" s="106">
        <f>+'Regulatory Charge'!AO469+Fuel!AO469+PCM!AP469+Interest!AO469+'O&amp;M'!AQ469+'Capex &amp; Depr'!AQ469+Debt!AR469+Pat.!AH469+Rates!AO469</f>
        <v>-2.4E-2</v>
      </c>
      <c r="AV469" s="106">
        <f>+'Regulatory Charge'!AP469+Fuel!AP469+PCM!AQ469+Interest!AP469+'O&amp;M'!AR469+'Capex &amp; Depr'!AR469+Debt!AS469+Pat.!AI469+Rates!AP469</f>
        <v>-2.4E-2</v>
      </c>
      <c r="AW469" s="106">
        <f>+'Regulatory Charge'!AQ469+Fuel!AQ469+PCM!AR469+Interest!AQ469+'O&amp;M'!AS469+'Capex &amp; Depr'!AS469+Debt!AT469+Pat.!AJ469+Rates!AQ469</f>
        <v>-2.4E-2</v>
      </c>
      <c r="AX469" s="106">
        <f>+'Regulatory Charge'!AR469+Fuel!AR469+PCM!AS469+Interest!AR469+'O&amp;M'!AT469+'Capex &amp; Depr'!AT469+Debt!AU469+Pat.!AK469+Rates!AR469</f>
        <v>-2.4E-2</v>
      </c>
      <c r="AY469" s="106">
        <f>+'Regulatory Charge'!AS469+Fuel!AS469+PCM!AT469+Interest!AS469+'O&amp;M'!AU469+'Capex &amp; Depr'!AU469+Debt!AV469+Pat.!AL469+Rates!AS469</f>
        <v>-2.4E-2</v>
      </c>
      <c r="AZ469" s="106">
        <f>+'Regulatory Charge'!AT469+Fuel!AT469+PCM!AU469+Interest!AT469+'O&amp;M'!AV469+'Capex &amp; Depr'!AV469+Debt!AW469+Pat.!AM469+Rates!AT469</f>
        <v>-2.4E-2</v>
      </c>
      <c r="BA469" s="106">
        <f>+'Regulatory Charge'!AU469+Fuel!AU469+PCM!AV469+Interest!AU469+'O&amp;M'!AW469+'Capex &amp; Depr'!AW469+Debt!AX469+Pat.!AN469+Rates!AU469</f>
        <v>-2.4E-2</v>
      </c>
      <c r="BB469" s="106">
        <f>+'Regulatory Charge'!AV469+Fuel!AV469+PCM!AW469+Interest!AV469+'O&amp;M'!AX469+'Capex &amp; Depr'!AX469+Debt!AY469+Pat.!AO469+Rates!AV469</f>
        <v>-2.4E-2</v>
      </c>
      <c r="BC469" s="106">
        <f>+'Regulatory Charge'!AW469+Fuel!AW469+PCM!AX469+Interest!AW469+'O&amp;M'!AY469+'Capex &amp; Depr'!AY469+Debt!AZ469+Pat.!AP469+Rates!AW469</f>
        <v>-2.4E-2</v>
      </c>
      <c r="BD469" s="106"/>
      <c r="BE469" s="106"/>
    </row>
    <row r="470" spans="1:57">
      <c r="A470" s="849" t="s">
        <v>2</v>
      </c>
      <c r="B470" s="846" t="s">
        <v>37</v>
      </c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224"/>
      <c r="S470" s="106">
        <f>+'Regulatory Charge'!M470+Fuel!M470+PCM!N470+Interest!M470+'O&amp;M'!O470+'Capex &amp; Depr'!O470+Debt!P470+Pat.!F470+Rates!M470</f>
        <v>-6.0000000000000001E-3</v>
      </c>
      <c r="T470" s="106">
        <f>+'Regulatory Charge'!N470+Fuel!N470+PCM!O470+Interest!N470+'O&amp;M'!P470+'Capex &amp; Depr'!P470+Debt!Q470+Pat.!G470+Rates!N470</f>
        <v>-1.5E-3</v>
      </c>
      <c r="U470" s="106">
        <f>+'Regulatory Charge'!O470+Fuel!O470+PCM!P470+Interest!O470+'O&amp;M'!Q470+'Capex &amp; Depr'!Q470+Debt!R470+Pat.!H470+Rates!O470</f>
        <v>-1.5E-3</v>
      </c>
      <c r="V470" s="106">
        <f>+'Regulatory Charge'!P470+Fuel!P470+PCM!Q470+Interest!P470+'O&amp;M'!R470+'Capex &amp; Depr'!R470+Debt!S470+Pat.!I470+Rates!P470</f>
        <v>-1.5E-3</v>
      </c>
      <c r="W470" s="106">
        <f>+'Regulatory Charge'!Q470+Fuel!Q470+PCM!R470+Interest!Q470+'O&amp;M'!S470+'Capex &amp; Depr'!S470+Debt!T470+Pat.!J470+Rates!Q470</f>
        <v>-1.5E-3</v>
      </c>
      <c r="X470" s="106">
        <f>+'Regulatory Charge'!R470+Fuel!R470+PCM!S470+Interest!R470+'O&amp;M'!T470+'Capex &amp; Depr'!T470+Debt!U470+Pat.!K470+Rates!R470</f>
        <v>-1.5E-3</v>
      </c>
      <c r="Y470" s="106">
        <f>+'Regulatory Charge'!S470+Fuel!S470+PCM!T470+Interest!S470+'O&amp;M'!U470+'Capex &amp; Depr'!U470+Debt!V470+Pat.!L470+Rates!S470</f>
        <v>-1.5E-3</v>
      </c>
      <c r="Z470" s="106">
        <f>+'Regulatory Charge'!T470+Fuel!T470+PCM!U470+Interest!T470+'O&amp;M'!V470+'Capex &amp; Depr'!V470+Debt!W470+Pat.!M470+Rates!T470</f>
        <v>-1.5E-3</v>
      </c>
      <c r="AA470" s="106">
        <f>+'Regulatory Charge'!U470+Fuel!U470+PCM!V470+Interest!U470+'O&amp;M'!W470+'Capex &amp; Depr'!W470+Debt!X470+Pat.!N470+Rates!U470</f>
        <v>-1.5E-3</v>
      </c>
      <c r="AB470" s="106">
        <f>+'Regulatory Charge'!V470+Fuel!V470+PCM!W470+Interest!V470+'O&amp;M'!X470+'Capex &amp; Depr'!X470+Debt!Y470+Pat.!O470+Rates!V470</f>
        <v>-1.5E-3</v>
      </c>
      <c r="AC470" s="106">
        <f>+'Regulatory Charge'!W470+Fuel!W470+PCM!X470+Interest!W470+'O&amp;M'!Y470+'Capex &amp; Depr'!Y470+Debt!Z470+Pat.!P470+Rates!W470</f>
        <v>-1.5E-3</v>
      </c>
      <c r="AD470" s="106">
        <f>+'Regulatory Charge'!X470+Fuel!X470+PCM!Y470+Interest!X470+'O&amp;M'!Z470+'Capex &amp; Depr'!Z470+Debt!AA470+Pat.!Q470+Rates!X470</f>
        <v>-1.5E-3</v>
      </c>
      <c r="AE470" s="224">
        <f t="shared" si="2"/>
        <v>-2.2500000000000003E-2</v>
      </c>
      <c r="AF470" s="106">
        <f>+'Regulatory Charge'!Z470+Fuel!Z470+PCM!AA470+Interest!Z470+'O&amp;M'!AB470+'Capex &amp; Depr'!AB470+Debt!AC470+Pat.!S470+Rates!Z470</f>
        <v>-6.0000000000000001E-3</v>
      </c>
      <c r="AG470" s="106">
        <f>+'Regulatory Charge'!AA470+Fuel!AA470+PCM!AB470+Interest!AA470+'O&amp;M'!AC470+'Capex &amp; Depr'!AC470+Debt!AD470+Pat.!T470+Rates!AA470</f>
        <v>-1.5E-3</v>
      </c>
      <c r="AH470" s="106">
        <f>+'Regulatory Charge'!AB470+Fuel!AB470+PCM!AC470+Interest!AB470+'O&amp;M'!AD470+'Capex &amp; Depr'!AD470+Debt!AE470+Pat.!U470+Rates!AB470</f>
        <v>-1.5E-3</v>
      </c>
      <c r="AI470" s="106">
        <f>+'Regulatory Charge'!AC470+Fuel!AC470+PCM!AD470+Interest!AC470+'O&amp;M'!AE470+'Capex &amp; Depr'!AE470+Debt!AF470+Pat.!V470+Rates!AC470</f>
        <v>-1.5E-3</v>
      </c>
      <c r="AJ470" s="106">
        <f>+'Regulatory Charge'!AD470+Fuel!AD470+PCM!AE470+Interest!AD470+'O&amp;M'!AF470+'Capex &amp; Depr'!AF470+Debt!AG470+Pat.!W470+Rates!AD470</f>
        <v>-1.5E-3</v>
      </c>
      <c r="AK470" s="106">
        <f>+'Regulatory Charge'!AE470+Fuel!AE470+PCM!AF470+Interest!AE470+'O&amp;M'!AG470+'Capex &amp; Depr'!AG470+Debt!AH470+Pat.!X470+Rates!AE470</f>
        <v>-1.5E-3</v>
      </c>
      <c r="AL470" s="106">
        <f>+'Regulatory Charge'!AF470+Fuel!AF470+PCM!AG470+Interest!AF470+'O&amp;M'!AH470+'Capex &amp; Depr'!AH470+Debt!AI470+Pat.!Y470+Rates!AF470</f>
        <v>-1.5E-3</v>
      </c>
      <c r="AM470" s="106">
        <f>+'Regulatory Charge'!AG470+Fuel!AG470+PCM!AH470+Interest!AG470+'O&amp;M'!AI470+'Capex &amp; Depr'!AI470+Debt!AJ470+Pat.!Z470+Rates!AG470</f>
        <v>-1.5E-3</v>
      </c>
      <c r="AN470" s="106">
        <f>+'Regulatory Charge'!AH470+Fuel!AH470+PCM!AI470+Interest!AH470+'O&amp;M'!AJ470+'Capex &amp; Depr'!AJ470+Debt!AK470+Pat.!AA470+Rates!AH470</f>
        <v>-1.5E-3</v>
      </c>
      <c r="AO470" s="106">
        <f>+'Regulatory Charge'!AI470+Fuel!AI470+PCM!AJ470+Interest!AI470+'O&amp;M'!AK470+'Capex &amp; Depr'!AK470+Debt!AL470+Pat.!AB470+Rates!AI470</f>
        <v>-1.5E-3</v>
      </c>
      <c r="AP470" s="106">
        <f>+'Regulatory Charge'!AJ470+Fuel!AJ470+PCM!AK470+Interest!AJ470+'O&amp;M'!AL470+'Capex &amp; Depr'!AL470+Debt!AM470+Pat.!AC470+Rates!AJ470</f>
        <v>-1.5E-3</v>
      </c>
      <c r="AQ470" s="106">
        <f>+'Regulatory Charge'!AK470+Fuel!AK470+PCM!AL470+Interest!AK470+'O&amp;M'!AM470+'Capex &amp; Depr'!AM470+Debt!AN470+Pat.!AD470+Rates!AK470</f>
        <v>-1.5E-3</v>
      </c>
      <c r="AR470" s="224">
        <f t="shared" si="3"/>
        <v>-2.2500000000000003E-2</v>
      </c>
      <c r="AS470" s="106">
        <f>+'Regulatory Charge'!AM470+Fuel!AM470+PCM!AN470+Interest!AM470+'O&amp;M'!AO470+'Capex &amp; Depr'!AO470+Debt!AP470+Pat.!AF470+Rates!AM470</f>
        <v>-2.2499999999999999E-2</v>
      </c>
      <c r="AT470" s="106">
        <f>+'Regulatory Charge'!AN470+Fuel!AN470+PCM!AO470+Interest!AN470+'O&amp;M'!AP470+'Capex &amp; Depr'!AP470+Debt!AQ470+Pat.!AG470+Rates!AN470</f>
        <v>-2.2499999999999999E-2</v>
      </c>
      <c r="AU470" s="106">
        <f>+'Regulatory Charge'!AO470+Fuel!AO470+PCM!AP470+Interest!AO470+'O&amp;M'!AQ470+'Capex &amp; Depr'!AQ470+Debt!AR470+Pat.!AH470+Rates!AO470</f>
        <v>-2.3175000000000001E-2</v>
      </c>
      <c r="AV470" s="106">
        <f>+'Regulatory Charge'!AP470+Fuel!AP470+PCM!AQ470+Interest!AP470+'O&amp;M'!AR470+'Capex &amp; Depr'!AR470+Debt!AS470+Pat.!AI470+Rates!AP470</f>
        <v>-2.3870250000000003E-2</v>
      </c>
      <c r="AW470" s="106">
        <f>+'Regulatory Charge'!AQ470+Fuel!AQ470+PCM!AR470+Interest!AQ470+'O&amp;M'!AS470+'Capex &amp; Depr'!AS470+Debt!AT470+Pat.!AJ470+Rates!AQ470</f>
        <v>-2.4586357500000003E-2</v>
      </c>
      <c r="AX470" s="106">
        <f>+'Regulatory Charge'!AR470+Fuel!AR470+PCM!AS470+Interest!AR470+'O&amp;M'!AT470+'Capex &amp; Depr'!AT470+Debt!AU470+Pat.!AK470+Rates!AR470</f>
        <v>-2.5323948225000004E-2</v>
      </c>
      <c r="AY470" s="106">
        <f>+'Regulatory Charge'!AS470+Fuel!AS470+PCM!AT470+Interest!AS470+'O&amp;M'!AU470+'Capex &amp; Depr'!AU470+Debt!AV470+Pat.!AL470+Rates!AS470</f>
        <v>-2.6083666671750005E-2</v>
      </c>
      <c r="AZ470" s="106">
        <f>+'Regulatory Charge'!AT470+Fuel!AT470+PCM!AU470+Interest!AT470+'O&amp;M'!AV470+'Capex &amp; Depr'!AV470+Debt!AW470+Pat.!AM470+Rates!AT470</f>
        <v>-2.6866176671902504E-2</v>
      </c>
      <c r="BA470" s="106">
        <f>+'Regulatory Charge'!AU470+Fuel!AU470+PCM!AV470+Interest!AU470+'O&amp;M'!AW470+'Capex &amp; Depr'!AW470+Debt!AX470+Pat.!AN470+Rates!AU470</f>
        <v>-2.7672161972059579E-2</v>
      </c>
      <c r="BB470" s="106">
        <f>+'Regulatory Charge'!AV470+Fuel!AV470+PCM!AW470+Interest!AV470+'O&amp;M'!AX470+'Capex &amp; Depr'!AX470+Debt!AY470+Pat.!AO470+Rates!AV470</f>
        <v>-2.8502326831221367E-2</v>
      </c>
      <c r="BC470" s="106">
        <f>+'Regulatory Charge'!AW470+Fuel!AW470+PCM!AX470+Interest!AW470+'O&amp;M'!AY470+'Capex &amp; Depr'!AY470+Debt!AZ470+Pat.!AP470+Rates!AW470</f>
        <v>-2.9357396636158009E-2</v>
      </c>
      <c r="BD470" s="106"/>
      <c r="BE470" s="106"/>
    </row>
    <row r="471" spans="1:57">
      <c r="A471" s="849" t="s">
        <v>38</v>
      </c>
      <c r="B471" s="846" t="s">
        <v>39</v>
      </c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224"/>
      <c r="S471" s="106">
        <f>+'Regulatory Charge'!M471+Fuel!M471+PCM!N471+Interest!M471+'O&amp;M'!O471+'Capex &amp; Depr'!O471+Debt!P471+Pat.!F471+Rates!M471</f>
        <v>-0.30416700000000002</v>
      </c>
      <c r="T471" s="106">
        <f>+'Regulatory Charge'!N471+Fuel!N471+PCM!O471+Interest!N471+'O&amp;M'!P471+'Capex &amp; Depr'!P471+Debt!Q471+Pat.!G471+Rates!N471</f>
        <v>-0.30416700000000002</v>
      </c>
      <c r="U471" s="106">
        <f>+'Regulatory Charge'!O471+Fuel!O471+PCM!P471+Interest!O471+'O&amp;M'!Q471+'Capex &amp; Depr'!Q471+Debt!R471+Pat.!H471+Rates!O471</f>
        <v>-0.30416700000000002</v>
      </c>
      <c r="V471" s="106">
        <f>+'Regulatory Charge'!P471+Fuel!P471+PCM!Q471+Interest!P471+'O&amp;M'!R471+'Capex &amp; Depr'!R471+Debt!S471+Pat.!I471+Rates!P471</f>
        <v>-0.30416700000000002</v>
      </c>
      <c r="W471" s="106">
        <f>+'Regulatory Charge'!Q471+Fuel!Q471+PCM!R471+Interest!Q471+'O&amp;M'!S471+'Capex &amp; Depr'!S471+Debt!T471+Pat.!J471+Rates!Q471</f>
        <v>-0.30416700000000002</v>
      </c>
      <c r="X471" s="106">
        <f>+'Regulatory Charge'!R471+Fuel!R471+PCM!S471+Interest!R471+'O&amp;M'!T471+'Capex &amp; Depr'!T471+Debt!U471+Pat.!K471+Rates!R471</f>
        <v>-0.30416700000000002</v>
      </c>
      <c r="Y471" s="106">
        <f>+'Regulatory Charge'!S471+Fuel!S471+PCM!T471+Interest!S471+'O&amp;M'!U471+'Capex &amp; Depr'!U471+Debt!V471+Pat.!L471+Rates!S471</f>
        <v>-0.30416700000000002</v>
      </c>
      <c r="Z471" s="106">
        <f>+'Regulatory Charge'!T471+Fuel!T471+PCM!U471+Interest!T471+'O&amp;M'!V471+'Capex &amp; Depr'!V471+Debt!W471+Pat.!M471+Rates!T471</f>
        <v>-0.30416700000000002</v>
      </c>
      <c r="AA471" s="106">
        <f>+'Regulatory Charge'!U471+Fuel!U471+PCM!V471+Interest!U471+'O&amp;M'!W471+'Capex &amp; Depr'!W471+Debt!X471+Pat.!N471+Rates!U471</f>
        <v>-0.30416700000000002</v>
      </c>
      <c r="AB471" s="106">
        <f>+'Regulatory Charge'!V471+Fuel!V471+PCM!W471+Interest!V471+'O&amp;M'!X471+'Capex &amp; Depr'!X471+Debt!Y471+Pat.!O471+Rates!V471</f>
        <v>-0.30416700000000002</v>
      </c>
      <c r="AC471" s="106">
        <f>+'Regulatory Charge'!W471+Fuel!W471+PCM!X471+Interest!W471+'O&amp;M'!Y471+'Capex &amp; Depr'!Y471+Debt!Z471+Pat.!P471+Rates!W471</f>
        <v>-0.30416700000000002</v>
      </c>
      <c r="AD471" s="106">
        <f>+'Regulatory Charge'!X471+Fuel!X471+PCM!Y471+Interest!X471+'O&amp;M'!Z471+'Capex &amp; Depr'!Z471+Debt!AA471+Pat.!Q471+Rates!X471</f>
        <v>-0.30416300000000002</v>
      </c>
      <c r="AE471" s="224">
        <f t="shared" si="2"/>
        <v>-3.6500000000000004</v>
      </c>
      <c r="AF471" s="106">
        <f>+'Regulatory Charge'!Z471+Fuel!Z471+PCM!AA471+Interest!Z471+'O&amp;M'!AB471+'Capex &amp; Depr'!AB471+Debt!AC471+Pat.!S471+Rates!Z471</f>
        <v>-0.30416700000000002</v>
      </c>
      <c r="AG471" s="106">
        <f>+'Regulatory Charge'!AA471+Fuel!AA471+PCM!AB471+Interest!AA471+'O&amp;M'!AC471+'Capex &amp; Depr'!AC471+Debt!AD471+Pat.!T471+Rates!AA471</f>
        <v>-0.30416700000000002</v>
      </c>
      <c r="AH471" s="106">
        <f>+'Regulatory Charge'!AB471+Fuel!AB471+PCM!AC471+Interest!AB471+'O&amp;M'!AD471+'Capex &amp; Depr'!AD471+Debt!AE471+Pat.!U471+Rates!AB471</f>
        <v>-0.30416700000000002</v>
      </c>
      <c r="AI471" s="106">
        <f>+'Regulatory Charge'!AC471+Fuel!AC471+PCM!AD471+Interest!AC471+'O&amp;M'!AE471+'Capex &amp; Depr'!AE471+Debt!AF471+Pat.!V471+Rates!AC471</f>
        <v>-0.30416700000000002</v>
      </c>
      <c r="AJ471" s="106">
        <f>+'Regulatory Charge'!AD471+Fuel!AD471+PCM!AE471+Interest!AD471+'O&amp;M'!AF471+'Capex &amp; Depr'!AF471+Debt!AG471+Pat.!W471+Rates!AD471</f>
        <v>-0.30416700000000002</v>
      </c>
      <c r="AK471" s="106">
        <f>+'Regulatory Charge'!AE471+Fuel!AE471+PCM!AF471+Interest!AE471+'O&amp;M'!AG471+'Capex &amp; Depr'!AG471+Debt!AH471+Pat.!X471+Rates!AE471</f>
        <v>-0.30416700000000002</v>
      </c>
      <c r="AL471" s="106">
        <f>+'Regulatory Charge'!AF471+Fuel!AF471+PCM!AG471+Interest!AF471+'O&amp;M'!AH471+'Capex &amp; Depr'!AH471+Debt!AI471+Pat.!Y471+Rates!AF471</f>
        <v>-0.30416700000000002</v>
      </c>
      <c r="AM471" s="106">
        <f>+'Regulatory Charge'!AG471+Fuel!AG471+PCM!AH471+Interest!AG471+'O&amp;M'!AI471+'Capex &amp; Depr'!AI471+Debt!AJ471+Pat.!Z471+Rates!AG471</f>
        <v>-0.30416700000000002</v>
      </c>
      <c r="AN471" s="106">
        <f>+'Regulatory Charge'!AH471+Fuel!AH471+PCM!AI471+Interest!AH471+'O&amp;M'!AJ471+'Capex &amp; Depr'!AJ471+Debt!AK471+Pat.!AA471+Rates!AH471</f>
        <v>-0.30416700000000002</v>
      </c>
      <c r="AO471" s="106">
        <f>+'Regulatory Charge'!AI471+Fuel!AI471+PCM!AJ471+Interest!AI471+'O&amp;M'!AK471+'Capex &amp; Depr'!AK471+Debt!AL471+Pat.!AB471+Rates!AI471</f>
        <v>-0.30416700000000002</v>
      </c>
      <c r="AP471" s="106">
        <f>+'Regulatory Charge'!AJ471+Fuel!AJ471+PCM!AK471+Interest!AJ471+'O&amp;M'!AL471+'Capex &amp; Depr'!AL471+Debt!AM471+Pat.!AC471+Rates!AJ471</f>
        <v>-0.30416700000000002</v>
      </c>
      <c r="AQ471" s="106">
        <f>+'Regulatory Charge'!AK471+Fuel!AK471+PCM!AL471+Interest!AK471+'O&amp;M'!AM471+'Capex &amp; Depr'!AM471+Debt!AN471+Pat.!AD471+Rates!AK471</f>
        <v>-0.30416300000000002</v>
      </c>
      <c r="AR471" s="224">
        <f t="shared" si="3"/>
        <v>-3.6500000000000004</v>
      </c>
      <c r="AS471" s="106">
        <f>+'Regulatory Charge'!AM471+Fuel!AM471+PCM!AN471+Interest!AM471+'O&amp;M'!AO471+'Capex &amp; Depr'!AO471+Debt!AP471+Pat.!AF471+Rates!AM471</f>
        <v>-3.65</v>
      </c>
      <c r="AT471" s="106">
        <f>+'Regulatory Charge'!AN471+Fuel!AN471+PCM!AO471+Interest!AN471+'O&amp;M'!AP471+'Capex &amp; Depr'!AP471+Debt!AQ471+Pat.!AG471+Rates!AN471</f>
        <v>-3.65</v>
      </c>
      <c r="AU471" s="106">
        <f>+'Regulatory Charge'!AO471+Fuel!AO471+PCM!AP471+Interest!AO471+'O&amp;M'!AQ471+'Capex &amp; Depr'!AQ471+Debt!AR471+Pat.!AH471+Rates!AO471</f>
        <v>-3.65</v>
      </c>
      <c r="AV471" s="106">
        <f>+'Regulatory Charge'!AP471+Fuel!AP471+PCM!AQ471+Interest!AP471+'O&amp;M'!AR471+'Capex &amp; Depr'!AR471+Debt!AS471+Pat.!AI471+Rates!AP471</f>
        <v>-3.65</v>
      </c>
      <c r="AW471" s="106">
        <f>+'Regulatory Charge'!AQ471+Fuel!AQ471+PCM!AR471+Interest!AQ471+'O&amp;M'!AS471+'Capex &amp; Depr'!AS471+Debt!AT471+Pat.!AJ471+Rates!AQ471</f>
        <v>-3.65</v>
      </c>
      <c r="AX471" s="106">
        <f>+'Regulatory Charge'!AR471+Fuel!AR471+PCM!AS471+Interest!AR471+'O&amp;M'!AT471+'Capex &amp; Depr'!AT471+Debt!AU471+Pat.!AK471+Rates!AR471</f>
        <v>-3.65</v>
      </c>
      <c r="AY471" s="106">
        <f>+'Regulatory Charge'!AS471+Fuel!AS471+PCM!AT471+Interest!AS471+'O&amp;M'!AU471+'Capex &amp; Depr'!AU471+Debt!AV471+Pat.!AL471+Rates!AS471</f>
        <v>-3.65</v>
      </c>
      <c r="AZ471" s="106">
        <f>+'Regulatory Charge'!AT471+Fuel!AT471+PCM!AU471+Interest!AT471+'O&amp;M'!AV471+'Capex &amp; Depr'!AV471+Debt!AW471+Pat.!AM471+Rates!AT471</f>
        <v>-3.65</v>
      </c>
      <c r="BA471" s="106">
        <f>+'Regulatory Charge'!AU471+Fuel!AU471+PCM!AV471+Interest!AU471+'O&amp;M'!AW471+'Capex &amp; Depr'!AW471+Debt!AX471+Pat.!AN471+Rates!AU471</f>
        <v>-3.65</v>
      </c>
      <c r="BB471" s="106">
        <f>+'Regulatory Charge'!AV471+Fuel!AV471+PCM!AW471+Interest!AV471+'O&amp;M'!AX471+'Capex &amp; Depr'!AX471+Debt!AY471+Pat.!AO471+Rates!AV471</f>
        <v>-3.65</v>
      </c>
      <c r="BC471" s="106">
        <f>+'Regulatory Charge'!AW471+Fuel!AW471+PCM!AX471+Interest!AW471+'O&amp;M'!AY471+'Capex &amp; Depr'!AY471+Debt!AZ471+Pat.!AP471+Rates!AW471</f>
        <v>-3.65</v>
      </c>
      <c r="BD471" s="106"/>
      <c r="BE471" s="106"/>
    </row>
    <row r="472" spans="1:57">
      <c r="A472" s="849" t="s">
        <v>720</v>
      </c>
      <c r="B472" s="846" t="s">
        <v>1004</v>
      </c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224"/>
      <c r="S472" s="106">
        <f>+'Regulatory Charge'!M472+Fuel!M472+PCM!N472+Interest!M472+'O&amp;M'!O472+'Capex &amp; Depr'!O472+Debt!P472+Pat.!F472+Rates!M472</f>
        <v>0.43463016635871121</v>
      </c>
      <c r="T472" s="106">
        <f>+'Regulatory Charge'!N472+Fuel!N472+PCM!O472+Interest!N472+'O&amp;M'!P472+'Capex &amp; Depr'!P472+Debt!Q472+Pat.!G472+Rates!N472</f>
        <v>0.420045261447345</v>
      </c>
      <c r="U472" s="106">
        <f>+'Regulatory Charge'!O472+Fuel!O472+PCM!P472+Interest!O472+'O&amp;M'!Q472+'Capex &amp; Depr'!Q472+Debt!R472+Pat.!H472+Rates!O472</f>
        <v>0.45213205225235048</v>
      </c>
      <c r="V472" s="106">
        <f>+'Regulatory Charge'!P472+Fuel!P472+PCM!Q472+Interest!P472+'O&amp;M'!R472+'Capex &amp; Depr'!R472+Debt!S472+Pat.!I472+Rates!P472</f>
        <v>0.44280091336085969</v>
      </c>
      <c r="W472" s="106">
        <f>+'Regulatory Charge'!Q472+Fuel!Q472+PCM!R472+Interest!Q472+'O&amp;M'!S472+'Capex &amp; Depr'!S472+Debt!T472+Pat.!J472+Rates!Q472</f>
        <v>0.45893601576099508</v>
      </c>
      <c r="X472" s="106">
        <f>+'Regulatory Charge'!R472+Fuel!R472+PCM!S472+Interest!R472+'O&amp;M'!T472+'Capex &amp; Depr'!T472+Debt!U472+Pat.!K472+Rates!R472</f>
        <v>0.39670941358915918</v>
      </c>
      <c r="Y472" s="106">
        <f>+'Regulatory Charge'!S472+Fuel!S472+PCM!T472+Interest!S472+'O&amp;M'!U472+'Capex &amp; Depr'!U472+Debt!V472+Pat.!L472+Rates!S472</f>
        <v>0.43171318537643788</v>
      </c>
      <c r="Z472" s="106">
        <f>+'Regulatory Charge'!T472+Fuel!T472+PCM!U472+Interest!T472+'O&amp;M'!V472+'Capex &amp; Depr'!V472+Debt!W472+Pat.!M472+Rates!T472</f>
        <v>0.45796601421689703</v>
      </c>
      <c r="AA472" s="106">
        <f>+'Regulatory Charge'!U472+Fuel!U472+PCM!V472+Interest!U472+'O&amp;M'!W472+'Capex &amp; Depr'!W472+Debt!X472+Pat.!N472+Rates!U472</f>
        <v>0.40175832845329923</v>
      </c>
      <c r="AB472" s="106">
        <f>+'Regulatory Charge'!V472+Fuel!V472+PCM!W472+Interest!V472+'O&amp;M'!X472+'Capex &amp; Depr'!X472+Debt!Y472+Pat.!O472+Rates!V472</f>
        <v>0.475642539020799</v>
      </c>
      <c r="AC472" s="106">
        <f>+'Regulatory Charge'!W472+Fuel!W472+PCM!X472+Interest!W472+'O&amp;M'!Y472+'Capex &amp; Depr'!Y472+Debt!Z472+Pat.!P472+Rates!W472</f>
        <v>0.39587639893656551</v>
      </c>
      <c r="AD472" s="106">
        <f>+'Regulatory Charge'!X472+Fuel!X472+PCM!Y472+Interest!X472+'O&amp;M'!Z472+'Capex &amp; Depr'!Z472+Debt!AA472+Pat.!Q472+Rates!X472</f>
        <v>0.31665181645778812</v>
      </c>
      <c r="AE472" s="224">
        <f t="shared" ref="AE472:AE493" si="4">SUM(S472:AD472)</f>
        <v>5.084862105231208</v>
      </c>
      <c r="AF472" s="106">
        <f>+'Regulatory Charge'!Z472+Fuel!Z472+PCM!AA472+Interest!Z472+'O&amp;M'!AB472+'Capex &amp; Depr'!AB472+Debt!AC472+Pat.!S472+Rates!Z472</f>
        <v>0.33375711145444775</v>
      </c>
      <c r="AG472" s="106">
        <f>+'Regulatory Charge'!AA472+Fuel!AA472+PCM!AB472+Interest!AA472+'O&amp;M'!AC472+'Capex &amp; Depr'!AC472+Debt!AD472+Pat.!T472+Rates!AA472</f>
        <v>0.32255720838550644</v>
      </c>
      <c r="AH472" s="106">
        <f>+'Regulatory Charge'!AB472+Fuel!AB472+PCM!AC472+Interest!AB472+'O&amp;M'!AD472+'Capex &amp; Depr'!AD472+Debt!AE472+Pat.!U472+Rates!AB472</f>
        <v>0.36053404942798034</v>
      </c>
      <c r="AI472" s="106">
        <f>+'Regulatory Charge'!AC472+Fuel!AC472+PCM!AD472+Interest!AC472+'O&amp;M'!AE472+'Capex &amp; Depr'!AE472+Debt!AF472+Pat.!V472+Rates!AC472</f>
        <v>0.33404467239774688</v>
      </c>
      <c r="AJ472" s="106">
        <f>+'Regulatory Charge'!AD472+Fuel!AD472+PCM!AE472+Interest!AD472+'O&amp;M'!AF472+'Capex &amp; Depr'!AF472+Debt!AG472+Pat.!W472+Rates!AD472</f>
        <v>0.35229598333896989</v>
      </c>
      <c r="AK472" s="106">
        <f>+'Regulatory Charge'!AE472+Fuel!AE472+PCM!AF472+Interest!AE472+'O&amp;M'!AG472+'Capex &amp; Depr'!AG472+Debt!AH472+Pat.!X472+Rates!AE472</f>
        <v>0.30463736347520065</v>
      </c>
      <c r="AL472" s="106">
        <f>+'Regulatory Charge'!AF472+Fuel!AF472+PCM!AG472+Interest!AF472+'O&amp;M'!AH472+'Capex &amp; Depr'!AH472+Debt!AI472+Pat.!Y472+Rates!AF472</f>
        <v>0.33151713084065948</v>
      </c>
      <c r="AM472" s="106">
        <f>+'Regulatory Charge'!AG472+Fuel!AG472+PCM!AH472+Interest!AG472+'O&amp;M'!AI472+'Capex &amp; Depr'!AI472+Debt!AJ472+Pat.!Z472+Rates!AG472</f>
        <v>0.35167695636475366</v>
      </c>
      <c r="AN472" s="106">
        <f>+'Regulatory Charge'!AH472+Fuel!AH472+PCM!AI472+Interest!AH472+'O&amp;M'!AJ472+'Capex &amp; Depr'!AJ472+Debt!AK472+Pat.!AA472+Rates!AH472</f>
        <v>0.30858590434753247</v>
      </c>
      <c r="AO472" s="106">
        <f>+'Regulatory Charge'!AI472+Fuel!AI472+PCM!AJ472+Interest!AI472+'O&amp;M'!AK472+'Capex &amp; Depr'!AK472+Debt!AL472+Pat.!AB472+Rates!AI472</f>
        <v>0.36531125441141715</v>
      </c>
      <c r="AP472" s="106">
        <f>+'Regulatory Charge'!AJ472+Fuel!AJ472+PCM!AK472+Interest!AJ472+'O&amp;M'!AL472+'Capex &amp; Depr'!AL472+Debt!AM472+Pat.!AC472+Rates!AJ472</f>
        <v>0.30404787634242181</v>
      </c>
      <c r="AQ472" s="106">
        <f>+'Regulatory Charge'!AK472+Fuel!AK472+PCM!AL472+Interest!AK472+'O&amp;M'!AM472+'Capex &amp; Depr'!AM472+Debt!AN472+Pat.!AD472+Rates!AK472</f>
        <v>0.3131239323526433</v>
      </c>
      <c r="AR472" s="224">
        <f t="shared" ref="AR472:AR493" si="5">SUM(AF472:AQ472)</f>
        <v>3.9820894431392788</v>
      </c>
      <c r="AS472" s="106">
        <f>+'Regulatory Charge'!AM472+Fuel!AM472+PCM!AN472+Interest!AM472+'O&amp;M'!AO472+'Capex &amp; Depr'!AO472+Debt!AP472+Pat.!AF472+Rates!AM472</f>
        <v>4.0885793534660877</v>
      </c>
      <c r="AT472" s="106">
        <f>+'Regulatory Charge'!AN472+Fuel!AN472+PCM!AO472+Interest!AN472+'O&amp;M'!AP472+'Capex &amp; Depr'!AP472+Debt!AQ472+Pat.!AG472+Rates!AN472</f>
        <v>4.187182218473338</v>
      </c>
      <c r="AU472" s="106">
        <f>+'Regulatory Charge'!AO472+Fuel!AO472+PCM!AP472+Interest!AO472+'O&amp;M'!AQ472+'Capex &amp; Depr'!AQ472+Debt!AR472+Pat.!AH472+Rates!AO472</f>
        <v>4.3127976850275385</v>
      </c>
      <c r="AV472" s="106">
        <f>+'Regulatory Charge'!AP472+Fuel!AP472+PCM!AQ472+Interest!AP472+'O&amp;M'!AR472+'Capex &amp; Depr'!AR472+Debt!AS472+Pat.!AI472+Rates!AP472</f>
        <v>4.4421816155783649</v>
      </c>
      <c r="AW472" s="106">
        <f>+'Regulatory Charge'!AQ472+Fuel!AQ472+PCM!AR472+Interest!AQ472+'O&amp;M'!AS472+'Capex &amp; Depr'!AS472+Debt!AT472+Pat.!AJ472+Rates!AQ472</f>
        <v>4.5754470640457159</v>
      </c>
      <c r="AX472" s="106">
        <f>+'Regulatory Charge'!AR472+Fuel!AR472+PCM!AS472+Interest!AR472+'O&amp;M'!AT472+'Capex &amp; Depr'!AT472+Debt!AU472+Pat.!AK472+Rates!AR472</f>
        <v>4.7127104759670875</v>
      </c>
      <c r="AY472" s="106">
        <f>+'Regulatory Charge'!AS472+Fuel!AS472+PCM!AT472+Interest!AS472+'O&amp;M'!AU472+'Capex &amp; Depr'!AU472+Debt!AV472+Pat.!AL472+Rates!AS472</f>
        <v>4.8540917902461</v>
      </c>
      <c r="AZ472" s="106">
        <f>+'Regulatory Charge'!AT472+Fuel!AT472+PCM!AU472+Interest!AT472+'O&amp;M'!AV472+'Capex &amp; Depr'!AV472+Debt!AW472+Pat.!AM472+Rates!AT472</f>
        <v>4.9997145439534831</v>
      </c>
      <c r="BA472" s="106">
        <f>+'Regulatory Charge'!AU472+Fuel!AU472+PCM!AV472+Interest!AU472+'O&amp;M'!AW472+'Capex &amp; Depr'!AW472+Debt!AX472+Pat.!AN472+Rates!AU472</f>
        <v>5.1497059802720875</v>
      </c>
      <c r="BB472" s="106">
        <f>+'Regulatory Charge'!AV472+Fuel!AV472+PCM!AW472+Interest!AV472+'O&amp;M'!AX472+'Capex &amp; Depr'!AX472+Debt!AY472+Pat.!AO472+Rates!AV472</f>
        <v>5.3041971596802506</v>
      </c>
      <c r="BC472" s="106">
        <f>+'Regulatory Charge'!AW472+Fuel!AW472+PCM!AX472+Interest!AW472+'O&amp;M'!AY472+'Capex &amp; Depr'!AY472+Debt!AZ472+Pat.!AP472+Rates!AW472</f>
        <v>5.463323074470658</v>
      </c>
      <c r="BD472" s="106"/>
      <c r="BE472" s="106"/>
    </row>
    <row r="473" spans="1:57">
      <c r="A473" s="849">
        <v>500.1</v>
      </c>
      <c r="B473" s="846" t="s">
        <v>1004</v>
      </c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224"/>
      <c r="S473" s="106">
        <f>+'Regulatory Charge'!M473+Fuel!M473+PCM!N473+Interest!M473+'O&amp;M'!O473+'Capex &amp; Depr'!O473+Debt!P473+Pat.!F473+Rates!M473</f>
        <v>0</v>
      </c>
      <c r="T473" s="106">
        <f>+'Regulatory Charge'!N473+Fuel!N473+PCM!O473+Interest!N473+'O&amp;M'!P473+'Capex &amp; Depr'!P473+Debt!Q473+Pat.!G473+Rates!N473</f>
        <v>0</v>
      </c>
      <c r="U473" s="106">
        <f>+'Regulatory Charge'!O473+Fuel!O473+PCM!P473+Interest!O473+'O&amp;M'!Q473+'Capex &amp; Depr'!Q473+Debt!R473+Pat.!H473+Rates!O473</f>
        <v>0</v>
      </c>
      <c r="V473" s="106">
        <f>+'Regulatory Charge'!P473+Fuel!P473+PCM!Q473+Interest!P473+'O&amp;M'!R473+'Capex &amp; Depr'!R473+Debt!S473+Pat.!I473+Rates!P473</f>
        <v>0</v>
      </c>
      <c r="W473" s="106">
        <f>+'Regulatory Charge'!Q473+Fuel!Q473+PCM!R473+Interest!Q473+'O&amp;M'!S473+'Capex &amp; Depr'!S473+Debt!T473+Pat.!J473+Rates!Q473</f>
        <v>0</v>
      </c>
      <c r="X473" s="106">
        <f>+'Regulatory Charge'!R473+Fuel!R473+PCM!S473+Interest!R473+'O&amp;M'!T473+'Capex &amp; Depr'!T473+Debt!U473+Pat.!K473+Rates!R473</f>
        <v>0</v>
      </c>
      <c r="Y473" s="106">
        <f>+'Regulatory Charge'!S473+Fuel!S473+PCM!T473+Interest!S473+'O&amp;M'!U473+'Capex &amp; Depr'!U473+Debt!V473+Pat.!L473+Rates!S473</f>
        <v>0</v>
      </c>
      <c r="Z473" s="106">
        <f>+'Regulatory Charge'!T473+Fuel!T473+PCM!U473+Interest!T473+'O&amp;M'!V473+'Capex &amp; Depr'!V473+Debt!W473+Pat.!M473+Rates!T473</f>
        <v>0</v>
      </c>
      <c r="AA473" s="106">
        <f>+'Regulatory Charge'!U473+Fuel!U473+PCM!V473+Interest!U473+'O&amp;M'!W473+'Capex &amp; Depr'!W473+Debt!X473+Pat.!N473+Rates!U473</f>
        <v>0</v>
      </c>
      <c r="AB473" s="106">
        <f>+'Regulatory Charge'!V473+Fuel!V473+PCM!W473+Interest!V473+'O&amp;M'!X473+'Capex &amp; Depr'!X473+Debt!Y473+Pat.!O473+Rates!V473</f>
        <v>0</v>
      </c>
      <c r="AC473" s="106">
        <f>+'Regulatory Charge'!W473+Fuel!W473+PCM!X473+Interest!W473+'O&amp;M'!Y473+'Capex &amp; Depr'!Y473+Debt!Z473+Pat.!P473+Rates!W473</f>
        <v>0</v>
      </c>
      <c r="AD473" s="106">
        <f>+'Regulatory Charge'!X473+Fuel!X473+PCM!Y473+Interest!X473+'O&amp;M'!Z473+'Capex &amp; Depr'!Z473+Debt!AA473+Pat.!Q473+Rates!X473</f>
        <v>0</v>
      </c>
      <c r="AE473" s="224">
        <f t="shared" si="4"/>
        <v>0</v>
      </c>
      <c r="AF473" s="106">
        <f>+'Regulatory Charge'!Z473+Fuel!Z473+PCM!AA473+Interest!Z473+'O&amp;M'!AB473+'Capex &amp; Depr'!AB473+Debt!AC473+Pat.!S473+Rates!Z473</f>
        <v>0</v>
      </c>
      <c r="AG473" s="106">
        <f>+'Regulatory Charge'!AA473+Fuel!AA473+PCM!AB473+Interest!AA473+'O&amp;M'!AC473+'Capex &amp; Depr'!AC473+Debt!AD473+Pat.!T473+Rates!AA473</f>
        <v>0</v>
      </c>
      <c r="AH473" s="106">
        <f>+'Regulatory Charge'!AB473+Fuel!AB473+PCM!AC473+Interest!AB473+'O&amp;M'!AD473+'Capex &amp; Depr'!AD473+Debt!AE473+Pat.!U473+Rates!AB473</f>
        <v>0</v>
      </c>
      <c r="AI473" s="106">
        <f>+'Regulatory Charge'!AC473+Fuel!AC473+PCM!AD473+Interest!AC473+'O&amp;M'!AE473+'Capex &amp; Depr'!AE473+Debt!AF473+Pat.!V473+Rates!AC473</f>
        <v>0</v>
      </c>
      <c r="AJ473" s="106">
        <f>+'Regulatory Charge'!AD473+Fuel!AD473+PCM!AE473+Interest!AD473+'O&amp;M'!AF473+'Capex &amp; Depr'!AF473+Debt!AG473+Pat.!W473+Rates!AD473</f>
        <v>0</v>
      </c>
      <c r="AK473" s="106">
        <f>+'Regulatory Charge'!AE473+Fuel!AE473+PCM!AF473+Interest!AE473+'O&amp;M'!AG473+'Capex &amp; Depr'!AG473+Debt!AH473+Pat.!X473+Rates!AE473</f>
        <v>0</v>
      </c>
      <c r="AL473" s="106">
        <f>+'Regulatory Charge'!AF473+Fuel!AF473+PCM!AG473+Interest!AF473+'O&amp;M'!AH473+'Capex &amp; Depr'!AH473+Debt!AI473+Pat.!Y473+Rates!AF473</f>
        <v>0</v>
      </c>
      <c r="AM473" s="106">
        <f>+'Regulatory Charge'!AG473+Fuel!AG473+PCM!AH473+Interest!AG473+'O&amp;M'!AI473+'Capex &amp; Depr'!AI473+Debt!AJ473+Pat.!Z473+Rates!AG473</f>
        <v>0</v>
      </c>
      <c r="AN473" s="106">
        <f>+'Regulatory Charge'!AH473+Fuel!AH473+PCM!AI473+Interest!AH473+'O&amp;M'!AJ473+'Capex &amp; Depr'!AJ473+Debt!AK473+Pat.!AA473+Rates!AH473</f>
        <v>0</v>
      </c>
      <c r="AO473" s="106">
        <f>+'Regulatory Charge'!AI473+Fuel!AI473+PCM!AJ473+Interest!AI473+'O&amp;M'!AK473+'Capex &amp; Depr'!AK473+Debt!AL473+Pat.!AB473+Rates!AI473</f>
        <v>0</v>
      </c>
      <c r="AP473" s="106">
        <f>+'Regulatory Charge'!AJ473+Fuel!AJ473+PCM!AK473+Interest!AJ473+'O&amp;M'!AL473+'Capex &amp; Depr'!AL473+Debt!AM473+Pat.!AC473+Rates!AJ473</f>
        <v>0</v>
      </c>
      <c r="AQ473" s="106">
        <f>+'Regulatory Charge'!AK473+Fuel!AK473+PCM!AL473+Interest!AK473+'O&amp;M'!AM473+'Capex &amp; Depr'!AM473+Debt!AN473+Pat.!AD473+Rates!AK473</f>
        <v>0</v>
      </c>
      <c r="AR473" s="224">
        <f t="shared" si="5"/>
        <v>0</v>
      </c>
      <c r="AS473" s="106">
        <f>+'Regulatory Charge'!AM473+Fuel!AM473+PCM!AN473+Interest!AM473+'O&amp;M'!AO473+'Capex &amp; Depr'!AO473+Debt!AP473+Pat.!AF473+Rates!AM473</f>
        <v>0</v>
      </c>
      <c r="AT473" s="106">
        <f>+'Regulatory Charge'!AN473+Fuel!AN473+PCM!AO473+Interest!AN473+'O&amp;M'!AP473+'Capex &amp; Depr'!AP473+Debt!AQ473+Pat.!AG473+Rates!AN473</f>
        <v>0</v>
      </c>
      <c r="AU473" s="106">
        <f>+'Regulatory Charge'!AO473+Fuel!AO473+PCM!AP473+Interest!AO473+'O&amp;M'!AQ473+'Capex &amp; Depr'!AQ473+Debt!AR473+Pat.!AH473+Rates!AO473</f>
        <v>0</v>
      </c>
      <c r="AV473" s="106">
        <f>+'Regulatory Charge'!AP473+Fuel!AP473+PCM!AQ473+Interest!AP473+'O&amp;M'!AR473+'Capex &amp; Depr'!AR473+Debt!AS473+Pat.!AI473+Rates!AP473</f>
        <v>0</v>
      </c>
      <c r="AW473" s="106">
        <f>+'Regulatory Charge'!AQ473+Fuel!AQ473+PCM!AR473+Interest!AQ473+'O&amp;M'!AS473+'Capex &amp; Depr'!AS473+Debt!AT473+Pat.!AJ473+Rates!AQ473</f>
        <v>0</v>
      </c>
      <c r="AX473" s="106">
        <f>+'Regulatory Charge'!AR473+Fuel!AR473+PCM!AS473+Interest!AR473+'O&amp;M'!AT473+'Capex &amp; Depr'!AT473+Debt!AU473+Pat.!AK473+Rates!AR473</f>
        <v>0</v>
      </c>
      <c r="AY473" s="106">
        <f>+'Regulatory Charge'!AS473+Fuel!AS473+PCM!AT473+Interest!AS473+'O&amp;M'!AU473+'Capex &amp; Depr'!AU473+Debt!AV473+Pat.!AL473+Rates!AS473</f>
        <v>0</v>
      </c>
      <c r="AZ473" s="106">
        <f>+'Regulatory Charge'!AT473+Fuel!AT473+PCM!AU473+Interest!AT473+'O&amp;M'!AV473+'Capex &amp; Depr'!AV473+Debt!AW473+Pat.!AM473+Rates!AT473</f>
        <v>0</v>
      </c>
      <c r="BA473" s="106">
        <f>+'Regulatory Charge'!AU473+Fuel!AU473+PCM!AV473+Interest!AU473+'O&amp;M'!AW473+'Capex &amp; Depr'!AW473+Debt!AX473+Pat.!AN473+Rates!AU473</f>
        <v>0</v>
      </c>
      <c r="BB473" s="106">
        <f>+'Regulatory Charge'!AV473+Fuel!AV473+PCM!AW473+Interest!AV473+'O&amp;M'!AX473+'Capex &amp; Depr'!AX473+Debt!AY473+Pat.!AO473+Rates!AV473</f>
        <v>0</v>
      </c>
      <c r="BC473" s="106">
        <f>+'Regulatory Charge'!AW473+Fuel!AW473+PCM!AX473+Interest!AW473+'O&amp;M'!AY473+'Capex &amp; Depr'!AY473+Debt!AZ473+Pat.!AP473+Rates!AW473</f>
        <v>0</v>
      </c>
      <c r="BD473" s="106"/>
      <c r="BE473" s="106"/>
    </row>
    <row r="474" spans="1:57">
      <c r="A474" s="849">
        <v>501.1</v>
      </c>
      <c r="B474" s="846" t="s">
        <v>46</v>
      </c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224"/>
      <c r="S474" s="106">
        <f>+'Regulatory Charge'!M474+Fuel!M474+PCM!N474+Interest!M474+'O&amp;M'!O474+'Capex &amp; Depr'!O474+Debt!P474+Pat.!F474+Rates!M474</f>
        <v>0</v>
      </c>
      <c r="T474" s="106">
        <f>+'Regulatory Charge'!N474+Fuel!N474+PCM!O474+Interest!N474+'O&amp;M'!P474+'Capex &amp; Depr'!P474+Debt!Q474+Pat.!G474+Rates!N474</f>
        <v>0</v>
      </c>
      <c r="U474" s="106">
        <f>+'Regulatory Charge'!O474+Fuel!O474+PCM!P474+Interest!O474+'O&amp;M'!Q474+'Capex &amp; Depr'!Q474+Debt!R474+Pat.!H474+Rates!O474</f>
        <v>0</v>
      </c>
      <c r="V474" s="106">
        <f>+'Regulatory Charge'!P474+Fuel!P474+PCM!Q474+Interest!P474+'O&amp;M'!R474+'Capex &amp; Depr'!R474+Debt!S474+Pat.!I474+Rates!P474</f>
        <v>0</v>
      </c>
      <c r="W474" s="106">
        <f>+'Regulatory Charge'!Q474+Fuel!Q474+PCM!R474+Interest!Q474+'O&amp;M'!S474+'Capex &amp; Depr'!S474+Debt!T474+Pat.!J474+Rates!Q474</f>
        <v>0</v>
      </c>
      <c r="X474" s="106">
        <f>+'Regulatory Charge'!R474+Fuel!R474+PCM!S474+Interest!R474+'O&amp;M'!T474+'Capex &amp; Depr'!T474+Debt!U474+Pat.!K474+Rates!R474</f>
        <v>0</v>
      </c>
      <c r="Y474" s="106">
        <f>+'Regulatory Charge'!S474+Fuel!S474+PCM!T474+Interest!S474+'O&amp;M'!U474+'Capex &amp; Depr'!U474+Debt!V474+Pat.!L474+Rates!S474</f>
        <v>0.49483776016604047</v>
      </c>
      <c r="Z474" s="106">
        <f>+'Regulatory Charge'!T474+Fuel!T474+PCM!U474+Interest!T474+'O&amp;M'!V474+'Capex &amp; Depr'!V474+Debt!W474+Pat.!M474+Rates!T474</f>
        <v>0</v>
      </c>
      <c r="AA474" s="106">
        <f>+'Regulatory Charge'!U474+Fuel!U474+PCM!V474+Interest!U474+'O&amp;M'!W474+'Capex &amp; Depr'!W474+Debt!X474+Pat.!N474+Rates!U474</f>
        <v>0</v>
      </c>
      <c r="AB474" s="106">
        <f>+'Regulatory Charge'!V474+Fuel!V474+PCM!W474+Interest!V474+'O&amp;M'!X474+'Capex &amp; Depr'!X474+Debt!Y474+Pat.!O474+Rates!V474</f>
        <v>0</v>
      </c>
      <c r="AC474" s="106">
        <f>+'Regulatory Charge'!W474+Fuel!W474+PCM!X474+Interest!W474+'O&amp;M'!Y474+'Capex &amp; Depr'!Y474+Debt!Z474+Pat.!P474+Rates!W474</f>
        <v>0</v>
      </c>
      <c r="AD474" s="106">
        <f>+'Regulatory Charge'!X474+Fuel!X474+PCM!Y474+Interest!X474+'O&amp;M'!Z474+'Capex &amp; Depr'!Z474+Debt!AA474+Pat.!Q474+Rates!X474</f>
        <v>0</v>
      </c>
      <c r="AE474" s="224">
        <f t="shared" si="4"/>
        <v>0.49483776016604047</v>
      </c>
      <c r="AF474" s="106">
        <f>+'Regulatory Charge'!Z474+Fuel!Z474+PCM!AA474+Interest!Z474+'O&amp;M'!AB474+'Capex &amp; Depr'!AB474+Debt!AC474+Pat.!S474+Rates!Z474</f>
        <v>0</v>
      </c>
      <c r="AG474" s="106">
        <f>+'Regulatory Charge'!AA474+Fuel!AA474+PCM!AB474+Interest!AA474+'O&amp;M'!AC474+'Capex &amp; Depr'!AC474+Debt!AD474+Pat.!T474+Rates!AA474</f>
        <v>0</v>
      </c>
      <c r="AH474" s="106">
        <f>+'Regulatory Charge'!AB474+Fuel!AB474+PCM!AC474+Interest!AB474+'O&amp;M'!AD474+'Capex &amp; Depr'!AD474+Debt!AE474+Pat.!U474+Rates!AB474</f>
        <v>0</v>
      </c>
      <c r="AI474" s="106">
        <f>+'Regulatory Charge'!AC474+Fuel!AC474+PCM!AD474+Interest!AC474+'O&amp;M'!AE474+'Capex &amp; Depr'!AE474+Debt!AF474+Pat.!V474+Rates!AC474</f>
        <v>0</v>
      </c>
      <c r="AJ474" s="106">
        <f>+'Regulatory Charge'!AD474+Fuel!AD474+PCM!AE474+Interest!AD474+'O&amp;M'!AF474+'Capex &amp; Depr'!AF474+Debt!AG474+Pat.!W474+Rates!AD474</f>
        <v>0</v>
      </c>
      <c r="AK474" s="106">
        <f>+'Regulatory Charge'!AE474+Fuel!AE474+PCM!AF474+Interest!AE474+'O&amp;M'!AG474+'Capex &amp; Depr'!AG474+Debt!AH474+Pat.!X474+Rates!AE474</f>
        <v>0</v>
      </c>
      <c r="AL474" s="106">
        <f>+'Regulatory Charge'!AF474+Fuel!AF474+PCM!AG474+Interest!AF474+'O&amp;M'!AH474+'Capex &amp; Depr'!AH474+Debt!AI474+Pat.!Y474+Rates!AF474</f>
        <v>0</v>
      </c>
      <c r="AM474" s="106">
        <f>+'Regulatory Charge'!AG474+Fuel!AG474+PCM!AH474+Interest!AG474+'O&amp;M'!AI474+'Capex &amp; Depr'!AI474+Debt!AJ474+Pat.!Z474+Rates!AG474</f>
        <v>0</v>
      </c>
      <c r="AN474" s="106">
        <f>+'Regulatory Charge'!AH474+Fuel!AH474+PCM!AI474+Interest!AH474+'O&amp;M'!AJ474+'Capex &amp; Depr'!AJ474+Debt!AK474+Pat.!AA474+Rates!AH474</f>
        <v>0</v>
      </c>
      <c r="AO474" s="106">
        <f>+'Regulatory Charge'!AI474+Fuel!AI474+PCM!AJ474+Interest!AI474+'O&amp;M'!AK474+'Capex &amp; Depr'!AK474+Debt!AL474+Pat.!AB474+Rates!AI474</f>
        <v>0</v>
      </c>
      <c r="AP474" s="106">
        <f>+'Regulatory Charge'!AJ474+Fuel!AJ474+PCM!AK474+Interest!AJ474+'O&amp;M'!AL474+'Capex &amp; Depr'!AL474+Debt!AM474+Pat.!AC474+Rates!AJ474</f>
        <v>0</v>
      </c>
      <c r="AQ474" s="106">
        <f>+'Regulatory Charge'!AK474+Fuel!AK474+PCM!AL474+Interest!AK474+'O&amp;M'!AM474+'Capex &amp; Depr'!AM474+Debt!AN474+Pat.!AD474+Rates!AK474</f>
        <v>0</v>
      </c>
      <c r="AR474" s="224">
        <f t="shared" si="5"/>
        <v>0</v>
      </c>
      <c r="AS474" s="106">
        <f>+'Regulatory Charge'!AM474+Fuel!AM474+PCM!AN474+Interest!AM474+'O&amp;M'!AO474+'Capex &amp; Depr'!AO474+Debt!AP474+Pat.!AF474+Rates!AM474</f>
        <v>0</v>
      </c>
      <c r="AT474" s="106">
        <f>+'Regulatory Charge'!AN474+Fuel!AN474+PCM!AO474+Interest!AN474+'O&amp;M'!AP474+'Capex &amp; Depr'!AP474+Debt!AQ474+Pat.!AG474+Rates!AN474</f>
        <v>0</v>
      </c>
      <c r="AU474" s="106">
        <f>+'Regulatory Charge'!AO474+Fuel!AO474+PCM!AP474+Interest!AO474+'O&amp;M'!AQ474+'Capex &amp; Depr'!AQ474+Debt!AR474+Pat.!AH474+Rates!AO474</f>
        <v>0</v>
      </c>
      <c r="AV474" s="106">
        <f>+'Regulatory Charge'!AP474+Fuel!AP474+PCM!AQ474+Interest!AP474+'O&amp;M'!AR474+'Capex &amp; Depr'!AR474+Debt!AS474+Pat.!AI474+Rates!AP474</f>
        <v>0</v>
      </c>
      <c r="AW474" s="106">
        <f>+'Regulatory Charge'!AQ474+Fuel!AQ474+PCM!AR474+Interest!AQ474+'O&amp;M'!AS474+'Capex &amp; Depr'!AS474+Debt!AT474+Pat.!AJ474+Rates!AQ474</f>
        <v>0</v>
      </c>
      <c r="AX474" s="106">
        <f>+'Regulatory Charge'!AR474+Fuel!AR474+PCM!AS474+Interest!AR474+'O&amp;M'!AT474+'Capex &amp; Depr'!AT474+Debt!AU474+Pat.!AK474+Rates!AR474</f>
        <v>0</v>
      </c>
      <c r="AY474" s="106">
        <f>+'Regulatory Charge'!AS474+Fuel!AS474+PCM!AT474+Interest!AS474+'O&amp;M'!AU474+'Capex &amp; Depr'!AU474+Debt!AV474+Pat.!AL474+Rates!AS474</f>
        <v>0</v>
      </c>
      <c r="AZ474" s="106">
        <f>+'Regulatory Charge'!AT474+Fuel!AT474+PCM!AU474+Interest!AT474+'O&amp;M'!AV474+'Capex &amp; Depr'!AV474+Debt!AW474+Pat.!AM474+Rates!AT474</f>
        <v>0</v>
      </c>
      <c r="BA474" s="106">
        <f>+'Regulatory Charge'!AU474+Fuel!AU474+PCM!AV474+Interest!AU474+'O&amp;M'!AW474+'Capex &amp; Depr'!AW474+Debt!AX474+Pat.!AN474+Rates!AU474</f>
        <v>0</v>
      </c>
      <c r="BB474" s="106">
        <f>+'Regulatory Charge'!AV474+Fuel!AV474+PCM!AW474+Interest!AV474+'O&amp;M'!AX474+'Capex &amp; Depr'!AX474+Debt!AY474+Pat.!AO474+Rates!AV474</f>
        <v>0</v>
      </c>
      <c r="BC474" s="106">
        <f>+'Regulatory Charge'!AW474+Fuel!AW474+PCM!AX474+Interest!AW474+'O&amp;M'!AY474+'Capex &amp; Depr'!AY474+Debt!AZ474+Pat.!AP474+Rates!AW474</f>
        <v>0</v>
      </c>
      <c r="BD474" s="106"/>
      <c r="BE474" s="106"/>
    </row>
    <row r="475" spans="1:57">
      <c r="A475" s="849">
        <v>501.2</v>
      </c>
      <c r="B475" s="850" t="s">
        <v>1029</v>
      </c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224"/>
      <c r="S475" s="106">
        <f>+'Regulatory Charge'!M475+Fuel!M475+PCM!N475+Interest!M475+'O&amp;M'!O475+'Capex &amp; Depr'!O475+Debt!P475+Pat.!F475+Rates!M475</f>
        <v>8.1899999999999996E-4</v>
      </c>
      <c r="T475" s="106">
        <f>+'Regulatory Charge'!N475+Fuel!N475+PCM!O475+Interest!N475+'O&amp;M'!P475+'Capex &amp; Depr'!P475+Debt!Q475+Pat.!G475+Rates!N475</f>
        <v>8.1899999999999996E-4</v>
      </c>
      <c r="U475" s="106">
        <f>+'Regulatory Charge'!O475+Fuel!O475+PCM!P475+Interest!O475+'O&amp;M'!Q475+'Capex &amp; Depr'!Q475+Debt!R475+Pat.!H475+Rates!O475</f>
        <v>8.1899999999999996E-4</v>
      </c>
      <c r="V475" s="106">
        <f>+'Regulatory Charge'!P475+Fuel!P475+PCM!Q475+Interest!P475+'O&amp;M'!R475+'Capex &amp; Depr'!R475+Debt!S475+Pat.!I475+Rates!P475</f>
        <v>8.1899999999999996E-4</v>
      </c>
      <c r="W475" s="106">
        <f>+'Regulatory Charge'!Q475+Fuel!Q475+PCM!R475+Interest!Q475+'O&amp;M'!S475+'Capex &amp; Depr'!S475+Debt!T475+Pat.!J475+Rates!Q475</f>
        <v>8.1899999999999996E-4</v>
      </c>
      <c r="X475" s="106">
        <f>+'Regulatory Charge'!R475+Fuel!R475+PCM!S475+Interest!R475+'O&amp;M'!T475+'Capex &amp; Depr'!T475+Debt!U475+Pat.!K475+Rates!R475</f>
        <v>8.1899999999999996E-4</v>
      </c>
      <c r="Y475" s="106">
        <f>+'Regulatory Charge'!S475+Fuel!S475+PCM!T475+Interest!S475+'O&amp;M'!U475+'Capex &amp; Depr'!U475+Debt!V475+Pat.!L475+Rates!S475</f>
        <v>8.1899999999999996E-4</v>
      </c>
      <c r="Z475" s="106">
        <f>+'Regulatory Charge'!T475+Fuel!T475+PCM!U475+Interest!T475+'O&amp;M'!V475+'Capex &amp; Depr'!V475+Debt!W475+Pat.!M475+Rates!T475</f>
        <v>8.1899999999999996E-4</v>
      </c>
      <c r="AA475" s="106">
        <f>+'Regulatory Charge'!U475+Fuel!U475+PCM!V475+Interest!U475+'O&amp;M'!W475+'Capex &amp; Depr'!W475+Debt!X475+Pat.!N475+Rates!U475</f>
        <v>8.1899999999999996E-4</v>
      </c>
      <c r="AB475" s="106">
        <f>+'Regulatory Charge'!V475+Fuel!V475+PCM!W475+Interest!V475+'O&amp;M'!X475+'Capex &amp; Depr'!X475+Debt!Y475+Pat.!O475+Rates!V475</f>
        <v>8.1899999999999996E-4</v>
      </c>
      <c r="AC475" s="106">
        <f>+'Regulatory Charge'!W475+Fuel!W475+PCM!X475+Interest!W475+'O&amp;M'!Y475+'Capex &amp; Depr'!Y475+Debt!Z475+Pat.!P475+Rates!W475</f>
        <v>8.1899999999999996E-4</v>
      </c>
      <c r="AD475" s="106">
        <f>+'Regulatory Charge'!X475+Fuel!X475+PCM!Y475+Interest!X475+'O&amp;M'!Z475+'Capex &amp; Depr'!Z475+Debt!AA475+Pat.!Q475+Rates!X475</f>
        <v>8.1899999999999996E-4</v>
      </c>
      <c r="AE475" s="224">
        <f t="shared" si="4"/>
        <v>9.8280000000000017E-3</v>
      </c>
      <c r="AF475" s="106">
        <f>+'Regulatory Charge'!Z475+Fuel!Z475+PCM!AA475+Interest!Z475+'O&amp;M'!AB475+'Capex &amp; Depr'!AB475+Debt!AC475+Pat.!S475+Rates!Z475</f>
        <v>8.1899999999999996E-4</v>
      </c>
      <c r="AG475" s="106">
        <f>+'Regulatory Charge'!AA475+Fuel!AA475+PCM!AB475+Interest!AA475+'O&amp;M'!AC475+'Capex &amp; Depr'!AC475+Debt!AD475+Pat.!T475+Rates!AA475</f>
        <v>8.1899999999999996E-4</v>
      </c>
      <c r="AH475" s="106">
        <f>+'Regulatory Charge'!AB475+Fuel!AB475+PCM!AC475+Interest!AB475+'O&amp;M'!AD475+'Capex &amp; Depr'!AD475+Debt!AE475+Pat.!U475+Rates!AB475</f>
        <v>8.1899999999999996E-4</v>
      </c>
      <c r="AI475" s="106">
        <f>+'Regulatory Charge'!AC475+Fuel!AC475+PCM!AD475+Interest!AC475+'O&amp;M'!AE475+'Capex &amp; Depr'!AE475+Debt!AF475+Pat.!V475+Rates!AC475</f>
        <v>8.1899999999999996E-4</v>
      </c>
      <c r="AJ475" s="106">
        <f>+'Regulatory Charge'!AD475+Fuel!AD475+PCM!AE475+Interest!AD475+'O&amp;M'!AF475+'Capex &amp; Depr'!AF475+Debt!AG475+Pat.!W475+Rates!AD475</f>
        <v>8.1899999999999996E-4</v>
      </c>
      <c r="AK475" s="106">
        <f>+'Regulatory Charge'!AE475+Fuel!AE475+PCM!AF475+Interest!AE475+'O&amp;M'!AG475+'Capex &amp; Depr'!AG475+Debt!AH475+Pat.!X475+Rates!AE475</f>
        <v>8.1899999999999996E-4</v>
      </c>
      <c r="AL475" s="106">
        <f>+'Regulatory Charge'!AF475+Fuel!AF475+PCM!AG475+Interest!AF475+'O&amp;M'!AH475+'Capex &amp; Depr'!AH475+Debt!AI475+Pat.!Y475+Rates!AF475</f>
        <v>8.1899999999999996E-4</v>
      </c>
      <c r="AM475" s="106">
        <f>+'Regulatory Charge'!AG475+Fuel!AG475+PCM!AH475+Interest!AG475+'O&amp;M'!AI475+'Capex &amp; Depr'!AI475+Debt!AJ475+Pat.!Z475+Rates!AG475</f>
        <v>8.1899999999999996E-4</v>
      </c>
      <c r="AN475" s="106">
        <f>+'Regulatory Charge'!AH475+Fuel!AH475+PCM!AI475+Interest!AH475+'O&amp;M'!AJ475+'Capex &amp; Depr'!AJ475+Debt!AK475+Pat.!AA475+Rates!AH475</f>
        <v>8.1899999999999996E-4</v>
      </c>
      <c r="AO475" s="106">
        <f>+'Regulatory Charge'!AI475+Fuel!AI475+PCM!AJ475+Interest!AI475+'O&amp;M'!AK475+'Capex &amp; Depr'!AK475+Debt!AL475+Pat.!AB475+Rates!AI475</f>
        <v>8.1899999999999996E-4</v>
      </c>
      <c r="AP475" s="106">
        <f>+'Regulatory Charge'!AJ475+Fuel!AJ475+PCM!AK475+Interest!AJ475+'O&amp;M'!AL475+'Capex &amp; Depr'!AL475+Debt!AM475+Pat.!AC475+Rates!AJ475</f>
        <v>8.1899999999999996E-4</v>
      </c>
      <c r="AQ475" s="106">
        <f>+'Regulatory Charge'!AK475+Fuel!AK475+PCM!AL475+Interest!AK475+'O&amp;M'!AM475+'Capex &amp; Depr'!AM475+Debt!AN475+Pat.!AD475+Rates!AK475</f>
        <v>8.1899999999999996E-4</v>
      </c>
      <c r="AR475" s="224">
        <f t="shared" si="5"/>
        <v>9.8280000000000017E-3</v>
      </c>
      <c r="AS475" s="106">
        <f>+'Regulatory Charge'!AM475+Fuel!AM475+PCM!AN475+Interest!AM475+'O&amp;M'!AO475+'Capex &amp; Depr'!AO475+Debt!AP475+Pat.!AF475+Rates!AM475</f>
        <v>9.8280000000000017E-3</v>
      </c>
      <c r="AT475" s="106">
        <f>+'Regulatory Charge'!AN475+Fuel!AN475+PCM!AO475+Interest!AN475+'O&amp;M'!AP475+'Capex &amp; Depr'!AP475+Debt!AQ475+Pat.!AG475+Rates!AN475</f>
        <v>9.8280000000000017E-3</v>
      </c>
      <c r="AU475" s="106">
        <f>+'Regulatory Charge'!AO475+Fuel!AO475+PCM!AP475+Interest!AO475+'O&amp;M'!AQ475+'Capex &amp; Depr'!AQ475+Debt!AR475+Pat.!AH475+Rates!AO475</f>
        <v>1.0122840000000003E-2</v>
      </c>
      <c r="AV475" s="106">
        <f>+'Regulatory Charge'!AP475+Fuel!AP475+PCM!AQ475+Interest!AP475+'O&amp;M'!AR475+'Capex &amp; Depr'!AR475+Debt!AS475+Pat.!AI475+Rates!AP475</f>
        <v>1.0426525200000003E-2</v>
      </c>
      <c r="AW475" s="106">
        <f>+'Regulatory Charge'!AQ475+Fuel!AQ475+PCM!AR475+Interest!AQ475+'O&amp;M'!AS475+'Capex &amp; Depr'!AS475+Debt!AT475+Pat.!AJ475+Rates!AQ475</f>
        <v>1.0739320956000003E-2</v>
      </c>
      <c r="AX475" s="106">
        <f>+'Regulatory Charge'!AR475+Fuel!AR475+PCM!AS475+Interest!AR475+'O&amp;M'!AT475+'Capex &amp; Depr'!AT475+Debt!AU475+Pat.!AK475+Rates!AR475</f>
        <v>1.1061500584680004E-2</v>
      </c>
      <c r="AY475" s="106">
        <f>+'Regulatory Charge'!AS475+Fuel!AS475+PCM!AT475+Interest!AS475+'O&amp;M'!AU475+'Capex &amp; Depr'!AU475+Debt!AV475+Pat.!AL475+Rates!AS475</f>
        <v>1.1393345602220405E-2</v>
      </c>
      <c r="AZ475" s="106">
        <f>+'Regulatory Charge'!AT475+Fuel!AT475+PCM!AU475+Interest!AT475+'O&amp;M'!AV475+'Capex &amp; Depr'!AV475+Debt!AW475+Pat.!AM475+Rates!AT475</f>
        <v>1.1735145970287016E-2</v>
      </c>
      <c r="BA475" s="106">
        <f>+'Regulatory Charge'!AU475+Fuel!AU475+PCM!AV475+Interest!AU475+'O&amp;M'!AW475+'Capex &amp; Depr'!AW475+Debt!AX475+Pat.!AN475+Rates!AU475</f>
        <v>1.2087200349395626E-2</v>
      </c>
      <c r="BB475" s="106">
        <f>+'Regulatory Charge'!AV475+Fuel!AV475+PCM!AW475+Interest!AV475+'O&amp;M'!AX475+'Capex &amp; Depr'!AX475+Debt!AY475+Pat.!AO475+Rates!AV475</f>
        <v>1.2449816359877495E-2</v>
      </c>
      <c r="BC475" s="106">
        <f>+'Regulatory Charge'!AW475+Fuel!AW475+PCM!AX475+Interest!AW475+'O&amp;M'!AY475+'Capex &amp; Depr'!AY475+Debt!AZ475+Pat.!AP475+Rates!AW475</f>
        <v>1.2823310850673821E-2</v>
      </c>
      <c r="BD475" s="106"/>
      <c r="BE475" s="106"/>
    </row>
    <row r="476" spans="1:57">
      <c r="A476" s="849">
        <v>501.1</v>
      </c>
      <c r="B476" s="846" t="s">
        <v>48</v>
      </c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224"/>
      <c r="S476" s="106">
        <f>+'Regulatory Charge'!M476+Fuel!M476+PCM!N476+Interest!M476+'O&amp;M'!O476+'Capex &amp; Depr'!O476+Debt!P476+Pat.!F476+Rates!M476</f>
        <v>0</v>
      </c>
      <c r="T476" s="106">
        <f>+'Regulatory Charge'!N476+Fuel!N476+PCM!O476+Interest!N476+'O&amp;M'!P476+'Capex &amp; Depr'!P476+Debt!Q476+Pat.!G476+Rates!N476</f>
        <v>0</v>
      </c>
      <c r="U476" s="106">
        <f>+'Regulatory Charge'!O476+Fuel!O476+PCM!P476+Interest!O476+'O&amp;M'!Q476+'Capex &amp; Depr'!Q476+Debt!R476+Pat.!H476+Rates!O476</f>
        <v>0</v>
      </c>
      <c r="V476" s="106">
        <f>+'Regulatory Charge'!P476+Fuel!P476+PCM!Q476+Interest!P476+'O&amp;M'!R476+'Capex &amp; Depr'!R476+Debt!S476+Pat.!I476+Rates!P476</f>
        <v>0</v>
      </c>
      <c r="W476" s="106">
        <f>+'Regulatory Charge'!Q476+Fuel!Q476+PCM!R476+Interest!Q476+'O&amp;M'!S476+'Capex &amp; Depr'!S476+Debt!T476+Pat.!J476+Rates!Q476</f>
        <v>0</v>
      </c>
      <c r="X476" s="106">
        <f>+'Regulatory Charge'!R476+Fuel!R476+PCM!S476+Interest!R476+'O&amp;M'!T476+'Capex &amp; Depr'!T476+Debt!U476+Pat.!K476+Rates!R476</f>
        <v>0</v>
      </c>
      <c r="Y476" s="106">
        <f>+'Regulatory Charge'!S476+Fuel!S476+PCM!T476+Interest!S476+'O&amp;M'!U476+'Capex &amp; Depr'!U476+Debt!V476+Pat.!L476+Rates!S476</f>
        <v>0.14727660000000001</v>
      </c>
      <c r="Z476" s="106">
        <f>+'Regulatory Charge'!T476+Fuel!T476+PCM!U476+Interest!T476+'O&amp;M'!V476+'Capex &amp; Depr'!V476+Debt!W476+Pat.!M476+Rates!T476</f>
        <v>0</v>
      </c>
      <c r="AA476" s="106">
        <f>+'Regulatory Charge'!U476+Fuel!U476+PCM!V476+Interest!U476+'O&amp;M'!W476+'Capex &amp; Depr'!W476+Debt!X476+Pat.!N476+Rates!U476</f>
        <v>0</v>
      </c>
      <c r="AB476" s="106">
        <f>+'Regulatory Charge'!V476+Fuel!V476+PCM!W476+Interest!V476+'O&amp;M'!X476+'Capex &amp; Depr'!X476+Debt!Y476+Pat.!O476+Rates!V476</f>
        <v>0</v>
      </c>
      <c r="AC476" s="106">
        <f>+'Regulatory Charge'!W476+Fuel!W476+PCM!X476+Interest!W476+'O&amp;M'!Y476+'Capex &amp; Depr'!Y476+Debt!Z476+Pat.!P476+Rates!W476</f>
        <v>0</v>
      </c>
      <c r="AD476" s="106">
        <f>+'Regulatory Charge'!X476+Fuel!X476+PCM!Y476+Interest!X476+'O&amp;M'!Z476+'Capex &amp; Depr'!Z476+Debt!AA476+Pat.!Q476+Rates!X476</f>
        <v>0</v>
      </c>
      <c r="AE476" s="224">
        <f t="shared" si="4"/>
        <v>0.14727660000000001</v>
      </c>
      <c r="AF476" s="106">
        <f>+'Regulatory Charge'!Z476+Fuel!Z476+PCM!AA476+Interest!Z476+'O&amp;M'!AB476+'Capex &amp; Depr'!AB476+Debt!AC476+Pat.!S476+Rates!Z476</f>
        <v>0</v>
      </c>
      <c r="AG476" s="106">
        <f>+'Regulatory Charge'!AA476+Fuel!AA476+PCM!AB476+Interest!AA476+'O&amp;M'!AC476+'Capex &amp; Depr'!AC476+Debt!AD476+Pat.!T476+Rates!AA476</f>
        <v>0</v>
      </c>
      <c r="AH476" s="106">
        <f>+'Regulatory Charge'!AB476+Fuel!AB476+PCM!AC476+Interest!AB476+'O&amp;M'!AD476+'Capex &amp; Depr'!AD476+Debt!AE476+Pat.!U476+Rates!AB476</f>
        <v>0</v>
      </c>
      <c r="AI476" s="106">
        <f>+'Regulatory Charge'!AC476+Fuel!AC476+PCM!AD476+Interest!AC476+'O&amp;M'!AE476+'Capex &amp; Depr'!AE476+Debt!AF476+Pat.!V476+Rates!AC476</f>
        <v>0</v>
      </c>
      <c r="AJ476" s="106">
        <f>+'Regulatory Charge'!AD476+Fuel!AD476+PCM!AE476+Interest!AD476+'O&amp;M'!AF476+'Capex &amp; Depr'!AF476+Debt!AG476+Pat.!W476+Rates!AD476</f>
        <v>0</v>
      </c>
      <c r="AK476" s="106">
        <f>+'Regulatory Charge'!AE476+Fuel!AE476+PCM!AF476+Interest!AE476+'O&amp;M'!AG476+'Capex &amp; Depr'!AG476+Debt!AH476+Pat.!X476+Rates!AE476</f>
        <v>0</v>
      </c>
      <c r="AL476" s="106">
        <f>+'Regulatory Charge'!AF476+Fuel!AF476+PCM!AG476+Interest!AF476+'O&amp;M'!AH476+'Capex &amp; Depr'!AH476+Debt!AI476+Pat.!Y476+Rates!AF476</f>
        <v>0</v>
      </c>
      <c r="AM476" s="106">
        <f>+'Regulatory Charge'!AG476+Fuel!AG476+PCM!AH476+Interest!AG476+'O&amp;M'!AI476+'Capex &amp; Depr'!AI476+Debt!AJ476+Pat.!Z476+Rates!AG476</f>
        <v>0</v>
      </c>
      <c r="AN476" s="106">
        <f>+'Regulatory Charge'!AH476+Fuel!AH476+PCM!AI476+Interest!AH476+'O&amp;M'!AJ476+'Capex &amp; Depr'!AJ476+Debt!AK476+Pat.!AA476+Rates!AH476</f>
        <v>0</v>
      </c>
      <c r="AO476" s="106">
        <f>+'Regulatory Charge'!AI476+Fuel!AI476+PCM!AJ476+Interest!AI476+'O&amp;M'!AK476+'Capex &amp; Depr'!AK476+Debt!AL476+Pat.!AB476+Rates!AI476</f>
        <v>0</v>
      </c>
      <c r="AP476" s="106">
        <f>+'Regulatory Charge'!AJ476+Fuel!AJ476+PCM!AK476+Interest!AJ476+'O&amp;M'!AL476+'Capex &amp; Depr'!AL476+Debt!AM476+Pat.!AC476+Rates!AJ476</f>
        <v>0</v>
      </c>
      <c r="AQ476" s="106">
        <f>+'Regulatory Charge'!AK476+Fuel!AK476+PCM!AL476+Interest!AK476+'O&amp;M'!AM476+'Capex &amp; Depr'!AM476+Debt!AN476+Pat.!AD476+Rates!AK476</f>
        <v>0</v>
      </c>
      <c r="AR476" s="224">
        <f t="shared" si="5"/>
        <v>0</v>
      </c>
      <c r="AS476" s="106">
        <f>+'Regulatory Charge'!AM476+Fuel!AM476+PCM!AN476+Interest!AM476+'O&amp;M'!AO476+'Capex &amp; Depr'!AO476+Debt!AP476+Pat.!AF476+Rates!AM476</f>
        <v>0</v>
      </c>
      <c r="AT476" s="106">
        <f>+'Regulatory Charge'!AN476+Fuel!AN476+PCM!AO476+Interest!AN476+'O&amp;M'!AP476+'Capex &amp; Depr'!AP476+Debt!AQ476+Pat.!AG476+Rates!AN476</f>
        <v>0</v>
      </c>
      <c r="AU476" s="106">
        <f>+'Regulatory Charge'!AO476+Fuel!AO476+PCM!AP476+Interest!AO476+'O&amp;M'!AQ476+'Capex &amp; Depr'!AQ476+Debt!AR476+Pat.!AH476+Rates!AO476</f>
        <v>0</v>
      </c>
      <c r="AV476" s="106">
        <f>+'Regulatory Charge'!AP476+Fuel!AP476+PCM!AQ476+Interest!AP476+'O&amp;M'!AR476+'Capex &amp; Depr'!AR476+Debt!AS476+Pat.!AI476+Rates!AP476</f>
        <v>0</v>
      </c>
      <c r="AW476" s="106">
        <f>+'Regulatory Charge'!AQ476+Fuel!AQ476+PCM!AR476+Interest!AQ476+'O&amp;M'!AS476+'Capex &amp; Depr'!AS476+Debt!AT476+Pat.!AJ476+Rates!AQ476</f>
        <v>0</v>
      </c>
      <c r="AX476" s="106">
        <f>+'Regulatory Charge'!AR476+Fuel!AR476+PCM!AS476+Interest!AR476+'O&amp;M'!AT476+'Capex &amp; Depr'!AT476+Debt!AU476+Pat.!AK476+Rates!AR476</f>
        <v>0</v>
      </c>
      <c r="AY476" s="106">
        <f>+'Regulatory Charge'!AS476+Fuel!AS476+PCM!AT476+Interest!AS476+'O&amp;M'!AU476+'Capex &amp; Depr'!AU476+Debt!AV476+Pat.!AL476+Rates!AS476</f>
        <v>0</v>
      </c>
      <c r="AZ476" s="106">
        <f>+'Regulatory Charge'!AT476+Fuel!AT476+PCM!AU476+Interest!AT476+'O&amp;M'!AV476+'Capex &amp; Depr'!AV476+Debt!AW476+Pat.!AM476+Rates!AT476</f>
        <v>0</v>
      </c>
      <c r="BA476" s="106">
        <f>+'Regulatory Charge'!AU476+Fuel!AU476+PCM!AV476+Interest!AU476+'O&amp;M'!AW476+'Capex &amp; Depr'!AW476+Debt!AX476+Pat.!AN476+Rates!AU476</f>
        <v>0</v>
      </c>
      <c r="BB476" s="106">
        <f>+'Regulatory Charge'!AV476+Fuel!AV476+PCM!AW476+Interest!AV476+'O&amp;M'!AX476+'Capex &amp; Depr'!AX476+Debt!AY476+Pat.!AO476+Rates!AV476</f>
        <v>0</v>
      </c>
      <c r="BC476" s="106">
        <f>+'Regulatory Charge'!AW476+Fuel!AW476+PCM!AX476+Interest!AW476+'O&amp;M'!AY476+'Capex &amp; Depr'!AY476+Debt!AZ476+Pat.!AP476+Rates!AW476</f>
        <v>0</v>
      </c>
      <c r="BD476" s="106"/>
      <c r="BE476" s="106"/>
    </row>
    <row r="477" spans="1:57">
      <c r="A477" s="849">
        <v>501.1</v>
      </c>
      <c r="B477" s="846" t="s">
        <v>50</v>
      </c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224"/>
      <c r="S477" s="106">
        <f>+'Regulatory Charge'!M477+Fuel!M477+PCM!N477+Interest!M477+'O&amp;M'!O477+'Capex &amp; Depr'!O477+Debt!P477+Pat.!F477+Rates!M477</f>
        <v>0</v>
      </c>
      <c r="T477" s="106">
        <f>+'Regulatory Charge'!N477+Fuel!N477+PCM!O477+Interest!N477+'O&amp;M'!P477+'Capex &amp; Depr'!P477+Debt!Q477+Pat.!G477+Rates!N477</f>
        <v>0</v>
      </c>
      <c r="U477" s="106">
        <f>+'Regulatory Charge'!O477+Fuel!O477+PCM!P477+Interest!O477+'O&amp;M'!Q477+'Capex &amp; Depr'!Q477+Debt!R477+Pat.!H477+Rates!O477</f>
        <v>0</v>
      </c>
      <c r="V477" s="106">
        <f>+'Regulatory Charge'!P477+Fuel!P477+PCM!Q477+Interest!P477+'O&amp;M'!R477+'Capex &amp; Depr'!R477+Debt!S477+Pat.!I477+Rates!P477</f>
        <v>0</v>
      </c>
      <c r="W477" s="106">
        <f>+'Regulatory Charge'!Q477+Fuel!Q477+PCM!R477+Interest!Q477+'O&amp;M'!S477+'Capex &amp; Depr'!S477+Debt!T477+Pat.!J477+Rates!Q477</f>
        <v>0</v>
      </c>
      <c r="X477" s="106">
        <f>+'Regulatory Charge'!R477+Fuel!R477+PCM!S477+Interest!R477+'O&amp;M'!T477+'Capex &amp; Depr'!T477+Debt!U477+Pat.!K477+Rates!R477</f>
        <v>0</v>
      </c>
      <c r="Y477" s="106">
        <f>+'Regulatory Charge'!S477+Fuel!S477+PCM!T477+Interest!S477+'O&amp;M'!U477+'Capex &amp; Depr'!U477+Debt!V477+Pat.!L477+Rates!S477</f>
        <v>0.38248747</v>
      </c>
      <c r="Z477" s="106">
        <f>+'Regulatory Charge'!T477+Fuel!T477+PCM!U477+Interest!T477+'O&amp;M'!V477+'Capex &amp; Depr'!V477+Debt!W477+Pat.!M477+Rates!T477</f>
        <v>0</v>
      </c>
      <c r="AA477" s="106">
        <f>+'Regulatory Charge'!U477+Fuel!U477+PCM!V477+Interest!U477+'O&amp;M'!W477+'Capex &amp; Depr'!W477+Debt!X477+Pat.!N477+Rates!U477</f>
        <v>0</v>
      </c>
      <c r="AB477" s="106">
        <f>+'Regulatory Charge'!V477+Fuel!V477+PCM!W477+Interest!V477+'O&amp;M'!X477+'Capex &amp; Depr'!X477+Debt!Y477+Pat.!O477+Rates!V477</f>
        <v>0</v>
      </c>
      <c r="AC477" s="106">
        <f>+'Regulatory Charge'!W477+Fuel!W477+PCM!X477+Interest!W477+'O&amp;M'!Y477+'Capex &amp; Depr'!Y477+Debt!Z477+Pat.!P477+Rates!W477</f>
        <v>0</v>
      </c>
      <c r="AD477" s="106">
        <f>+'Regulatory Charge'!X477+Fuel!X477+PCM!Y477+Interest!X477+'O&amp;M'!Z477+'Capex &amp; Depr'!Z477+Debt!AA477+Pat.!Q477+Rates!X477</f>
        <v>0</v>
      </c>
      <c r="AE477" s="224">
        <f t="shared" si="4"/>
        <v>0.38248747</v>
      </c>
      <c r="AF477" s="106">
        <f>+'Regulatory Charge'!Z477+Fuel!Z477+PCM!AA477+Interest!Z477+'O&amp;M'!AB477+'Capex &amp; Depr'!AB477+Debt!AC477+Pat.!S477+Rates!Z477</f>
        <v>0</v>
      </c>
      <c r="AG477" s="106">
        <f>+'Regulatory Charge'!AA477+Fuel!AA477+PCM!AB477+Interest!AA477+'O&amp;M'!AC477+'Capex &amp; Depr'!AC477+Debt!AD477+Pat.!T477+Rates!AA477</f>
        <v>0</v>
      </c>
      <c r="AH477" s="106">
        <f>+'Regulatory Charge'!AB477+Fuel!AB477+PCM!AC477+Interest!AB477+'O&amp;M'!AD477+'Capex &amp; Depr'!AD477+Debt!AE477+Pat.!U477+Rates!AB477</f>
        <v>0</v>
      </c>
      <c r="AI477" s="106">
        <f>+'Regulatory Charge'!AC477+Fuel!AC477+PCM!AD477+Interest!AC477+'O&amp;M'!AE477+'Capex &amp; Depr'!AE477+Debt!AF477+Pat.!V477+Rates!AC477</f>
        <v>0</v>
      </c>
      <c r="AJ477" s="106">
        <f>+'Regulatory Charge'!AD477+Fuel!AD477+PCM!AE477+Interest!AD477+'O&amp;M'!AF477+'Capex &amp; Depr'!AF477+Debt!AG477+Pat.!W477+Rates!AD477</f>
        <v>0</v>
      </c>
      <c r="AK477" s="106">
        <f>+'Regulatory Charge'!AE477+Fuel!AE477+PCM!AF477+Interest!AE477+'O&amp;M'!AG477+'Capex &amp; Depr'!AG477+Debt!AH477+Pat.!X477+Rates!AE477</f>
        <v>0</v>
      </c>
      <c r="AL477" s="106">
        <f>+'Regulatory Charge'!AF477+Fuel!AF477+PCM!AG477+Interest!AF477+'O&amp;M'!AH477+'Capex &amp; Depr'!AH477+Debt!AI477+Pat.!Y477+Rates!AF477</f>
        <v>0</v>
      </c>
      <c r="AM477" s="106">
        <f>+'Regulatory Charge'!AG477+Fuel!AG477+PCM!AH477+Interest!AG477+'O&amp;M'!AI477+'Capex &amp; Depr'!AI477+Debt!AJ477+Pat.!Z477+Rates!AG477</f>
        <v>0</v>
      </c>
      <c r="AN477" s="106">
        <f>+'Regulatory Charge'!AH477+Fuel!AH477+PCM!AI477+Interest!AH477+'O&amp;M'!AJ477+'Capex &amp; Depr'!AJ477+Debt!AK477+Pat.!AA477+Rates!AH477</f>
        <v>0</v>
      </c>
      <c r="AO477" s="106">
        <f>+'Regulatory Charge'!AI477+Fuel!AI477+PCM!AJ477+Interest!AI477+'O&amp;M'!AK477+'Capex &amp; Depr'!AK477+Debt!AL477+Pat.!AB477+Rates!AI477</f>
        <v>0</v>
      </c>
      <c r="AP477" s="106">
        <f>+'Regulatory Charge'!AJ477+Fuel!AJ477+PCM!AK477+Interest!AJ477+'O&amp;M'!AL477+'Capex &amp; Depr'!AL477+Debt!AM477+Pat.!AC477+Rates!AJ477</f>
        <v>0</v>
      </c>
      <c r="AQ477" s="106">
        <f>+'Regulatory Charge'!AK477+Fuel!AK477+PCM!AL477+Interest!AK477+'O&amp;M'!AM477+'Capex &amp; Depr'!AM477+Debt!AN477+Pat.!AD477+Rates!AK477</f>
        <v>0</v>
      </c>
      <c r="AR477" s="224">
        <f t="shared" si="5"/>
        <v>0</v>
      </c>
      <c r="AS477" s="106">
        <f>+'Regulatory Charge'!AM477+Fuel!AM477+PCM!AN477+Interest!AM477+'O&amp;M'!AO477+'Capex &amp; Depr'!AO477+Debt!AP477+Pat.!AF477+Rates!AM477</f>
        <v>0</v>
      </c>
      <c r="AT477" s="106">
        <f>+'Regulatory Charge'!AN477+Fuel!AN477+PCM!AO477+Interest!AN477+'O&amp;M'!AP477+'Capex &amp; Depr'!AP477+Debt!AQ477+Pat.!AG477+Rates!AN477</f>
        <v>0</v>
      </c>
      <c r="AU477" s="106">
        <f>+'Regulatory Charge'!AO477+Fuel!AO477+PCM!AP477+Interest!AO477+'O&amp;M'!AQ477+'Capex &amp; Depr'!AQ477+Debt!AR477+Pat.!AH477+Rates!AO477</f>
        <v>0</v>
      </c>
      <c r="AV477" s="106">
        <f>+'Regulatory Charge'!AP477+Fuel!AP477+PCM!AQ477+Interest!AP477+'O&amp;M'!AR477+'Capex &amp; Depr'!AR477+Debt!AS477+Pat.!AI477+Rates!AP477</f>
        <v>0</v>
      </c>
      <c r="AW477" s="106">
        <f>+'Regulatory Charge'!AQ477+Fuel!AQ477+PCM!AR477+Interest!AQ477+'O&amp;M'!AS477+'Capex &amp; Depr'!AS477+Debt!AT477+Pat.!AJ477+Rates!AQ477</f>
        <v>1.39504044</v>
      </c>
      <c r="AX477" s="106">
        <f>+'Regulatory Charge'!AR477+Fuel!AR477+PCM!AS477+Interest!AR477+'O&amp;M'!AT477+'Capex &amp; Depr'!AT477+Debt!AU477+Pat.!AK477+Rates!AR477</f>
        <v>5.6530768199999999</v>
      </c>
      <c r="AY477" s="106">
        <f>+'Regulatory Charge'!AS477+Fuel!AS477+PCM!AT477+Interest!AS477+'O&amp;M'!AU477+'Capex &amp; Depr'!AU477+Debt!AV477+Pat.!AL477+Rates!AS477</f>
        <v>12.951438140000002</v>
      </c>
      <c r="AZ477" s="106">
        <f>+'Regulatory Charge'!AT477+Fuel!AT477+PCM!AU477+Interest!AT477+'O&amp;M'!AV477+'Capex &amp; Depr'!AV477+Debt!AW477+Pat.!AM477+Rates!AT477</f>
        <v>12.37942357</v>
      </c>
      <c r="BA477" s="106">
        <f>+'Regulatory Charge'!AU477+Fuel!AU477+PCM!AV477+Interest!AU477+'O&amp;M'!AW477+'Capex &amp; Depr'!AW477+Debt!AX477+Pat.!AN477+Rates!AU477</f>
        <v>10.35356093</v>
      </c>
      <c r="BB477" s="106">
        <f>+'Regulatory Charge'!AV477+Fuel!AV477+PCM!AW477+Interest!AV477+'O&amp;M'!AX477+'Capex &amp; Depr'!AX477+Debt!AY477+Pat.!AO477+Rates!AV477</f>
        <v>8.579813660000001</v>
      </c>
      <c r="BC477" s="106">
        <f>+'Regulatory Charge'!AW477+Fuel!AW477+PCM!AX477+Interest!AW477+'O&amp;M'!AY477+'Capex &amp; Depr'!AY477+Debt!AZ477+Pat.!AP477+Rates!AW477</f>
        <v>8.4529117100000004</v>
      </c>
      <c r="BD477" s="106"/>
      <c r="BE477" s="106"/>
    </row>
    <row r="478" spans="1:57">
      <c r="A478" s="849" t="s">
        <v>722</v>
      </c>
      <c r="B478" s="850" t="s">
        <v>1029</v>
      </c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224"/>
      <c r="S478" s="106">
        <f>+'Regulatory Charge'!M478+Fuel!M478+PCM!N478+Interest!M478+'O&amp;M'!O478+'Capex &amp; Depr'!O478+Debt!P478+Pat.!F478+Rates!M478</f>
        <v>0.36338317472501602</v>
      </c>
      <c r="T478" s="106">
        <f>+'Regulatory Charge'!N478+Fuel!N478+PCM!O478+Interest!N478+'O&amp;M'!P478+'Capex &amp; Depr'!P478+Debt!Q478+Pat.!G478+Rates!N478</f>
        <v>0.3463856222879349</v>
      </c>
      <c r="U478" s="106">
        <f>+'Regulatory Charge'!O478+Fuel!O478+PCM!P478+Interest!O478+'O&amp;M'!Q478+'Capex &amp; Depr'!Q478+Debt!R478+Pat.!H478+Rates!O478</f>
        <v>0.37645036764951323</v>
      </c>
      <c r="V478" s="106">
        <f>+'Regulatory Charge'!P478+Fuel!P478+PCM!Q478+Interest!P478+'O&amp;M'!R478+'Capex &amp; Depr'!R478+Debt!S478+Pat.!I478+Rates!P478</f>
        <v>0.36111457423759974</v>
      </c>
      <c r="W478" s="106">
        <f>+'Regulatory Charge'!Q478+Fuel!Q478+PCM!R478+Interest!Q478+'O&amp;M'!S478+'Capex &amp; Depr'!S478+Debt!T478+Pat.!J478+Rates!Q478</f>
        <v>0.37590847862434568</v>
      </c>
      <c r="X478" s="106">
        <f>+'Regulatory Charge'!R478+Fuel!R478+PCM!S478+Interest!R478+'O&amp;M'!T478+'Capex &amp; Depr'!T478+Debt!U478+Pat.!K478+Rates!R478</f>
        <v>0.3289309583886052</v>
      </c>
      <c r="Y478" s="106">
        <f>+'Regulatory Charge'!S478+Fuel!S478+PCM!T478+Interest!S478+'O&amp;M'!U478+'Capex &amp; Depr'!U478+Debt!V478+Pat.!L478+Rates!S478</f>
        <v>0.36214957423759975</v>
      </c>
      <c r="Z478" s="106">
        <f>+'Regulatory Charge'!T478+Fuel!T478+PCM!U478+Interest!T478+'O&amp;M'!V478+'Capex &amp; Depr'!V478+Debt!W478+Pat.!M478+Rates!T478</f>
        <v>0.37583947862434569</v>
      </c>
      <c r="AA478" s="106">
        <f>+'Regulatory Charge'!U478+Fuel!U478+PCM!V478+Interest!U478+'O&amp;M'!W478+'Capex &amp; Depr'!W478+Debt!X478+Pat.!N478+Rates!U478</f>
        <v>0.33345258881934953</v>
      </c>
      <c r="AB478" s="106">
        <f>+'Regulatory Charge'!V478+Fuel!V478+PCM!W478+Interest!V478+'O&amp;M'!X478+'Capex &amp; Depr'!X478+Debt!Y478+Pat.!O478+Rates!V478</f>
        <v>0.38942448718687694</v>
      </c>
      <c r="AC478" s="106">
        <f>+'Regulatory Charge'!W478+Fuel!W478+PCM!X478+Interest!W478+'O&amp;M'!Y478+'Capex &amp; Depr'!Y478+Debt!Z478+Pat.!P478+Rates!W478</f>
        <v>0.32029955299442875</v>
      </c>
      <c r="AD478" s="106">
        <f>+'Regulatory Charge'!X478+Fuel!X478+PCM!Y478+Interest!X478+'O&amp;M'!Z478+'Capex &amp; Depr'!Z478+Debt!AA478+Pat.!Q478+Rates!X478</f>
        <v>0.22586498881059874</v>
      </c>
      <c r="AE478" s="224">
        <f t="shared" si="4"/>
        <v>4.1592038465862142</v>
      </c>
      <c r="AF478" s="106">
        <f>+'Regulatory Charge'!Z478+Fuel!Z478+PCM!AA478+Interest!Z478+'O&amp;M'!AB478+'Capex &amp; Depr'!AB478+Debt!AC478+Pat.!S478+Rates!Z478</f>
        <v>0.24114186577875826</v>
      </c>
      <c r="AG478" s="106">
        <f>+'Regulatory Charge'!AA478+Fuel!AA478+PCM!AB478+Interest!AA478+'O&amp;M'!AC478+'Capex &amp; Depr'!AC478+Debt!AD478+Pat.!T478+Rates!AA478</f>
        <v>0.22809323590239053</v>
      </c>
      <c r="AH478" s="106">
        <f>+'Regulatory Charge'!AB478+Fuel!AB478+PCM!AC478+Interest!AB478+'O&amp;M'!AD478+'Capex &amp; Depr'!AD478+Debt!AE478+Pat.!U478+Rates!AB478</f>
        <v>0.24989259430139948</v>
      </c>
      <c r="AI478" s="106">
        <f>+'Regulatory Charge'!AC478+Fuel!AC478+PCM!AD478+Interest!AC478+'O&amp;M'!AE478+'Capex &amp; Depr'!AE478+Debt!AF478+Pat.!V478+Rates!AC478</f>
        <v>0.2396969771034847</v>
      </c>
      <c r="AJ478" s="106">
        <f>+'Regulatory Charge'!AD478+Fuel!AD478+PCM!AE478+Interest!AD478+'O&amp;M'!AF478+'Capex &amp; Depr'!AF478+Debt!AG478+Pat.!W478+Rates!AD478</f>
        <v>0.24690877018094662</v>
      </c>
      <c r="AK478" s="106">
        <f>+'Regulatory Charge'!AE478+Fuel!AE478+PCM!AF478+Interest!AE478+'O&amp;M'!AG478+'Capex &amp; Depr'!AG478+Debt!AH478+Pat.!X478+Rates!AE478</f>
        <v>0.21724909070020215</v>
      </c>
      <c r="AL478" s="106">
        <f>+'Regulatory Charge'!AF478+Fuel!AF478+PCM!AG478+Interest!AF478+'O&amp;M'!AH478+'Capex &amp; Depr'!AH478+Debt!AI478+Pat.!Y478+Rates!AF478</f>
        <v>0.24073197710348471</v>
      </c>
      <c r="AM478" s="106">
        <f>+'Regulatory Charge'!AG478+Fuel!AG478+PCM!AH478+Interest!AG478+'O&amp;M'!AI478+'Capex &amp; Depr'!AI478+Debt!AJ478+Pat.!Z478+Rates!AG478</f>
        <v>0.24683770018094661</v>
      </c>
      <c r="AN478" s="106">
        <f>+'Regulatory Charge'!AH478+Fuel!AH478+PCM!AI478+Interest!AH478+'O&amp;M'!AJ478+'Capex &amp; Depr'!AJ478+Debt!AK478+Pat.!AA478+Rates!AH478</f>
        <v>0.22747272440911986</v>
      </c>
      <c r="AO478" s="106">
        <f>+'Regulatory Charge'!AI478+Fuel!AI478+PCM!AJ478+Interest!AI478+'O&amp;M'!AK478+'Capex &amp; Depr'!AK478+Debt!AL478+Pat.!AB478+Rates!AI478</f>
        <v>0.26304795291794697</v>
      </c>
      <c r="AP478" s="106">
        <f>+'Regulatory Charge'!AJ478+Fuel!AJ478+PCM!AK478+Interest!AJ478+'O&amp;M'!AL478+'Capex &amp; Depr'!AL478+Debt!AM478+Pat.!AC478+Rates!AJ478</f>
        <v>0.21740671833171366</v>
      </c>
      <c r="AQ478" s="106">
        <f>+'Regulatory Charge'!AK478+Fuel!AK478+PCM!AL478+Interest!AK478+'O&amp;M'!AM478+'Capex &amp; Depr'!AM478+Debt!AN478+Pat.!AD478+Rates!AK478</f>
        <v>0.22405664488152602</v>
      </c>
      <c r="AR478" s="224">
        <f t="shared" si="5"/>
        <v>2.8425362517919193</v>
      </c>
      <c r="AS478" s="106">
        <f>+'Regulatory Charge'!AM478+Fuel!AM478+PCM!AN478+Interest!AM478+'O&amp;M'!AO478+'Capex &amp; Depr'!AO478+Debt!AP478+Pat.!AF478+Rates!AM478</f>
        <v>2.9097231713264868</v>
      </c>
      <c r="AT478" s="106">
        <f>+'Regulatory Charge'!AN478+Fuel!AN478+PCM!AO478+Interest!AN478+'O&amp;M'!AP478+'Capex &amp; Depr'!AP478+Debt!AQ478+Pat.!AG478+Rates!AN478</f>
        <v>2.9172499229633768</v>
      </c>
      <c r="AU478" s="106">
        <f>+'Regulatory Charge'!AO478+Fuel!AO478+PCM!AP478+Interest!AO478+'O&amp;M'!AQ478+'Capex &amp; Depr'!AQ478+Debt!AR478+Pat.!AH478+Rates!AO478</f>
        <v>3.0047674206522781</v>
      </c>
      <c r="AV478" s="106">
        <f>+'Regulatory Charge'!AP478+Fuel!AP478+PCM!AQ478+Interest!AP478+'O&amp;M'!AR478+'Capex &amp; Depr'!AR478+Debt!AS478+Pat.!AI478+Rates!AP478</f>
        <v>3.0949104432718464</v>
      </c>
      <c r="AW478" s="106">
        <f>+'Regulatory Charge'!AQ478+Fuel!AQ478+PCM!AR478+Interest!AQ478+'O&amp;M'!AS478+'Capex &amp; Depr'!AS478+Debt!AT478+Pat.!AJ478+Rates!AQ478</f>
        <v>3.1877577565700022</v>
      </c>
      <c r="AX478" s="106">
        <f>+'Regulatory Charge'!AR478+Fuel!AR478+PCM!AS478+Interest!AR478+'O&amp;M'!AT478+'Capex &amp; Depr'!AT478+Debt!AU478+Pat.!AK478+Rates!AR478</f>
        <v>3.2833904892671026</v>
      </c>
      <c r="AY478" s="106">
        <f>+'Regulatory Charge'!AS478+Fuel!AS478+PCM!AT478+Interest!AS478+'O&amp;M'!AU478+'Capex &amp; Depr'!AU478+Debt!AV478+Pat.!AL478+Rates!AS478</f>
        <v>3.3818922039451156</v>
      </c>
      <c r="AZ478" s="106">
        <f>+'Regulatory Charge'!AT478+Fuel!AT478+PCM!AU478+Interest!AT478+'O&amp;M'!AV478+'Capex &amp; Depr'!AV478+Debt!AW478+Pat.!AM478+Rates!AT478</f>
        <v>3.4833489700634694</v>
      </c>
      <c r="BA478" s="106">
        <f>+'Regulatory Charge'!AU478+Fuel!AU478+PCM!AV478+Interest!AU478+'O&amp;M'!AW478+'Capex &amp; Depr'!AW478+Debt!AX478+Pat.!AN478+Rates!AU478</f>
        <v>3.5878494391653737</v>
      </c>
      <c r="BB478" s="106">
        <f>+'Regulatory Charge'!AV478+Fuel!AV478+PCM!AW478+Interest!AV478+'O&amp;M'!AX478+'Capex &amp; Depr'!AX478+Debt!AY478+Pat.!AO478+Rates!AV478</f>
        <v>3.6954849223403348</v>
      </c>
      <c r="BC478" s="106">
        <f>+'Regulatory Charge'!AW478+Fuel!AW478+PCM!AX478+Interest!AW478+'O&amp;M'!AY478+'Capex &amp; Depr'!AY478+Debt!AZ478+Pat.!AP478+Rates!AW478</f>
        <v>3.8063494700105451</v>
      </c>
      <c r="BD478" s="106"/>
      <c r="BE478" s="106"/>
    </row>
    <row r="479" spans="1:57">
      <c r="A479" s="849">
        <v>501.1</v>
      </c>
      <c r="B479" s="846" t="s">
        <v>52</v>
      </c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224"/>
      <c r="S479" s="106">
        <f>+'Regulatory Charge'!M479+Fuel!M479+PCM!N479+Interest!M479+'O&amp;M'!O479+'Capex &amp; Depr'!O479+Debt!P479+Pat.!F479+Rates!M479</f>
        <v>7.2905604618881901</v>
      </c>
      <c r="T479" s="106">
        <f>+'Regulatory Charge'!N479+Fuel!N479+PCM!O479+Interest!N479+'O&amp;M'!P479+'Capex &amp; Depr'!P479+Debt!Q479+Pat.!G479+Rates!N479</f>
        <v>6.4853631490742663</v>
      </c>
      <c r="U479" s="106">
        <f>+'Regulatory Charge'!O479+Fuel!O479+PCM!P479+Interest!O479+'O&amp;M'!Q479+'Capex &amp; Depr'!Q479+Debt!R479+Pat.!H479+Rates!O479</f>
        <v>7.0251349963196112</v>
      </c>
      <c r="V479" s="106">
        <f>+'Regulatory Charge'!P479+Fuel!P479+PCM!Q479+Interest!P479+'O&amp;M'!R479+'Capex &amp; Depr'!R479+Debt!S479+Pat.!I479+Rates!P479</f>
        <v>6.6685234208019315</v>
      </c>
      <c r="W479" s="106">
        <f>+'Regulatory Charge'!Q479+Fuel!Q479+PCM!R479+Interest!Q479+'O&amp;M'!S479+'Capex &amp; Depr'!S479+Debt!T479+Pat.!J479+Rates!Q479</f>
        <v>5.3677004565080848</v>
      </c>
      <c r="X479" s="106">
        <f>+'Regulatory Charge'!R479+Fuel!R479+PCM!S479+Interest!R479+'O&amp;M'!T479+'Capex &amp; Depr'!T479+Debt!U479+Pat.!K479+Rates!R479</f>
        <v>6.699648542422632</v>
      </c>
      <c r="Y479" s="106">
        <f>+'Regulatory Charge'!S479+Fuel!S479+PCM!T479+Interest!S479+'O&amp;M'!U479+'Capex &amp; Depr'!U479+Debt!V479+Pat.!L479+Rates!S479</f>
        <v>6.9961463222753215</v>
      </c>
      <c r="Z479" s="106">
        <f>+'Regulatory Charge'!T479+Fuel!T479+PCM!U479+Interest!T479+'O&amp;M'!V479+'Capex &amp; Depr'!V479+Debt!W479+Pat.!M479+Rates!T479</f>
        <v>7.0663034350011324</v>
      </c>
      <c r="AA479" s="106">
        <f>+'Regulatory Charge'!U479+Fuel!U479+PCM!V479+Interest!U479+'O&amp;M'!W479+'Capex &amp; Depr'!W479+Debt!X479+Pat.!N479+Rates!U479</f>
        <v>6.7267350606100544</v>
      </c>
      <c r="AB479" s="106">
        <f>+'Regulatory Charge'!V479+Fuel!V479+PCM!W479+Interest!V479+'O&amp;M'!X479+'Capex &amp; Depr'!X479+Debt!Y479+Pat.!O479+Rates!V479</f>
        <v>7.1165081513370048</v>
      </c>
      <c r="AC479" s="106">
        <f>+'Regulatory Charge'!W479+Fuel!W479+PCM!X479+Interest!W479+'O&amp;M'!Y479+'Capex &amp; Depr'!Y479+Debt!Z479+Pat.!P479+Rates!W479</f>
        <v>6.9555926543681901</v>
      </c>
      <c r="AD479" s="106">
        <f>+'Regulatory Charge'!X479+Fuel!X479+PCM!Y479+Interest!X479+'O&amp;M'!Z479+'Capex &amp; Depr'!Z479+Debt!AA479+Pat.!Q479+Rates!X479</f>
        <v>7.0956021314427593</v>
      </c>
      <c r="AE479" s="224">
        <f t="shared" si="4"/>
        <v>81.493818782049175</v>
      </c>
      <c r="AF479" s="106">
        <f>+'Regulatory Charge'!Z479+Fuel!Z479+PCM!AA479+Interest!Z479+'O&amp;M'!AB479+'Capex &amp; Depr'!AB479+Debt!AC479+Pat.!S479+Rates!Z479</f>
        <v>7.5272621114907059</v>
      </c>
      <c r="AG479" s="106">
        <f>+'Regulatory Charge'!AA479+Fuel!AA479+PCM!AB479+Interest!AA479+'O&amp;M'!AC479+'Capex &amp; Depr'!AC479+Debt!AD479+Pat.!T479+Rates!AA479</f>
        <v>6.7602638569510667</v>
      </c>
      <c r="AH479" s="106">
        <f>+'Regulatory Charge'!AB479+Fuel!AB479+PCM!AC479+Interest!AB479+'O&amp;M'!AD479+'Capex &amp; Depr'!AD479+Debt!AE479+Pat.!U479+Rates!AB479</f>
        <v>7.1066038427884699</v>
      </c>
      <c r="AI479" s="106">
        <f>+'Regulatory Charge'!AC479+Fuel!AC479+PCM!AD479+Interest!AC479+'O&amp;M'!AE479+'Capex &amp; Depr'!AE479+Debt!AF479+Pat.!V479+Rates!AC479</f>
        <v>4.9954556217859363</v>
      </c>
      <c r="AJ479" s="106">
        <f>+'Regulatory Charge'!AD479+Fuel!AD479+PCM!AE479+Interest!AD479+'O&amp;M'!AF479+'Capex &amp; Depr'!AF479+Debt!AG479+Pat.!W479+Rates!AD479</f>
        <v>5.3712739859811478</v>
      </c>
      <c r="AK479" s="106">
        <f>+'Regulatory Charge'!AE479+Fuel!AE479+PCM!AF479+Interest!AE479+'O&amp;M'!AG479+'Capex &amp; Depr'!AG479+Debt!AH479+Pat.!X479+Rates!AE479</f>
        <v>7.0186531914232608</v>
      </c>
      <c r="AL479" s="106">
        <f>+'Regulatory Charge'!AF479+Fuel!AF479+PCM!AG479+Interest!AF479+'O&amp;M'!AH479+'Capex &amp; Depr'!AH479+Debt!AI479+Pat.!Y479+Rates!AF479</f>
        <v>7.2788561242207059</v>
      </c>
      <c r="AM479" s="106">
        <f>+'Regulatory Charge'!AG479+Fuel!AG479+PCM!AH479+Interest!AG479+'O&amp;M'!AI479+'Capex &amp; Depr'!AI479+Debt!AJ479+Pat.!Z479+Rates!AG479</f>
        <v>7.2840546228248364</v>
      </c>
      <c r="AN479" s="106">
        <f>+'Regulatory Charge'!AH479+Fuel!AH479+PCM!AI479+Interest!AH479+'O&amp;M'!AJ479+'Capex &amp; Depr'!AJ479+Debt!AK479+Pat.!AA479+Rates!AH479</f>
        <v>7.0356854541386928</v>
      </c>
      <c r="AO479" s="106">
        <f>+'Regulatory Charge'!AI479+Fuel!AI479+PCM!AJ479+Interest!AI479+'O&amp;M'!AK479+'Capex &amp; Depr'!AK479+Debt!AL479+Pat.!AB479+Rates!AI479</f>
        <v>7.3938836839668012</v>
      </c>
      <c r="AP479" s="106">
        <f>+'Regulatory Charge'!AJ479+Fuel!AJ479+PCM!AK479+Interest!AJ479+'O&amp;M'!AL479+'Capex &amp; Depr'!AL479+Debt!AM479+Pat.!AC479+Rates!AJ479</f>
        <v>7.1861213787980933</v>
      </c>
      <c r="AQ479" s="106">
        <f>+'Regulatory Charge'!AK479+Fuel!AK479+PCM!AL479+Interest!AK479+'O&amp;M'!AM479+'Capex &amp; Depr'!AM479+Debt!AN479+Pat.!AD479+Rates!AK479</f>
        <v>7.2501795270236258</v>
      </c>
      <c r="AR479" s="224">
        <f t="shared" si="5"/>
        <v>82.208293401393348</v>
      </c>
      <c r="AS479" s="106">
        <f>+'Regulatory Charge'!AM479+Fuel!AM479+PCM!AN479+Interest!AM479+'O&amp;M'!AO479+'Capex &amp; Depr'!AO479+Debt!AP479+Pat.!AF479+Rates!AM479</f>
        <v>87.531729537021761</v>
      </c>
      <c r="AT479" s="106">
        <f>+'Regulatory Charge'!AN479+Fuel!AN479+PCM!AO479+Interest!AN479+'O&amp;M'!AP479+'Capex &amp; Depr'!AP479+Debt!AQ479+Pat.!AG479+Rates!AN479</f>
        <v>90.774528602618929</v>
      </c>
      <c r="AU479" s="106">
        <f>+'Regulatory Charge'!AO479+Fuel!AO479+PCM!AP479+Interest!AO479+'O&amp;M'!AQ479+'Capex &amp; Depr'!AQ479+Debt!AR479+Pat.!AH479+Rates!AO479</f>
        <v>89.379797020967388</v>
      </c>
      <c r="AV479" s="106">
        <f>+'Regulatory Charge'!AP479+Fuel!AP479+PCM!AQ479+Interest!AP479+'O&amp;M'!AR479+'Capex &amp; Depr'!AR479+Debt!AS479+Pat.!AI479+Rates!AP479</f>
        <v>94.119661749981461</v>
      </c>
      <c r="AW479" s="106">
        <f>+'Regulatory Charge'!AQ479+Fuel!AQ479+PCM!AR479+Interest!AQ479+'O&amp;M'!AS479+'Capex &amp; Depr'!AS479+Debt!AT479+Pat.!AJ479+Rates!AQ479</f>
        <v>105.0275041312828</v>
      </c>
      <c r="AX479" s="106">
        <f>+'Regulatory Charge'!AR479+Fuel!AR479+PCM!AS479+Interest!AR479+'O&amp;M'!AT479+'Capex &amp; Depr'!AT479+Debt!AU479+Pat.!AK479+Rates!AR479</f>
        <v>114.50501517242354</v>
      </c>
      <c r="AY479" s="106">
        <f>+'Regulatory Charge'!AS479+Fuel!AS479+PCM!AT479+Interest!AS479+'O&amp;M'!AU479+'Capex &amp; Depr'!AU479+Debt!AV479+Pat.!AL479+Rates!AS479</f>
        <v>117.89663234847183</v>
      </c>
      <c r="AZ479" s="106">
        <f>+'Regulatory Charge'!AT479+Fuel!AT479+PCM!AU479+Interest!AT479+'O&amp;M'!AV479+'Capex &amp; Depr'!AV479+Debt!AW479+Pat.!AM479+Rates!AT479</f>
        <v>122.01244983712307</v>
      </c>
      <c r="BA479" s="106">
        <f>+'Regulatory Charge'!AU479+Fuel!AU479+PCM!AV479+Interest!AU479+'O&amp;M'!AW479+'Capex &amp; Depr'!AW479+Debt!AX479+Pat.!AN479+Rates!AU479</f>
        <v>124.74509894870869</v>
      </c>
      <c r="BB479" s="106">
        <f>+'Regulatory Charge'!AV479+Fuel!AV479+PCM!AW479+Interest!AV479+'O&amp;M'!AX479+'Capex &amp; Depr'!AX479+Debt!AY479+Pat.!AO479+Rates!AV479</f>
        <v>130.44750465355312</v>
      </c>
      <c r="BC479" s="106">
        <f>+'Regulatory Charge'!AW479+Fuel!AW479+PCM!AX479+Interest!AW479+'O&amp;M'!AY479+'Capex &amp; Depr'!AY479+Debt!AZ479+Pat.!AP479+Rates!AW479</f>
        <v>139.83235231303726</v>
      </c>
      <c r="BD479" s="106"/>
      <c r="BE479" s="106"/>
    </row>
    <row r="480" spans="1:57">
      <c r="A480" s="849">
        <v>501.2</v>
      </c>
      <c r="B480" s="850" t="s">
        <v>1029</v>
      </c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224"/>
      <c r="S480" s="106">
        <f>+'Regulatory Charge'!M480+Fuel!M480+PCM!N480+Interest!M480+'O&amp;M'!O480+'Capex &amp; Depr'!O480+Debt!P480+Pat.!F480+Rates!M480</f>
        <v>0.11133423692965518</v>
      </c>
      <c r="T480" s="106">
        <f>+'Regulatory Charge'!N480+Fuel!N480+PCM!O480+Interest!N480+'O&amp;M'!P480+'Capex &amp; Depr'!P480+Debt!Q480+Pat.!G480+Rates!N480</f>
        <v>0.14405124138534484</v>
      </c>
      <c r="U480" s="106">
        <f>+'Regulatory Charge'!O480+Fuel!O480+PCM!P480+Interest!O480+'O&amp;M'!Q480+'Capex &amp; Depr'!Q480+Debt!R480+Pat.!H480+Rates!O480</f>
        <v>0.14745200069034484</v>
      </c>
      <c r="V480" s="106">
        <f>+'Regulatory Charge'!P480+Fuel!P480+PCM!Q480+Interest!P480+'O&amp;M'!R480+'Capex &amp; Depr'!R480+Debt!S480+Pat.!I480+Rates!P480</f>
        <v>0.15791792856568965</v>
      </c>
      <c r="W480" s="106">
        <f>+'Regulatory Charge'!Q480+Fuel!Q480+PCM!R480+Interest!Q480+'O&amp;M'!S480+'Capex &amp; Depr'!S480+Debt!T480+Pat.!J480+Rates!Q480</f>
        <v>0.21521575333413789</v>
      </c>
      <c r="X480" s="106">
        <f>+'Regulatory Charge'!R480+Fuel!R480+PCM!S480+Interest!R480+'O&amp;M'!T480+'Capex &amp; Depr'!T480+Debt!U480+Pat.!K480+Rates!R480</f>
        <v>0.12887982346827587</v>
      </c>
      <c r="Y480" s="106">
        <f>+'Regulatory Charge'!S480+Fuel!S480+PCM!T480+Interest!S480+'O&amp;M'!U480+'Capex &amp; Depr'!U480+Debt!V480+Pat.!L480+Rates!S480</f>
        <v>0.1689127555298276</v>
      </c>
      <c r="Z480" s="106">
        <f>+'Regulatory Charge'!T480+Fuel!T480+PCM!U480+Interest!T480+'O&amp;M'!V480+'Capex &amp; Depr'!V480+Debt!W480+Pat.!M480+Rates!T480</f>
        <v>0.18084965755189655</v>
      </c>
      <c r="AA480" s="106">
        <f>+'Regulatory Charge'!U480+Fuel!U480+PCM!V480+Interest!U480+'O&amp;M'!W480+'Capex &amp; Depr'!W480+Debt!X480+Pat.!N480+Rates!U480</f>
        <v>8.9945370182413789E-2</v>
      </c>
      <c r="AB480" s="106">
        <f>+'Regulatory Charge'!V480+Fuel!V480+PCM!W480+Interest!V480+'O&amp;M'!X480+'Capex &amp; Depr'!X480+Debt!Y480+Pat.!O480+Rates!V480</f>
        <v>0.11559932610034486</v>
      </c>
      <c r="AC480" s="106">
        <f>+'Regulatory Charge'!W480+Fuel!W480+PCM!X480+Interest!W480+'O&amp;M'!Y480+'Capex &amp; Depr'!Y480+Debt!Z480+Pat.!P480+Rates!W480</f>
        <v>9.9173434239655175E-2</v>
      </c>
      <c r="AD480" s="106">
        <f>+'Regulatory Charge'!X480+Fuel!X480+PCM!Y480+Interest!X480+'O&amp;M'!Z480+'Capex &amp; Depr'!Z480+Debt!AA480+Pat.!Q480+Rates!X480</f>
        <v>6.4620307821034478E-2</v>
      </c>
      <c r="AE480" s="224">
        <f t="shared" si="4"/>
        <v>1.6239518357986207</v>
      </c>
      <c r="AF480" s="106">
        <f>+'Regulatory Charge'!Z480+Fuel!Z480+PCM!AA480+Interest!Z480+'O&amp;M'!AB480+'Capex &amp; Depr'!AB480+Debt!AC480+Pat.!S480+Rates!Z480</f>
        <v>8.100455727699743E-2</v>
      </c>
      <c r="AG480" s="106">
        <f>+'Regulatory Charge'!AA480+Fuel!AA480+PCM!AB480+Interest!AA480+'O&amp;M'!AC480+'Capex &amp; Depr'!AC480+Debt!AD480+Pat.!T480+Rates!AA480</f>
        <v>5.8174519174843099E-2</v>
      </c>
      <c r="AH480" s="106">
        <f>+'Regulatory Charge'!AB480+Fuel!AB480+PCM!AC480+Interest!AB480+'O&amp;M'!AD480+'Capex &amp; Depr'!AD480+Debt!AE480+Pat.!U480+Rates!AB480</f>
        <v>0.11772582212262499</v>
      </c>
      <c r="AI480" s="106">
        <f>+'Regulatory Charge'!AC480+Fuel!AC480+PCM!AD480+Interest!AC480+'O&amp;M'!AE480+'Capex &amp; Depr'!AE480+Debt!AF480+Pat.!V480+Rates!AC480</f>
        <v>0.15532948735157329</v>
      </c>
      <c r="AJ480" s="106">
        <f>+'Regulatory Charge'!AD480+Fuel!AD480+PCM!AE480+Interest!AD480+'O&amp;M'!AF480+'Capex &amp; Depr'!AF480+Debt!AG480+Pat.!W480+Rates!AD480</f>
        <v>0.1644143422843595</v>
      </c>
      <c r="AK480" s="106">
        <f>+'Regulatory Charge'!AE480+Fuel!AE480+PCM!AF480+Interest!AE480+'O&amp;M'!AG480+'Capex &amp; Depr'!AG480+Debt!AH480+Pat.!X480+Rates!AE480</f>
        <v>9.2027106797941363E-2</v>
      </c>
      <c r="AL480" s="106">
        <f>+'Regulatory Charge'!AF480+Fuel!AF480+PCM!AG480+Interest!AF480+'O&amp;M'!AH480+'Capex &amp; Depr'!AH480+Debt!AI480+Pat.!Y480+Rates!AF480</f>
        <v>0.11065528805557845</v>
      </c>
      <c r="AM480" s="106">
        <f>+'Regulatory Charge'!AG480+Fuel!AG480+PCM!AH480+Interest!AG480+'O&amp;M'!AI480+'Capex &amp; Depr'!AI480+Debt!AJ480+Pat.!Z480+Rates!AG480</f>
        <v>0.11040621627633704</v>
      </c>
      <c r="AN480" s="106">
        <f>+'Regulatory Charge'!AH480+Fuel!AH480+PCM!AI480+Interest!AH480+'O&amp;M'!AJ480+'Capex &amp; Depr'!AJ480+Debt!AK480+Pat.!AA480+Rates!AH480</f>
        <v>8.3561864521406029E-2</v>
      </c>
      <c r="AO480" s="106">
        <f>+'Regulatory Charge'!AI480+Fuel!AI480+PCM!AJ480+Interest!AI480+'O&amp;M'!AK480+'Capex &amp; Depr'!AK480+Debt!AL480+Pat.!AB480+Rates!AI480</f>
        <v>0.11918278324279913</v>
      </c>
      <c r="AP480" s="106">
        <f>+'Regulatory Charge'!AJ480+Fuel!AJ480+PCM!AK480+Interest!AJ480+'O&amp;M'!AL480+'Capex &amp; Depr'!AL480+Debt!AM480+Pat.!AC480+Rates!AJ480</f>
        <v>0.10128582466870946</v>
      </c>
      <c r="AQ480" s="106">
        <f>+'Regulatory Charge'!AK480+Fuel!AK480+PCM!AL480+Interest!AK480+'O&amp;M'!AM480+'Capex &amp; Depr'!AM480+Debt!AN480+Pat.!AD480+Rates!AK480</f>
        <v>6.6384445459230182E-2</v>
      </c>
      <c r="AR480" s="224">
        <f t="shared" si="5"/>
        <v>1.2601522572323998</v>
      </c>
      <c r="AS480" s="106">
        <f>+'Regulatory Charge'!AM480+Fuel!AM480+PCM!AN480+Interest!AM480+'O&amp;M'!AO480+'Capex &amp; Depr'!AO480+Debt!AP480+Pat.!AF480+Rates!AM480</f>
        <v>1.411045170553638</v>
      </c>
      <c r="AT480" s="106">
        <f>+'Regulatory Charge'!AN480+Fuel!AN480+PCM!AO480+Interest!AN480+'O&amp;M'!AP480+'Capex &amp; Depr'!AP480+Debt!AQ480+Pat.!AG480+Rates!AN480</f>
        <v>1.4088001746649512</v>
      </c>
      <c r="AU480" s="106">
        <f>+'Regulatory Charge'!AO480+Fuel!AO480+PCM!AP480+Interest!AO480+'O&amp;M'!AQ480+'Capex &amp; Depr'!AQ480+Debt!AR480+Pat.!AH480+Rates!AO480</f>
        <v>1.4510641799048998</v>
      </c>
      <c r="AV480" s="106">
        <f>+'Regulatory Charge'!AP480+Fuel!AP480+PCM!AQ480+Interest!AP480+'O&amp;M'!AR480+'Capex &amp; Depr'!AR480+Debt!AS480+Pat.!AI480+Rates!AP480</f>
        <v>1.4945961053020469</v>
      </c>
      <c r="AW480" s="106">
        <f>+'Regulatory Charge'!AQ480+Fuel!AQ480+PCM!AR480+Interest!AQ480+'O&amp;M'!AS480+'Capex &amp; Depr'!AS480+Debt!AT480+Pat.!AJ480+Rates!AQ480</f>
        <v>1.5394339884611083</v>
      </c>
      <c r="AX480" s="106">
        <f>+'Regulatory Charge'!AR480+Fuel!AR480+PCM!AS480+Interest!AR480+'O&amp;M'!AT480+'Capex &amp; Depr'!AT480+Debt!AU480+Pat.!AK480+Rates!AR480</f>
        <v>1.5856170081149417</v>
      </c>
      <c r="AY480" s="106">
        <f>+'Regulatory Charge'!AS480+Fuel!AS480+PCM!AT480+Interest!AS480+'O&amp;M'!AU480+'Capex &amp; Depr'!AU480+Debt!AV480+Pat.!AL480+Rates!AS480</f>
        <v>1.6331855183583899</v>
      </c>
      <c r="AZ480" s="106">
        <f>+'Regulatory Charge'!AT480+Fuel!AT480+PCM!AU480+Interest!AT480+'O&amp;M'!AV480+'Capex &amp; Depr'!AV480+Debt!AW480+Pat.!AM480+Rates!AT480</f>
        <v>1.6821810839091416</v>
      </c>
      <c r="BA480" s="106">
        <f>+'Regulatory Charge'!AU480+Fuel!AU480+PCM!AV480+Interest!AU480+'O&amp;M'!AW480+'Capex &amp; Depr'!AW480+Debt!AX480+Pat.!AN480+Rates!AU480</f>
        <v>1.7326465164264158</v>
      </c>
      <c r="BB480" s="106">
        <f>+'Regulatory Charge'!AV480+Fuel!AV480+PCM!AW480+Interest!AV480+'O&amp;M'!AX480+'Capex &amp; Depr'!AX480+Debt!AY480+Pat.!AO480+Rates!AV480</f>
        <v>1.7846259119192083</v>
      </c>
      <c r="BC480" s="106">
        <f>+'Regulatory Charge'!AW480+Fuel!AW480+PCM!AX480+Interest!AW480+'O&amp;M'!AY480+'Capex &amp; Depr'!AY480+Debt!AZ480+Pat.!AP480+Rates!AW480</f>
        <v>1.8381646892767847</v>
      </c>
      <c r="BD480" s="106"/>
      <c r="BE480" s="106"/>
    </row>
    <row r="481" spans="1:57">
      <c r="A481" s="849">
        <v>501.1</v>
      </c>
      <c r="B481" s="846" t="s">
        <v>54</v>
      </c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224"/>
      <c r="S481" s="106">
        <f>+'Regulatory Charge'!M481+Fuel!M481+PCM!N481+Interest!M481+'O&amp;M'!O481+'Capex &amp; Depr'!O481+Debt!P481+Pat.!F481+Rates!M481</f>
        <v>3.8494805666666666E-2</v>
      </c>
      <c r="T481" s="106">
        <f>+'Regulatory Charge'!N481+Fuel!N481+PCM!O481+Interest!N481+'O&amp;M'!P481+'Capex &amp; Depr'!P481+Debt!Q481+Pat.!G481+Rates!N481</f>
        <v>3.8782639624088448E-2</v>
      </c>
      <c r="U481" s="106">
        <f>+'Regulatory Charge'!O481+Fuel!O481+PCM!P481+Interest!O481+'O&amp;M'!Q481+'Capex &amp; Depr'!Q481+Debt!R481+Pat.!H481+Rates!O481</f>
        <v>3.8658103646786054E-2</v>
      </c>
      <c r="V481" s="106">
        <f>+'Regulatory Charge'!P481+Fuel!P481+PCM!Q481+Interest!P481+'O&amp;M'!R481+'Capex &amp; Depr'!R481+Debt!S481+Pat.!I481+Rates!P481</f>
        <v>3.8350896211610343E-2</v>
      </c>
      <c r="W481" s="106">
        <f>+'Regulatory Charge'!Q481+Fuel!Q481+PCM!R481+Interest!Q481+'O&amp;M'!S481+'Capex &amp; Depr'!S481+Debt!T481+Pat.!J481+Rates!Q481</f>
        <v>3.8734774673343117E-2</v>
      </c>
      <c r="X481" s="106">
        <f>+'Regulatory Charge'!R481+Fuel!R481+PCM!S481+Interest!R481+'O&amp;M'!T481+'Capex &amp; Depr'!T481+Debt!U481+Pat.!K481+Rates!R481</f>
        <v>3.9156848145377558E-2</v>
      </c>
      <c r="Y481" s="106">
        <f>+'Regulatory Charge'!S481+Fuel!S481+PCM!T481+Interest!S481+'O&amp;M'!U481+'Capex &amp; Depr'!U481+Debt!V481+Pat.!L481+Rates!S481</f>
        <v>3.9578959023052099E-2</v>
      </c>
      <c r="Z481" s="106">
        <f>+'Regulatory Charge'!T481+Fuel!T481+PCM!U481+Interest!T481+'O&amp;M'!V481+'Capex &amp; Depr'!V481+Debt!W481+Pat.!M481+Rates!T481</f>
        <v>3.9799741418489763E-2</v>
      </c>
      <c r="AA481" s="106">
        <f>+'Regulatory Charge'!U481+Fuel!U481+PCM!V481+Interest!U481+'O&amp;M'!W481+'Capex &amp; Depr'!W481+Debt!X481+Pat.!N481+Rates!U481</f>
        <v>3.9818911690321229E-2</v>
      </c>
      <c r="AB481" s="106">
        <f>+'Regulatory Charge'!V481+Fuel!V481+PCM!W481+Interest!V481+'O&amp;M'!X481+'Capex &amp; Depr'!X481+Debt!Y481+Pat.!O481+Rates!V481</f>
        <v>4.0154719478710889E-2</v>
      </c>
      <c r="AC481" s="106">
        <f>+'Regulatory Charge'!W481+Fuel!W481+PCM!X481+Interest!W481+'O&amp;M'!Y481+'Capex &amp; Depr'!Y481+Debt!Z481+Pat.!P481+Rates!W481</f>
        <v>4.1066147993762105E-2</v>
      </c>
      <c r="AD481" s="106">
        <f>+'Regulatory Charge'!X481+Fuel!X481+PCM!Y481+Interest!X481+'O&amp;M'!Z481+'Capex &amp; Depr'!Z481+Debt!AA481+Pat.!Q481+Rates!X481</f>
        <v>4.3023534395293217E-2</v>
      </c>
      <c r="AE481" s="224">
        <f t="shared" si="4"/>
        <v>0.47562008196750155</v>
      </c>
      <c r="AF481" s="106">
        <f>+'Regulatory Charge'!Z481+Fuel!Z481+PCM!AA481+Interest!Z481+'O&amp;M'!AB481+'Capex &amp; Depr'!AB481+Debt!AC481+Pat.!S481+Rates!Z481</f>
        <v>4.401186243613267E-2</v>
      </c>
      <c r="AG481" s="106">
        <f>+'Regulatory Charge'!AA481+Fuel!AA481+PCM!AB481+Interest!AA481+'O&amp;M'!AC481+'Capex &amp; Depr'!AC481+Debt!AD481+Pat.!T481+Rates!AA481</f>
        <v>4.3896750521289114E-2</v>
      </c>
      <c r="AH481" s="106">
        <f>+'Regulatory Charge'!AB481+Fuel!AB481+PCM!AC481+Interest!AB481+'O&amp;M'!AD481+'Capex &amp; Depr'!AD481+Debt!AE481+Pat.!U481+Rates!AB481</f>
        <v>4.336921401391116E-2</v>
      </c>
      <c r="AI481" s="106">
        <f>+'Regulatory Charge'!AC481+Fuel!AC481+PCM!AD481+Interest!AC481+'O&amp;M'!AE481+'Capex &amp; Depr'!AE481+Debt!AF481+Pat.!V481+Rates!AC481</f>
        <v>4.2361466077378979E-2</v>
      </c>
      <c r="AJ481" s="106">
        <f>+'Regulatory Charge'!AD481+Fuel!AD481+PCM!AE481+Interest!AD481+'O&amp;M'!AF481+'Capex &amp; Depr'!AF481+Debt!AG481+Pat.!W481+Rates!AD481</f>
        <v>4.2457419577662518E-2</v>
      </c>
      <c r="AK481" s="106">
        <f>+'Regulatory Charge'!AE481+Fuel!AE481+PCM!AF481+Interest!AE481+'O&amp;M'!AG481+'Capex &amp; Depr'!AG481+Debt!AH481+Pat.!X481+Rates!AE481</f>
        <v>4.2668601187955776E-2</v>
      </c>
      <c r="AL481" s="106">
        <f>+'Regulatory Charge'!AF481+Fuel!AF481+PCM!AG481+Interest!AF481+'O&amp;M'!AH481+'Capex &amp; Depr'!AH481+Debt!AI481+Pat.!Y481+Rates!AF481</f>
        <v>4.3042710649960354E-2</v>
      </c>
      <c r="AM481" s="106">
        <f>+'Regulatory Charge'!AG481+Fuel!AG481+PCM!AH481+Interest!AG481+'O&amp;M'!AI481+'Capex &amp; Depr'!AI481+Debt!AJ481+Pat.!Z481+Rates!AG481</f>
        <v>4.3225092812044216E-2</v>
      </c>
      <c r="AN481" s="106">
        <f>+'Regulatory Charge'!AH481+Fuel!AH481+PCM!AI481+Interest!AH481+'O&amp;M'!AJ481+'Capex &amp; Depr'!AJ481+Debt!AK481+Pat.!AA481+Rates!AH481</f>
        <v>4.3253911418489763E-2</v>
      </c>
      <c r="AO481" s="106">
        <f>+'Regulatory Charge'!AI481+Fuel!AI481+PCM!AJ481+Interest!AI481+'O&amp;M'!AK481+'Capex &amp; Depr'!AK481+Debt!AL481+Pat.!AB481+Rates!AI481</f>
        <v>4.3609189854753351E-2</v>
      </c>
      <c r="AP481" s="106">
        <f>+'Regulatory Charge'!AJ481+Fuel!AJ481+PCM!AK481+Interest!AJ481+'O&amp;M'!AL481+'Capex &amp; Depr'!AL481+Debt!AM481+Pat.!AC481+Rates!AJ481</f>
        <v>4.4309246294839559E-2</v>
      </c>
      <c r="AQ481" s="106">
        <f>+'Regulatory Charge'!AK481+Fuel!AK481+PCM!AL481+Interest!AK481+'O&amp;M'!AM481+'Capex &amp; Depr'!AM481+Debt!AN481+Pat.!AD481+Rates!AK481</f>
        <v>4.6045907143591976E-2</v>
      </c>
      <c r="AR481" s="224">
        <f t="shared" si="5"/>
        <v>0.52225137198800953</v>
      </c>
      <c r="AS481" s="106">
        <f>+'Regulatory Charge'!AM481+Fuel!AM481+PCM!AN481+Interest!AM481+'O&amp;M'!AO481+'Capex &amp; Depr'!AO481+Debt!AP481+Pat.!AF481+Rates!AM481</f>
        <v>0.54636360303887788</v>
      </c>
      <c r="AT481" s="106">
        <f>+'Regulatory Charge'!AN481+Fuel!AN481+PCM!AO481+Interest!AN481+'O&amp;M'!AP481+'Capex &amp; Depr'!AP481+Debt!AQ481+Pat.!AG481+Rates!AN481</f>
        <v>0.56765489800355207</v>
      </c>
      <c r="AU481" s="106">
        <f>+'Regulatory Charge'!AO481+Fuel!AO481+PCM!AP481+Interest!AO481+'O&amp;M'!AQ481+'Capex &amp; Depr'!AQ481+Debt!AR481+Pat.!AH481+Rates!AO481</f>
        <v>0.58468454494365862</v>
      </c>
      <c r="AV481" s="106">
        <f>+'Regulatory Charge'!AP481+Fuel!AP481+PCM!AQ481+Interest!AP481+'O&amp;M'!AR481+'Capex &amp; Depr'!AR481+Debt!AS481+Pat.!AI481+Rates!AP481</f>
        <v>0.6022250812919685</v>
      </c>
      <c r="AW481" s="106">
        <f>+'Regulatory Charge'!AQ481+Fuel!AQ481+PCM!AR481+Interest!AQ481+'O&amp;M'!AS481+'Capex &amp; Depr'!AS481+Debt!AT481+Pat.!AJ481+Rates!AQ481</f>
        <v>0.62029183373072749</v>
      </c>
      <c r="AX481" s="106">
        <f>+'Regulatory Charge'!AR481+Fuel!AR481+PCM!AS481+Interest!AR481+'O&amp;M'!AT481+'Capex &amp; Depr'!AT481+Debt!AU481+Pat.!AK481+Rates!AR481</f>
        <v>0.63890058874264932</v>
      </c>
      <c r="AY481" s="106">
        <f>+'Regulatory Charge'!AS481+Fuel!AS481+PCM!AT481+Interest!AS481+'O&amp;M'!AU481+'Capex &amp; Depr'!AU481+Debt!AV481+Pat.!AL481+Rates!AS481</f>
        <v>0.65806760640492878</v>
      </c>
      <c r="AZ481" s="106">
        <f>+'Regulatory Charge'!AT481+Fuel!AT481+PCM!AU481+Interest!AT481+'O&amp;M'!AV481+'Capex &amp; Depr'!AV481+Debt!AW481+Pat.!AM481+Rates!AT481</f>
        <v>0.67780963459707666</v>
      </c>
      <c r="BA481" s="106">
        <f>+'Regulatory Charge'!AU481+Fuel!AU481+PCM!AV481+Interest!AU481+'O&amp;M'!AW481+'Capex &amp; Depr'!AW481+Debt!AX481+Pat.!AN481+Rates!AU481</f>
        <v>0.69814392363498901</v>
      </c>
      <c r="BB481" s="106">
        <f>+'Regulatory Charge'!AV481+Fuel!AV481+PCM!AW481+Interest!AV481+'O&amp;M'!AX481+'Capex &amp; Depr'!AX481+Debt!AY481+Pat.!AO481+Rates!AV481</f>
        <v>0.7190882413440387</v>
      </c>
      <c r="BC481" s="106">
        <f>+'Regulatory Charge'!AW481+Fuel!AW481+PCM!AX481+Interest!AW481+'O&amp;M'!AY481+'Capex &amp; Depr'!AY481+Debt!AZ481+Pat.!AP481+Rates!AW481</f>
        <v>0.74066088858435986</v>
      </c>
      <c r="BD481" s="106"/>
      <c r="BE481" s="106"/>
    </row>
    <row r="482" spans="1:57">
      <c r="A482" s="849">
        <v>501.1</v>
      </c>
      <c r="B482" s="846" t="s">
        <v>57</v>
      </c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224"/>
      <c r="S482" s="106">
        <f>+'Regulatory Charge'!M482+Fuel!M482+PCM!N482+Interest!M482+'O&amp;M'!O482+'Capex &amp; Depr'!O482+Debt!P482+Pat.!F482+Rates!M482</f>
        <v>7.1666781242057533</v>
      </c>
      <c r="T482" s="106">
        <f>+'Regulatory Charge'!N482+Fuel!N482+PCM!O482+Interest!N482+'O&amp;M'!P482+'Capex &amp; Depr'!P482+Debt!Q482+Pat.!G482+Rates!N482</f>
        <v>6.4943233386776429</v>
      </c>
      <c r="U482" s="106">
        <f>+'Regulatory Charge'!O482+Fuel!O482+PCM!P482+Interest!O482+'O&amp;M'!Q482+'Capex &amp; Depr'!Q482+Debt!R482+Pat.!H482+Rates!O482</f>
        <v>6.9382561171338626</v>
      </c>
      <c r="V482" s="106">
        <f>+'Regulatory Charge'!P482+Fuel!P482+PCM!Q482+Interest!P482+'O&amp;M'!R482+'Capex &amp; Depr'!R482+Debt!S482+Pat.!I482+Rates!P482</f>
        <v>6.8092154045219804</v>
      </c>
      <c r="W482" s="106">
        <f>+'Regulatory Charge'!Q482+Fuel!Q482+PCM!R482+Interest!Q482+'O&amp;M'!S482+'Capex &amp; Depr'!S482+Debt!T482+Pat.!J482+Rates!Q482</f>
        <v>7.0815185877468032</v>
      </c>
      <c r="X482" s="106">
        <f>+'Regulatory Charge'!R482+Fuel!R482+PCM!S482+Interest!R482+'O&amp;M'!T482+'Capex &amp; Depr'!T482+Debt!U482+Pat.!K482+Rates!R482</f>
        <v>6.7123125064816405</v>
      </c>
      <c r="Y482" s="106">
        <f>+'Regulatory Charge'!S482+Fuel!S482+PCM!T482+Interest!S482+'O&amp;M'!U482+'Capex &amp; Depr'!U482+Debt!V482+Pat.!L482+Rates!S482</f>
        <v>7.0611971583562516</v>
      </c>
      <c r="Z482" s="106">
        <f>+'Regulatory Charge'!T482+Fuel!T482+PCM!U482+Interest!T482+'O&amp;M'!V482+'Capex &amp; Depr'!V482+Debt!W482+Pat.!M482+Rates!T482</f>
        <v>7.0914526551672594</v>
      </c>
      <c r="AA482" s="106">
        <f>+'Regulatory Charge'!U482+Fuel!U482+PCM!V482+Interest!U482+'O&amp;M'!W482+'Capex &amp; Depr'!W482+Debt!X482+Pat.!N482+Rates!U482</f>
        <v>6.5990062185134173</v>
      </c>
      <c r="AB482" s="106">
        <f>+'Regulatory Charge'!V482+Fuel!V482+PCM!W482+Interest!V482+'O&amp;M'!X482+'Capex &amp; Depr'!X482+Debt!Y482+Pat.!O482+Rates!V482</f>
        <v>7.0039741436030125</v>
      </c>
      <c r="AC482" s="106">
        <f>+'Regulatory Charge'!W482+Fuel!W482+PCM!X482+Interest!W482+'O&amp;M'!Y482+'Capex &amp; Depr'!Y482+Debt!Z482+Pat.!P482+Rates!W482</f>
        <v>6.7803979755830168</v>
      </c>
      <c r="AD482" s="106">
        <f>+'Regulatory Charge'!X482+Fuel!X482+PCM!Y482+Interest!X482+'O&amp;M'!Z482+'Capex &amp; Depr'!Z482+Debt!AA482+Pat.!Q482+Rates!X482</f>
        <v>7.0790265834218511</v>
      </c>
      <c r="AE482" s="224">
        <f t="shared" si="4"/>
        <v>82.817358813412483</v>
      </c>
      <c r="AF482" s="106">
        <f>+'Regulatory Charge'!Z482+Fuel!Z482+PCM!AA482+Interest!Z482+'O&amp;M'!AB482+'Capex &amp; Depr'!AB482+Debt!AC482+Pat.!S482+Rates!Z482</f>
        <v>7.3889854834066391</v>
      </c>
      <c r="AG482" s="106">
        <f>+'Regulatory Charge'!AA482+Fuel!AA482+PCM!AB482+Interest!AA482+'O&amp;M'!AC482+'Capex &amp; Depr'!AC482+Debt!AD482+Pat.!T482+Rates!AA482</f>
        <v>6.6974306983623908</v>
      </c>
      <c r="AH482" s="106">
        <f>+'Regulatory Charge'!AB482+Fuel!AB482+PCM!AC482+Interest!AB482+'O&amp;M'!AD482+'Capex &amp; Depr'!AD482+Debt!AE482+Pat.!U482+Rates!AB482</f>
        <v>5.1573102657114518</v>
      </c>
      <c r="AI482" s="106">
        <f>+'Regulatory Charge'!AC482+Fuel!AC482+PCM!AD482+Interest!AC482+'O&amp;M'!AE482+'Capex &amp; Depr'!AE482+Debt!AF482+Pat.!V482+Rates!AC482</f>
        <v>6.1713486370450914</v>
      </c>
      <c r="AJ482" s="106">
        <f>+'Regulatory Charge'!AD482+Fuel!AD482+PCM!AE482+Interest!AD482+'O&amp;M'!AF482+'Capex &amp; Depr'!AF482+Debt!AG482+Pat.!W482+Rates!AD482</f>
        <v>7.3627014434753555</v>
      </c>
      <c r="AK482" s="106">
        <f>+'Regulatory Charge'!AE482+Fuel!AE482+PCM!AF482+Interest!AE482+'O&amp;M'!AG482+'Capex &amp; Depr'!AG482+Debt!AH482+Pat.!X482+Rates!AE482</f>
        <v>7.0564079864063629</v>
      </c>
      <c r="AL482" s="106">
        <f>+'Regulatory Charge'!AF482+Fuel!AF482+PCM!AG482+Interest!AF482+'O&amp;M'!AH482+'Capex &amp; Depr'!AH482+Debt!AI482+Pat.!Y482+Rates!AF482</f>
        <v>7.3609250850654595</v>
      </c>
      <c r="AM482" s="106">
        <f>+'Regulatory Charge'!AG482+Fuel!AG482+PCM!AH482+Interest!AG482+'O&amp;M'!AI482+'Capex &amp; Depr'!AI482+Debt!AJ482+Pat.!Z482+Rates!AG482</f>
        <v>7.3939800322528235</v>
      </c>
      <c r="AN482" s="106">
        <f>+'Regulatory Charge'!AH482+Fuel!AH482+PCM!AI482+Interest!AH482+'O&amp;M'!AJ482+'Capex &amp; Depr'!AJ482+Debt!AK482+Pat.!AA482+Rates!AH482</f>
        <v>6.9405267891423312</v>
      </c>
      <c r="AO482" s="106">
        <f>+'Regulatory Charge'!AI482+Fuel!AI482+PCM!AJ482+Interest!AI482+'O&amp;M'!AK482+'Capex &amp; Depr'!AK482+Debt!AL482+Pat.!AB482+Rates!AI482</f>
        <v>7.2452639083416592</v>
      </c>
      <c r="AP482" s="106">
        <f>+'Regulatory Charge'!AJ482+Fuel!AJ482+PCM!AK482+Interest!AJ482+'O&amp;M'!AL482+'Capex &amp; Depr'!AL482+Debt!AM482+Pat.!AC482+Rates!AJ482</f>
        <v>6.9922534474417537</v>
      </c>
      <c r="AQ482" s="106">
        <f>+'Regulatory Charge'!AK482+Fuel!AK482+PCM!AL482+Interest!AK482+'O&amp;M'!AM482+'Capex &amp; Depr'!AM482+Debt!AN482+Pat.!AD482+Rates!AK482</f>
        <v>7.2591018887445475</v>
      </c>
      <c r="AR482" s="224">
        <f t="shared" si="5"/>
        <v>83.026235665395873</v>
      </c>
      <c r="AS482" s="106">
        <f>+'Regulatory Charge'!AM482+Fuel!AM482+PCM!AN482+Interest!AM482+'O&amp;M'!AO482+'Capex &amp; Depr'!AO482+Debt!AP482+Pat.!AF482+Rates!AM482</f>
        <v>88.072318706569789</v>
      </c>
      <c r="AT482" s="106">
        <f>+'Regulatory Charge'!AN482+Fuel!AN482+PCM!AO482+Interest!AN482+'O&amp;M'!AP482+'Capex &amp; Depr'!AP482+Debt!AQ482+Pat.!AG482+Rates!AN482</f>
        <v>86.534295748250358</v>
      </c>
      <c r="AU482" s="106">
        <f>+'Regulatory Charge'!AO482+Fuel!AO482+PCM!AP482+Interest!AO482+'O&amp;M'!AQ482+'Capex &amp; Depr'!AQ482+Debt!AR482+Pat.!AH482+Rates!AO482</f>
        <v>94.001797675124791</v>
      </c>
      <c r="AV482" s="106">
        <f>+'Regulatory Charge'!AP482+Fuel!AP482+PCM!AQ482+Interest!AP482+'O&amp;M'!AR482+'Capex &amp; Depr'!AR482+Debt!AS482+Pat.!AI482+Rates!AP482</f>
        <v>99.467665584748673</v>
      </c>
      <c r="AW482" s="106">
        <f>+'Regulatory Charge'!AQ482+Fuel!AQ482+PCM!AR482+Interest!AQ482+'O&amp;M'!AS482+'Capex &amp; Depr'!AS482+Debt!AT482+Pat.!AJ482+Rates!AQ482</f>
        <v>102.137237355035</v>
      </c>
      <c r="AX482" s="106">
        <f>+'Regulatory Charge'!AR482+Fuel!AR482+PCM!AS482+Interest!AR482+'O&amp;M'!AT482+'Capex &amp; Depr'!AT482+Debt!AU482+Pat.!AK482+Rates!AR482</f>
        <v>114.09724690330744</v>
      </c>
      <c r="AY482" s="106">
        <f>+'Regulatory Charge'!AS482+Fuel!AS482+PCM!AT482+Interest!AS482+'O&amp;M'!AU482+'Capex &amp; Depr'!AU482+Debt!AV482+Pat.!AL482+Rates!AS482</f>
        <v>117.37013172676912</v>
      </c>
      <c r="AZ482" s="106">
        <f>+'Regulatory Charge'!AT482+Fuel!AT482+PCM!AU482+Interest!AT482+'O&amp;M'!AV482+'Capex &amp; Depr'!AV482+Debt!AW482+Pat.!AM482+Rates!AT482</f>
        <v>121.98201158429326</v>
      </c>
      <c r="BA482" s="106">
        <f>+'Regulatory Charge'!AU482+Fuel!AU482+PCM!AV482+Interest!AU482+'O&amp;M'!AW482+'Capex &amp; Depr'!AW482+Debt!AX482+Pat.!AN482+Rates!AU482</f>
        <v>127.38376211271326</v>
      </c>
      <c r="BB482" s="106">
        <f>+'Regulatory Charge'!AV482+Fuel!AV482+PCM!AW482+Interest!AV482+'O&amp;M'!AX482+'Capex &amp; Depr'!AX482+Debt!AY482+Pat.!AO482+Rates!AV482</f>
        <v>124.55988708740047</v>
      </c>
      <c r="BC482" s="106">
        <f>+'Regulatory Charge'!AW482+Fuel!AW482+PCM!AX482+Interest!AW482+'O&amp;M'!AY482+'Capex &amp; Depr'!AY482+Debt!AZ482+Pat.!AP482+Rates!AW482</f>
        <v>139.44513339963075</v>
      </c>
      <c r="BD482" s="106"/>
      <c r="BE482" s="106"/>
    </row>
    <row r="483" spans="1:57">
      <c r="A483" s="849">
        <v>501.3</v>
      </c>
      <c r="B483" s="850" t="s">
        <v>1030</v>
      </c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224"/>
      <c r="S483" s="106">
        <f>+'Regulatory Charge'!M483+Fuel!M483+PCM!N483+Interest!M483+'O&amp;M'!O483+'Capex &amp; Depr'!O483+Debt!P483+Pat.!F483+Rates!M483</f>
        <v>0.36581928310275835</v>
      </c>
      <c r="T483" s="106">
        <f>+'Regulatory Charge'!N483+Fuel!N483+PCM!O483+Interest!N483+'O&amp;M'!P483+'Capex &amp; Depr'!P483+Debt!Q483+Pat.!G483+Rates!N483</f>
        <v>0.32661699767095514</v>
      </c>
      <c r="U483" s="106">
        <f>+'Regulatory Charge'!O483+Fuel!O483+PCM!P483+Interest!O483+'O&amp;M'!Q483+'Capex &amp; Depr'!Q483+Debt!R483+Pat.!H483+Rates!O483</f>
        <v>0.35115208227703587</v>
      </c>
      <c r="V483" s="106">
        <f>+'Regulatory Charge'!P483+Fuel!P483+PCM!Q483+Interest!P483+'O&amp;M'!R483+'Capex &amp; Depr'!R483+Debt!S483+Pat.!I483+Rates!P483</f>
        <v>0.33376440455683204</v>
      </c>
      <c r="W483" s="106">
        <f>+'Regulatory Charge'!Q483+Fuel!Q483+PCM!R483+Interest!Q483+'O&amp;M'!S483+'Capex &amp; Depr'!S483+Debt!T483+Pat.!J483+Rates!Q483</f>
        <v>0.31241406908862057</v>
      </c>
      <c r="X483" s="106">
        <f>+'Regulatory Charge'!R483+Fuel!R483+PCM!S483+Interest!R483+'O&amp;M'!T483+'Capex &amp; Depr'!T483+Debt!U483+Pat.!K483+Rates!R483</f>
        <v>0.33237485103674169</v>
      </c>
      <c r="Y483" s="106">
        <f>+'Regulatory Charge'!S483+Fuel!S483+PCM!T483+Interest!S483+'O&amp;M'!U483+'Capex &amp; Depr'!U483+Debt!V483+Pat.!L483+Rates!S483</f>
        <v>0.34852343767509358</v>
      </c>
      <c r="Z483" s="106">
        <f>+'Regulatory Charge'!T483+Fuel!T483+PCM!U483+Interest!T483+'O&amp;M'!V483+'Capex &amp; Depr'!V483+Debt!W483+Pat.!M483+Rates!T483</f>
        <v>0.4798079411193571</v>
      </c>
      <c r="AA483" s="106">
        <f>+'Regulatory Charge'!U483+Fuel!U483+PCM!V483+Interest!U483+'O&amp;M'!W483+'Capex &amp; Depr'!W483+Debt!X483+Pat.!N483+Rates!U483</f>
        <v>0.43562664071670848</v>
      </c>
      <c r="AB483" s="106">
        <f>+'Regulatory Charge'!V483+Fuel!V483+PCM!W483+Interest!V483+'O&amp;M'!X483+'Capex &amp; Depr'!X483+Debt!Y483+Pat.!O483+Rates!V483</f>
        <v>0.35083921150891018</v>
      </c>
      <c r="AC483" s="106">
        <f>+'Regulatory Charge'!W483+Fuel!W483+PCM!X483+Interest!W483+'O&amp;M'!Y483+'Capex &amp; Depr'!Y483+Debt!Z483+Pat.!P483+Rates!W483</f>
        <v>0.23541833617412233</v>
      </c>
      <c r="AD483" s="106">
        <f>+'Regulatory Charge'!X483+Fuel!X483+PCM!Y483+Interest!X483+'O&amp;M'!Z483+'Capex &amp; Depr'!Z483+Debt!AA483+Pat.!Q483+Rates!X483</f>
        <v>0.24109424204653468</v>
      </c>
      <c r="AE483" s="224">
        <f t="shared" si="4"/>
        <v>4.1134514969736697</v>
      </c>
      <c r="AF483" s="106">
        <f>+'Regulatory Charge'!Z483+Fuel!Z483+PCM!AA483+Interest!Z483+'O&amp;M'!AB483+'Capex &amp; Depr'!AB483+Debt!AC483+Pat.!S483+Rates!Z483</f>
        <v>0.25719008926882758</v>
      </c>
      <c r="AG483" s="106">
        <f>+'Regulatory Charge'!AA483+Fuel!AA483+PCM!AB483+Interest!AA483+'O&amp;M'!AC483+'Capex &amp; Depr'!AC483+Debt!AD483+Pat.!T483+Rates!AA483</f>
        <v>0.22995268173480113</v>
      </c>
      <c r="AH483" s="106">
        <f>+'Regulatory Charge'!AB483+Fuel!AB483+PCM!AC483+Interest!AB483+'O&amp;M'!AD483+'Capex &amp; Depr'!AD483+Debt!AE483+Pat.!U483+Rates!AB483</f>
        <v>0.21858482426249326</v>
      </c>
      <c r="AI483" s="106">
        <f>+'Regulatory Charge'!AC483+Fuel!AC483+PCM!AD483+Interest!AC483+'O&amp;M'!AE483+'Capex &amp; Depr'!AE483+Debt!AF483+Pat.!V483+Rates!AC483</f>
        <v>0.18192553921575574</v>
      </c>
      <c r="AJ483" s="106">
        <f>+'Regulatory Charge'!AD483+Fuel!AD483+PCM!AE483+Interest!AD483+'O&amp;M'!AF483+'Capex &amp; Depr'!AF483+Debt!AG483+Pat.!W483+Rates!AD483</f>
        <v>0.20281870402148217</v>
      </c>
      <c r="AK483" s="106">
        <f>+'Regulatory Charge'!AE483+Fuel!AE483+PCM!AF483+Interest!AE483+'O&amp;M'!AG483+'Capex &amp; Depr'!AG483+Debt!AH483+Pat.!X483+Rates!AE483</f>
        <v>0.23668120818261046</v>
      </c>
      <c r="AL483" s="106">
        <f>+'Regulatory Charge'!AF483+Fuel!AF483+PCM!AG483+Interest!AF483+'O&amp;M'!AH483+'Capex &amp; Depr'!AH483+Debt!AI483+Pat.!Y483+Rates!AF483</f>
        <v>0.24571991792203496</v>
      </c>
      <c r="AM483" s="106">
        <f>+'Regulatory Charge'!AG483+Fuel!AG483+PCM!AH483+Interest!AG483+'O&amp;M'!AI483+'Capex &amp; Depr'!AI483+Debt!AJ483+Pat.!Z483+Rates!AG483</f>
        <v>0.3767810796726388</v>
      </c>
      <c r="AN483" s="106">
        <f>+'Regulatory Charge'!AH483+Fuel!AH483+PCM!AI483+Interest!AH483+'O&amp;M'!AJ483+'Capex &amp; Depr'!AJ483+Debt!AK483+Pat.!AA483+Rates!AH483</f>
        <v>0.44080568927083658</v>
      </c>
      <c r="AO483" s="106">
        <f>+'Regulatory Charge'!AI483+Fuel!AI483+PCM!AJ483+Interest!AI483+'O&amp;M'!AK483+'Capex &amp; Depr'!AK483+Debt!AL483+Pat.!AB483+Rates!AI483</f>
        <v>0.35513778707956345</v>
      </c>
      <c r="AP483" s="106">
        <f>+'Regulatory Charge'!AJ483+Fuel!AJ483+PCM!AK483+Interest!AJ483+'O&amp;M'!AL483+'Capex &amp; Depr'!AL483+Debt!AM483+Pat.!AC483+Rates!AJ483</f>
        <v>0.23918070229366006</v>
      </c>
      <c r="AQ483" s="106">
        <f>+'Regulatory Charge'!AK483+Fuel!AK483+PCM!AL483+Interest!AK483+'O&amp;M'!AM483+'Capex &amp; Depr'!AM483+Debt!AN483+Pat.!AD483+Rates!AK483</f>
        <v>0.2431078413749892</v>
      </c>
      <c r="AR483" s="224">
        <f t="shared" si="5"/>
        <v>3.2278860642996934</v>
      </c>
      <c r="AS483" s="106">
        <f>+'Regulatory Charge'!AM483+Fuel!AM483+PCM!AN483+Interest!AM483+'O&amp;M'!AO483+'Capex &amp; Depr'!AO483+Debt!AP483+Pat.!AF483+Rates!AM483</f>
        <v>3.3134254431923145</v>
      </c>
      <c r="AT483" s="106">
        <f>+'Regulatory Charge'!AN483+Fuel!AN483+PCM!AO483+Interest!AN483+'O&amp;M'!AP483+'Capex &amp; Depr'!AP483+Debt!AQ483+Pat.!AG483+Rates!AN483</f>
        <v>3.4092381215338374</v>
      </c>
      <c r="AU483" s="106">
        <f>+'Regulatory Charge'!AO483+Fuel!AO483+PCM!AP483+Interest!AO483+'O&amp;M'!AQ483+'Capex &amp; Depr'!AQ483+Debt!AR483+Pat.!AH483+Rates!AO483</f>
        <v>0</v>
      </c>
      <c r="AV483" s="106">
        <f>+'Regulatory Charge'!AP483+Fuel!AP483+PCM!AQ483+Interest!AP483+'O&amp;M'!AR483+'Capex &amp; Depr'!AR483+Debt!AS483+Pat.!AI483+Rates!AP483</f>
        <v>0</v>
      </c>
      <c r="AW483" s="106">
        <f>+'Regulatory Charge'!AQ483+Fuel!AQ483+PCM!AR483+Interest!AQ483+'O&amp;M'!AS483+'Capex &amp; Depr'!AS483+Debt!AT483+Pat.!AJ483+Rates!AQ483</f>
        <v>0</v>
      </c>
      <c r="AX483" s="106">
        <f>+'Regulatory Charge'!AR483+Fuel!AR483+PCM!AS483+Interest!AR483+'O&amp;M'!AT483+'Capex &amp; Depr'!AT483+Debt!AU483+Pat.!AK483+Rates!AR483</f>
        <v>0</v>
      </c>
      <c r="AY483" s="106">
        <f>+'Regulatory Charge'!AS483+Fuel!AS483+PCM!AT483+Interest!AS483+'O&amp;M'!AU483+'Capex &amp; Depr'!AU483+Debt!AV483+Pat.!AL483+Rates!AS483</f>
        <v>0</v>
      </c>
      <c r="AZ483" s="106">
        <f>+'Regulatory Charge'!AT483+Fuel!AT483+PCM!AU483+Interest!AT483+'O&amp;M'!AV483+'Capex &amp; Depr'!AV483+Debt!AW483+Pat.!AM483+Rates!AT483</f>
        <v>0</v>
      </c>
      <c r="BA483" s="106">
        <f>+'Regulatory Charge'!AU483+Fuel!AU483+PCM!AV483+Interest!AU483+'O&amp;M'!AW483+'Capex &amp; Depr'!AW483+Debt!AX483+Pat.!AN483+Rates!AU483</f>
        <v>0</v>
      </c>
      <c r="BB483" s="106">
        <f>+'Regulatory Charge'!AV483+Fuel!AV483+PCM!AW483+Interest!AV483+'O&amp;M'!AX483+'Capex &amp; Depr'!AX483+Debt!AY483+Pat.!AO483+Rates!AV483</f>
        <v>0</v>
      </c>
      <c r="BC483" s="106">
        <f>+'Regulatory Charge'!AW483+Fuel!AW483+PCM!AX483+Interest!AW483+'O&amp;M'!AY483+'Capex &amp; Depr'!AY483+Debt!AZ483+Pat.!AP483+Rates!AW483</f>
        <v>0</v>
      </c>
      <c r="BD483" s="106"/>
      <c r="BE483" s="106"/>
    </row>
    <row r="484" spans="1:57">
      <c r="A484" s="849">
        <v>501.1</v>
      </c>
      <c r="B484" s="846" t="s">
        <v>59</v>
      </c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224"/>
      <c r="S484" s="106">
        <f>+'Regulatory Charge'!M484+Fuel!M484+PCM!N484+Interest!M484+'O&amp;M'!O484+'Capex &amp; Depr'!O484+Debt!P484+Pat.!F484+Rates!M484</f>
        <v>0.16412071480078014</v>
      </c>
      <c r="T484" s="106">
        <f>+'Regulatory Charge'!N484+Fuel!N484+PCM!O484+Interest!N484+'O&amp;M'!P484+'Capex &amp; Depr'!P484+Debt!Q484+Pat.!G484+Rates!N484</f>
        <v>0.1631407348444231</v>
      </c>
      <c r="U484" s="106">
        <f>+'Regulatory Charge'!O484+Fuel!O484+PCM!P484+Interest!O484+'O&amp;M'!Q484+'Capex &amp; Depr'!Q484+Debt!R484+Pat.!H484+Rates!O484</f>
        <v>0.16174109364391559</v>
      </c>
      <c r="V484" s="106">
        <f>+'Regulatory Charge'!P484+Fuel!P484+PCM!Q484+Interest!P484+'O&amp;M'!R484+'Capex &amp; Depr'!R484+Debt!S484+Pat.!I484+Rates!P484</f>
        <v>0.16013126876177031</v>
      </c>
      <c r="W484" s="106">
        <f>+'Regulatory Charge'!Q484+Fuel!Q484+PCM!R484+Interest!Q484+'O&amp;M'!S484+'Capex &amp; Depr'!S484+Debt!T484+Pat.!J484+Rates!Q484</f>
        <v>0.16069131052641472</v>
      </c>
      <c r="X484" s="106">
        <f>+'Regulatory Charge'!R484+Fuel!R484+PCM!S484+Interest!R484+'O&amp;M'!T484+'Capex &amp; Depr'!T484+Debt!U484+Pat.!K484+Rates!R484</f>
        <v>0.15950162464858209</v>
      </c>
      <c r="Y484" s="106">
        <f>+'Regulatory Charge'!S484+Fuel!S484+PCM!T484+Interest!S484+'O&amp;M'!U484+'Capex &amp; Depr'!U484+Debt!V484+Pat.!L484+Rates!S484</f>
        <v>0.1588716328002229</v>
      </c>
      <c r="Z484" s="106">
        <f>+'Regulatory Charge'!T484+Fuel!T484+PCM!U484+Interest!T484+'O&amp;M'!V484+'Capex &amp; Depr'!V484+Debt!W484+Pat.!M484+Rates!T484</f>
        <v>0.15852169378536149</v>
      </c>
      <c r="AA484" s="106">
        <f>+'Regulatory Charge'!U484+Fuel!U484+PCM!V484+Interest!U484+'O&amp;M'!W484+'Capex &amp; Depr'!W484+Debt!X484+Pat.!N484+Rates!U484</f>
        <v>0.15824158910274888</v>
      </c>
      <c r="AB484" s="106">
        <f>+'Regulatory Charge'!V484+Fuel!V484+PCM!W484+Interest!V484+'O&amp;M'!X484+'Capex &amp; Depr'!X484+Debt!Y484+Pat.!O484+Rates!V484</f>
        <v>0.15817164486367391</v>
      </c>
      <c r="AC484" s="106">
        <f>+'Regulatory Charge'!W484+Fuel!W484+PCM!X484+Interest!W484+'O&amp;M'!Y484+'Capex &amp; Depr'!Y484+Debt!Z484+Pat.!P484+Rates!W484</f>
        <v>0.15810163936987934</v>
      </c>
      <c r="AD484" s="106">
        <f>+'Regulatory Charge'!X484+Fuel!X484+PCM!Y484+Interest!X484+'O&amp;M'!Z484+'Capex &amp; Depr'!Z484+Debt!AA484+Pat.!Q484+Rates!X484</f>
        <v>0.15810184283783868</v>
      </c>
      <c r="AE484" s="224">
        <f t="shared" si="4"/>
        <v>1.9193367899856111</v>
      </c>
      <c r="AF484" s="106">
        <f>+'Regulatory Charge'!Z484+Fuel!Z484+PCM!AA484+Interest!Z484+'O&amp;M'!AB484+'Capex &amp; Depr'!AB484+Debt!AC484+Pat.!S484+Rates!Z484</f>
        <v>0.15803177499999999</v>
      </c>
      <c r="AG484" s="106">
        <f>+'Regulatory Charge'!AA484+Fuel!AA484+PCM!AB484+Interest!AA484+'O&amp;M'!AC484+'Capex &amp; Depr'!AC484+Debt!AD484+Pat.!T484+Rates!AA484</f>
        <v>0.15768171474700066</v>
      </c>
      <c r="AH484" s="106">
        <f>+'Regulatory Charge'!AB484+Fuel!AB484+PCM!AC484+Interest!AB484+'O&amp;M'!AD484+'Capex &amp; Depr'!AD484+Debt!AE484+Pat.!U484+Rates!AB484</f>
        <v>0.15670184274754601</v>
      </c>
      <c r="AI484" s="106">
        <f>+'Regulatory Charge'!AC484+Fuel!AC484+PCM!AD484+Interest!AC484+'O&amp;M'!AE484+'Capex &amp; Depr'!AE484+Debt!AF484+Pat.!V484+Rates!AC484</f>
        <v>0.15537224999999999</v>
      </c>
      <c r="AJ484" s="106">
        <f>+'Regulatory Charge'!AD484+Fuel!AD484+PCM!AE484+Interest!AD484+'O&amp;M'!AF484+'Capex &amp; Depr'!AF484+Debt!AG484+Pat.!W484+Rates!AD484</f>
        <v>0.15425230518540173</v>
      </c>
      <c r="AK484" s="106">
        <f>+'Regulatory Charge'!AE484+Fuel!AE484+PCM!AF484+Interest!AE484+'O&amp;M'!AG484+'Capex &amp; Depr'!AG484+Debt!AH484+Pat.!X484+Rates!AE484</f>
        <v>0.1535525498585541</v>
      </c>
      <c r="AL484" s="106">
        <f>+'Regulatory Charge'!AF484+Fuel!AF484+PCM!AG484+Interest!AF484+'O&amp;M'!AH484+'Capex &amp; Depr'!AH484+Debt!AI484+Pat.!Y484+Rates!AF484</f>
        <v>0.15348268587371547</v>
      </c>
      <c r="AM484" s="106">
        <f>+'Regulatory Charge'!AG484+Fuel!AG484+PCM!AH484+Interest!AG484+'O&amp;M'!AI484+'Capex &amp; Depr'!AI484+Debt!AJ484+Pat.!Z484+Rates!AG484</f>
        <v>0.15341248843867622</v>
      </c>
      <c r="AN484" s="106">
        <f>+'Regulatory Charge'!AH484+Fuel!AH484+PCM!AI484+Interest!AH484+'O&amp;M'!AJ484+'Capex &amp; Depr'!AJ484+Debt!AK484+Pat.!AA484+Rates!AH484</f>
        <v>0.15334249992927712</v>
      </c>
      <c r="AO484" s="106">
        <f>+'Regulatory Charge'!AI484+Fuel!AI484+PCM!AJ484+Interest!AI484+'O&amp;M'!AK484+'Capex &amp; Depr'!AK484+Debt!AL484+Pat.!AB484+Rates!AI484</f>
        <v>0.15327253924551751</v>
      </c>
      <c r="AP484" s="106">
        <f>+'Regulatory Charge'!AJ484+Fuel!AJ484+PCM!AK484+Interest!AJ484+'O&amp;M'!AL484+'Capex &amp; Depr'!AL484+Debt!AM484+Pat.!AC484+Rates!AJ484</f>
        <v>0.15327248735070734</v>
      </c>
      <c r="AQ484" s="106">
        <f>+'Regulatory Charge'!AK484+Fuel!AK484+PCM!AL484+Interest!AK484+'O&amp;M'!AM484+'Capex &amp; Depr'!AM484+Debt!AN484+Pat.!AD484+Rates!AK484</f>
        <v>0.15320263359988856</v>
      </c>
      <c r="AR484" s="224">
        <f t="shared" si="5"/>
        <v>1.8555777719762849</v>
      </c>
      <c r="AS484" s="106">
        <f>+'Regulatory Charge'!AM484+Fuel!AM484+PCM!AN484+Interest!AM484+'O&amp;M'!AO484+'Capex &amp; Depr'!AO484+Debt!AP484+Pat.!AF484+Rates!AM484</f>
        <v>1.8207943642166997</v>
      </c>
      <c r="AT484" s="106">
        <f>+'Regulatory Charge'!AN484+Fuel!AN484+PCM!AO484+Interest!AN484+'O&amp;M'!AP484+'Capex &amp; Depr'!AP484+Debt!AQ484+Pat.!AG484+Rates!AN484</f>
        <v>1.8604067116988201</v>
      </c>
      <c r="AU484" s="106">
        <f>+'Regulatory Charge'!AO484+Fuel!AO484+PCM!AP484+Interest!AO484+'O&amp;M'!AQ484+'Capex &amp; Depr'!AQ484+Debt!AR484+Pat.!AH484+Rates!AO484</f>
        <v>1.9162189130497849</v>
      </c>
      <c r="AV484" s="106">
        <f>+'Regulatory Charge'!AP484+Fuel!AP484+PCM!AQ484+Interest!AP484+'O&amp;M'!AR484+'Capex &amp; Depr'!AR484+Debt!AS484+Pat.!AI484+Rates!AP484</f>
        <v>1.9737054804412784</v>
      </c>
      <c r="AW484" s="106">
        <f>+'Regulatory Charge'!AQ484+Fuel!AQ484+PCM!AR484+Interest!AQ484+'O&amp;M'!AS484+'Capex &amp; Depr'!AS484+Debt!AT484+Pat.!AJ484+Rates!AQ484</f>
        <v>2.0329166448545166</v>
      </c>
      <c r="AX484" s="106">
        <f>+'Regulatory Charge'!AR484+Fuel!AR484+PCM!AS484+Interest!AR484+'O&amp;M'!AT484+'Capex &amp; Depr'!AT484+Debt!AU484+Pat.!AK484+Rates!AR484</f>
        <v>2.093904144200152</v>
      </c>
      <c r="AY484" s="106">
        <f>+'Regulatory Charge'!AS484+Fuel!AS484+PCM!AT484+Interest!AS484+'O&amp;M'!AU484+'Capex &amp; Depr'!AU484+Debt!AV484+Pat.!AL484+Rates!AS484</f>
        <v>2.1567212685261565</v>
      </c>
      <c r="AZ484" s="106">
        <f>+'Regulatory Charge'!AT484+Fuel!AT484+PCM!AU484+Interest!AT484+'O&amp;M'!AV484+'Capex &amp; Depr'!AV484+Debt!AW484+Pat.!AM484+Rates!AT484</f>
        <v>2.2214229065819411</v>
      </c>
      <c r="BA484" s="106">
        <f>+'Regulatory Charge'!AU484+Fuel!AU484+PCM!AV484+Interest!AU484+'O&amp;M'!AW484+'Capex &amp; Depr'!AW484+Debt!AX484+Pat.!AN484+Rates!AU484</f>
        <v>2.2880655937793994</v>
      </c>
      <c r="BB484" s="106">
        <f>+'Regulatory Charge'!AV484+Fuel!AV484+PCM!AW484+Interest!AV484+'O&amp;M'!AX484+'Capex &amp; Depr'!AX484+Debt!AY484+Pat.!AO484+Rates!AV484</f>
        <v>2.3567075615927813</v>
      </c>
      <c r="BC484" s="106">
        <f>+'Regulatory Charge'!AW484+Fuel!AW484+PCM!AX484+Interest!AW484+'O&amp;M'!AY484+'Capex &amp; Depr'!AY484+Debt!AZ484+Pat.!AP484+Rates!AW484</f>
        <v>2.4274087884405646</v>
      </c>
      <c r="BD484" s="106"/>
      <c r="BE484" s="106"/>
    </row>
    <row r="485" spans="1:57">
      <c r="A485" s="849">
        <v>501.1</v>
      </c>
      <c r="B485" s="846" t="s">
        <v>61</v>
      </c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224"/>
      <c r="S485" s="106">
        <f>+'Regulatory Charge'!M485+Fuel!M485+PCM!N485+Interest!M485+'O&amp;M'!O485+'Capex &amp; Depr'!O485+Debt!P485+Pat.!F485+Rates!M485</f>
        <v>6.3848874120639207</v>
      </c>
      <c r="T485" s="106">
        <f>+'Regulatory Charge'!N485+Fuel!N485+PCM!O485+Interest!N485+'O&amp;M'!P485+'Capex &amp; Depr'!P485+Debt!Q485+Pat.!G485+Rates!N485</f>
        <v>5.7530913677165589</v>
      </c>
      <c r="U485" s="106">
        <f>+'Regulatory Charge'!O485+Fuel!O485+PCM!P485+Interest!O485+'O&amp;M'!Q485+'Capex &amp; Depr'!Q485+Debt!R485+Pat.!H485+Rates!O485</f>
        <v>6.2395231475140589</v>
      </c>
      <c r="V485" s="106">
        <f>+'Regulatory Charge'!P485+Fuel!P485+PCM!Q485+Interest!P485+'O&amp;M'!R485+'Capex &amp; Depr'!R485+Debt!S485+Pat.!I485+Rates!P485</f>
        <v>5.9906972766824778</v>
      </c>
      <c r="W485" s="106">
        <f>+'Regulatory Charge'!Q485+Fuel!Q485+PCM!R485+Interest!Q485+'O&amp;M'!S485+'Capex &amp; Depr'!S485+Debt!T485+Pat.!J485+Rates!Q485</f>
        <v>6.1278968942077121</v>
      </c>
      <c r="X485" s="106">
        <f>+'Regulatory Charge'!R485+Fuel!R485+PCM!S485+Interest!R485+'O&amp;M'!T485+'Capex &amp; Depr'!T485+Debt!U485+Pat.!K485+Rates!R485</f>
        <v>5.7607941303981685</v>
      </c>
      <c r="Y485" s="106">
        <f>+'Regulatory Charge'!S485+Fuel!S485+PCM!T485+Interest!S485+'O&amp;M'!U485+'Capex &amp; Depr'!U485+Debt!V485+Pat.!L485+Rates!S485</f>
        <v>6.0447363239725762</v>
      </c>
      <c r="Z485" s="106">
        <f>+'Regulatory Charge'!T485+Fuel!T485+PCM!U485+Interest!T485+'O&amp;M'!V485+'Capex &amp; Depr'!V485+Debt!W485+Pat.!M485+Rates!T485</f>
        <v>6.0355565719946096</v>
      </c>
      <c r="AA485" s="106">
        <f>+'Regulatory Charge'!U485+Fuel!U485+PCM!V485+Interest!U485+'O&amp;M'!W485+'Capex &amp; Depr'!W485+Debt!X485+Pat.!N485+Rates!U485</f>
        <v>0</v>
      </c>
      <c r="AB485" s="106">
        <f>+'Regulatory Charge'!V485+Fuel!V485+PCM!W485+Interest!V485+'O&amp;M'!X485+'Capex &amp; Depr'!X485+Debt!Y485+Pat.!O485+Rates!V485</f>
        <v>0</v>
      </c>
      <c r="AC485" s="106">
        <f>+'Regulatory Charge'!W485+Fuel!W485+PCM!X485+Interest!W485+'O&amp;M'!Y485+'Capex &amp; Depr'!Y485+Debt!Z485+Pat.!P485+Rates!W485</f>
        <v>0</v>
      </c>
      <c r="AD485" s="106">
        <f>+'Regulatory Charge'!X485+Fuel!X485+PCM!Y485+Interest!X485+'O&amp;M'!Z485+'Capex &amp; Depr'!Z485+Debt!AA485+Pat.!Q485+Rates!X485</f>
        <v>0</v>
      </c>
      <c r="AE485" s="224">
        <f t="shared" si="4"/>
        <v>48.337183124550087</v>
      </c>
      <c r="AF485" s="106">
        <f>+'Regulatory Charge'!Z485+Fuel!Z485+PCM!AA485+Interest!Z485+'O&amp;M'!AB485+'Capex &amp; Depr'!AB485+Debt!AC485+Pat.!S485+Rates!Z485</f>
        <v>0</v>
      </c>
      <c r="AG485" s="106">
        <f>+'Regulatory Charge'!AA485+Fuel!AA485+PCM!AB485+Interest!AA485+'O&amp;M'!AC485+'Capex &amp; Depr'!AC485+Debt!AD485+Pat.!T485+Rates!AA485</f>
        <v>0</v>
      </c>
      <c r="AH485" s="106">
        <f>+'Regulatory Charge'!AB485+Fuel!AB485+PCM!AC485+Interest!AB485+'O&amp;M'!AD485+'Capex &amp; Depr'!AD485+Debt!AE485+Pat.!U485+Rates!AB485</f>
        <v>0</v>
      </c>
      <c r="AI485" s="106">
        <f>+'Regulatory Charge'!AC485+Fuel!AC485+PCM!AD485+Interest!AC485+'O&amp;M'!AE485+'Capex &amp; Depr'!AE485+Debt!AF485+Pat.!V485+Rates!AC485</f>
        <v>0</v>
      </c>
      <c r="AJ485" s="106">
        <f>+'Regulatory Charge'!AD485+Fuel!AD485+PCM!AE485+Interest!AD485+'O&amp;M'!AF485+'Capex &amp; Depr'!AF485+Debt!AG485+Pat.!W485+Rates!AD485</f>
        <v>0</v>
      </c>
      <c r="AK485" s="106">
        <f>+'Regulatory Charge'!AE485+Fuel!AE485+PCM!AF485+Interest!AE485+'O&amp;M'!AG485+'Capex &amp; Depr'!AG485+Debt!AH485+Pat.!X485+Rates!AE485</f>
        <v>0</v>
      </c>
      <c r="AL485" s="106">
        <f>+'Regulatory Charge'!AF485+Fuel!AF485+PCM!AG485+Interest!AF485+'O&amp;M'!AH485+'Capex &amp; Depr'!AH485+Debt!AI485+Pat.!Y485+Rates!AF485</f>
        <v>0</v>
      </c>
      <c r="AM485" s="106">
        <f>+'Regulatory Charge'!AG485+Fuel!AG485+PCM!AH485+Interest!AG485+'O&amp;M'!AI485+'Capex &amp; Depr'!AI485+Debt!AJ485+Pat.!Z485+Rates!AG485</f>
        <v>0</v>
      </c>
      <c r="AN485" s="106">
        <f>+'Regulatory Charge'!AH485+Fuel!AH485+PCM!AI485+Interest!AH485+'O&amp;M'!AJ485+'Capex &amp; Depr'!AJ485+Debt!AK485+Pat.!AA485+Rates!AH485</f>
        <v>0</v>
      </c>
      <c r="AO485" s="106">
        <f>+'Regulatory Charge'!AI485+Fuel!AI485+PCM!AJ485+Interest!AI485+'O&amp;M'!AK485+'Capex &amp; Depr'!AK485+Debt!AL485+Pat.!AB485+Rates!AI485</f>
        <v>0</v>
      </c>
      <c r="AP485" s="106">
        <f>+'Regulatory Charge'!AJ485+Fuel!AJ485+PCM!AK485+Interest!AJ485+'O&amp;M'!AL485+'Capex &amp; Depr'!AL485+Debt!AM485+Pat.!AC485+Rates!AJ485</f>
        <v>0</v>
      </c>
      <c r="AQ485" s="106">
        <f>+'Regulatory Charge'!AK485+Fuel!AK485+PCM!AL485+Interest!AK485+'O&amp;M'!AM485+'Capex &amp; Depr'!AM485+Debt!AN485+Pat.!AD485+Rates!AK485</f>
        <v>0</v>
      </c>
      <c r="AR485" s="224">
        <f t="shared" si="5"/>
        <v>0</v>
      </c>
      <c r="AS485" s="106">
        <f>+'Regulatory Charge'!AM485+Fuel!AM485+PCM!AN485+Interest!AM485+'O&amp;M'!AO485+'Capex &amp; Depr'!AO485+Debt!AP485+Pat.!AF485+Rates!AM485</f>
        <v>0</v>
      </c>
      <c r="AT485" s="106">
        <f>+'Regulatory Charge'!AN485+Fuel!AN485+PCM!AO485+Interest!AN485+'O&amp;M'!AP485+'Capex &amp; Depr'!AP485+Debt!AQ485+Pat.!AG485+Rates!AN485</f>
        <v>0</v>
      </c>
      <c r="AU485" s="106">
        <f>+'Regulatory Charge'!AO485+Fuel!AO485+PCM!AP485+Interest!AO485+'O&amp;M'!AQ485+'Capex &amp; Depr'!AQ485+Debt!AR485+Pat.!AH485+Rates!AO485</f>
        <v>0</v>
      </c>
      <c r="AV485" s="106">
        <f>+'Regulatory Charge'!AP485+Fuel!AP485+PCM!AQ485+Interest!AP485+'O&amp;M'!AR485+'Capex &amp; Depr'!AR485+Debt!AS485+Pat.!AI485+Rates!AP485</f>
        <v>0</v>
      </c>
      <c r="AW485" s="106">
        <f>+'Regulatory Charge'!AQ485+Fuel!AQ485+PCM!AR485+Interest!AQ485+'O&amp;M'!AS485+'Capex &amp; Depr'!AS485+Debt!AT485+Pat.!AJ485+Rates!AQ485</f>
        <v>90.468622125005538</v>
      </c>
      <c r="AX485" s="106">
        <f>+'Regulatory Charge'!AR485+Fuel!AR485+PCM!AS485+Interest!AR485+'O&amp;M'!AT485+'Capex &amp; Depr'!AT485+Debt!AU485+Pat.!AK485+Rates!AR485</f>
        <v>101.88938391289365</v>
      </c>
      <c r="AY485" s="106">
        <f>+'Regulatory Charge'!AS485+Fuel!AS485+PCM!AT485+Interest!AS485+'O&amp;M'!AU485+'Capex &amp; Depr'!AU485+Debt!AV485+Pat.!AL485+Rates!AS485</f>
        <v>98.598522904443001</v>
      </c>
      <c r="AZ485" s="106">
        <f>+'Regulatory Charge'!AT485+Fuel!AT485+PCM!AU485+Interest!AT485+'O&amp;M'!AV485+'Capex &amp; Depr'!AV485+Debt!AW485+Pat.!AM485+Rates!AT485</f>
        <v>108.71245328609614</v>
      </c>
      <c r="BA485" s="106">
        <f>+'Regulatory Charge'!AU485+Fuel!AU485+PCM!AV485+Interest!AU485+'O&amp;M'!AW485+'Capex &amp; Depr'!AW485+Debt!AX485+Pat.!AN485+Rates!AU485</f>
        <v>104.84030838096683</v>
      </c>
      <c r="BB485" s="106">
        <f>+'Regulatory Charge'!AV485+Fuel!AV485+PCM!AW485+Interest!AV485+'O&amp;M'!AX485+'Capex &amp; Depr'!AX485+Debt!AY485+Pat.!AO485+Rates!AV485</f>
        <v>116.70674557084428</v>
      </c>
      <c r="BC485" s="106">
        <f>+'Regulatory Charge'!AW485+Fuel!AW485+PCM!AX485+Interest!AW485+'O&amp;M'!AY485+'Capex &amp; Depr'!AY485+Debt!AZ485+Pat.!AP485+Rates!AW485</f>
        <v>110.79180477130006</v>
      </c>
      <c r="BD485" s="106"/>
      <c r="BE485" s="106"/>
    </row>
    <row r="486" spans="1:57">
      <c r="A486" s="849">
        <v>501.1</v>
      </c>
      <c r="B486" s="846" t="s">
        <v>63</v>
      </c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224"/>
      <c r="S486" s="106">
        <f>+'Regulatory Charge'!M486+Fuel!M486+PCM!N486+Interest!M486+'O&amp;M'!O486+'Capex &amp; Depr'!O486+Debt!P486+Pat.!F486+Rates!M486</f>
        <v>0.15352533407410313</v>
      </c>
      <c r="T486" s="106">
        <f>+'Regulatory Charge'!N486+Fuel!N486+PCM!O486+Interest!N486+'O&amp;M'!P486+'Capex &amp; Depr'!P486+Debt!Q486+Pat.!G486+Rates!N486</f>
        <v>0.15260874489134221</v>
      </c>
      <c r="U486" s="106">
        <f>+'Regulatory Charge'!O486+Fuel!O486+PCM!P486+Interest!O486+'O&amp;M'!Q486+'Capex &amp; Depr'!Q486+Debt!R486+Pat.!H486+Rates!O486</f>
        <v>0.15129924416666668</v>
      </c>
      <c r="V486" s="106">
        <f>+'Regulatory Charge'!P486+Fuel!P486+PCM!Q486+Interest!P486+'O&amp;M'!R486+'Capex &amp; Depr'!R486+Debt!S486+Pat.!I486+Rates!P486</f>
        <v>0.14979347347769228</v>
      </c>
      <c r="W486" s="106">
        <f>+'Regulatory Charge'!Q486+Fuel!Q486+PCM!R486+Interest!Q486+'O&amp;M'!S486+'Capex &amp; Depr'!S486+Debt!T486+Pat.!J486+Rates!Q486</f>
        <v>0.15031734747584424</v>
      </c>
      <c r="X486" s="106">
        <f>+'Regulatory Charge'!R486+Fuel!R486+PCM!S486+Interest!R486+'O&amp;M'!T486+'Capex &amp; Depr'!T486+Debt!U486+Pat.!K486+Rates!R486</f>
        <v>0.14920423083333334</v>
      </c>
      <c r="Y486" s="106">
        <f>+'Regulatory Charge'!S486+Fuel!S486+PCM!T486+Interest!S486+'O&amp;M'!U486+'Capex &amp; Depr'!U486+Debt!V486+Pat.!L486+Rates!S486</f>
        <v>0.14861502847769231</v>
      </c>
      <c r="Z486" s="106">
        <f>+'Regulatory Charge'!T486+Fuel!T486+PCM!U486+Interest!T486+'O&amp;M'!V486+'Capex &amp; Depr'!V486+Debt!W486+Pat.!M486+Rates!T486</f>
        <v>0.14828777656752046</v>
      </c>
      <c r="AA486" s="106">
        <f>+'Regulatory Charge'!U486+Fuel!U486+PCM!V486+Interest!U486+'O&amp;M'!W486+'Capex &amp; Depr'!W486+Debt!X486+Pat.!N486+Rates!U486</f>
        <v>0</v>
      </c>
      <c r="AB486" s="106">
        <f>+'Regulatory Charge'!V486+Fuel!V486+PCM!W486+Interest!V486+'O&amp;M'!X486+'Capex &amp; Depr'!X486+Debt!Y486+Pat.!O486+Rates!V486</f>
        <v>0</v>
      </c>
      <c r="AC486" s="106">
        <f>+'Regulatory Charge'!W486+Fuel!W486+PCM!X486+Interest!W486+'O&amp;M'!Y486+'Capex &amp; Depr'!Y486+Debt!Z486+Pat.!P486+Rates!W486</f>
        <v>0</v>
      </c>
      <c r="AD486" s="106">
        <f>+'Regulatory Charge'!X486+Fuel!X486+PCM!Y486+Interest!X486+'O&amp;M'!Z486+'Capex &amp; Depr'!Z486+Debt!AA486+Pat.!Q486+Rates!X486</f>
        <v>0</v>
      </c>
      <c r="AE486" s="224">
        <f t="shared" si="4"/>
        <v>1.2036511799641945</v>
      </c>
      <c r="AF486" s="106">
        <f>+'Regulatory Charge'!Z486+Fuel!Z486+PCM!AA486+Interest!Z486+'O&amp;M'!AB486+'Capex &amp; Depr'!AB486+Debt!AC486+Pat.!S486+Rates!Z486</f>
        <v>0</v>
      </c>
      <c r="AG486" s="106">
        <f>+'Regulatory Charge'!AA486+Fuel!AA486+PCM!AB486+Interest!AA486+'O&amp;M'!AC486+'Capex &amp; Depr'!AC486+Debt!AD486+Pat.!T486+Rates!AA486</f>
        <v>0</v>
      </c>
      <c r="AH486" s="106">
        <f>+'Regulatory Charge'!AB486+Fuel!AB486+PCM!AC486+Interest!AB486+'O&amp;M'!AD486+'Capex &amp; Depr'!AD486+Debt!AE486+Pat.!U486+Rates!AB486</f>
        <v>0</v>
      </c>
      <c r="AI486" s="106">
        <f>+'Regulatory Charge'!AC486+Fuel!AC486+PCM!AD486+Interest!AC486+'O&amp;M'!AE486+'Capex &amp; Depr'!AE486+Debt!AF486+Pat.!V486+Rates!AC486</f>
        <v>0</v>
      </c>
      <c r="AJ486" s="106">
        <f>+'Regulatory Charge'!AD486+Fuel!AD486+PCM!AE486+Interest!AD486+'O&amp;M'!AF486+'Capex &amp; Depr'!AF486+Debt!AG486+Pat.!W486+Rates!AD486</f>
        <v>0</v>
      </c>
      <c r="AK486" s="106">
        <f>+'Regulatory Charge'!AE486+Fuel!AE486+PCM!AF486+Interest!AE486+'O&amp;M'!AG486+'Capex &amp; Depr'!AG486+Debt!AH486+Pat.!X486+Rates!AE486</f>
        <v>0</v>
      </c>
      <c r="AL486" s="106">
        <f>+'Regulatory Charge'!AF486+Fuel!AF486+PCM!AG486+Interest!AF486+'O&amp;M'!AH486+'Capex &amp; Depr'!AH486+Debt!AI486+Pat.!Y486+Rates!AF486</f>
        <v>0</v>
      </c>
      <c r="AM486" s="106">
        <f>+'Regulatory Charge'!AG486+Fuel!AG486+PCM!AH486+Interest!AG486+'O&amp;M'!AI486+'Capex &amp; Depr'!AI486+Debt!AJ486+Pat.!Z486+Rates!AG486</f>
        <v>0</v>
      </c>
      <c r="AN486" s="106">
        <f>+'Regulatory Charge'!AH486+Fuel!AH486+PCM!AI486+Interest!AH486+'O&amp;M'!AJ486+'Capex &amp; Depr'!AJ486+Debt!AK486+Pat.!AA486+Rates!AH486</f>
        <v>0</v>
      </c>
      <c r="AO486" s="106">
        <f>+'Regulatory Charge'!AI486+Fuel!AI486+PCM!AJ486+Interest!AI486+'O&amp;M'!AK486+'Capex &amp; Depr'!AK486+Debt!AL486+Pat.!AB486+Rates!AI486</f>
        <v>0</v>
      </c>
      <c r="AP486" s="106">
        <f>+'Regulatory Charge'!AJ486+Fuel!AJ486+PCM!AK486+Interest!AJ486+'O&amp;M'!AL486+'Capex &amp; Depr'!AL486+Debt!AM486+Pat.!AC486+Rates!AJ486</f>
        <v>0</v>
      </c>
      <c r="AQ486" s="106">
        <f>+'Regulatory Charge'!AK486+Fuel!AK486+PCM!AL486+Interest!AK486+'O&amp;M'!AM486+'Capex &amp; Depr'!AM486+Debt!AN486+Pat.!AD486+Rates!AK486</f>
        <v>0</v>
      </c>
      <c r="AR486" s="224">
        <f t="shared" si="5"/>
        <v>0</v>
      </c>
      <c r="AS486" s="106">
        <f>+'Regulatory Charge'!AM486+Fuel!AM486+PCM!AN486+Interest!AM486+'O&amp;M'!AO486+'Capex &amp; Depr'!AO486+Debt!AP486+Pat.!AF486+Rates!AM486</f>
        <v>0</v>
      </c>
      <c r="AT486" s="106">
        <f>+'Regulatory Charge'!AN486+Fuel!AN486+PCM!AO486+Interest!AN486+'O&amp;M'!AP486+'Capex &amp; Depr'!AP486+Debt!AQ486+Pat.!AG486+Rates!AN486</f>
        <v>0</v>
      </c>
      <c r="AU486" s="106">
        <f>+'Regulatory Charge'!AO486+Fuel!AO486+PCM!AP486+Interest!AO486+'O&amp;M'!AQ486+'Capex &amp; Depr'!AQ486+Debt!AR486+Pat.!AH486+Rates!AO486</f>
        <v>0</v>
      </c>
      <c r="AV486" s="106">
        <f>+'Regulatory Charge'!AP486+Fuel!AP486+PCM!AQ486+Interest!AP486+'O&amp;M'!AR486+'Capex &amp; Depr'!AR486+Debt!AS486+Pat.!AI486+Rates!AP486</f>
        <v>0</v>
      </c>
      <c r="AW486" s="106">
        <f>+'Regulatory Charge'!AQ486+Fuel!AQ486+PCM!AR486+Interest!AQ486+'O&amp;M'!AS486+'Capex &amp; Depr'!AS486+Debt!AT486+Pat.!AJ486+Rates!AQ486</f>
        <v>1.5513749699999999</v>
      </c>
      <c r="AX486" s="106">
        <f>+'Regulatory Charge'!AR486+Fuel!AR486+PCM!AS486+Interest!AR486+'O&amp;M'!AT486+'Capex &amp; Depr'!AT486+Debt!AU486+Pat.!AK486+Rates!AR486</f>
        <v>1.6424316800000001</v>
      </c>
      <c r="AY486" s="106">
        <f>+'Regulatory Charge'!AS486+Fuel!AS486+PCM!AT486+Interest!AS486+'O&amp;M'!AU486+'Capex &amp; Depr'!AU486+Debt!AV486+Pat.!AL486+Rates!AS486</f>
        <v>1.63998497</v>
      </c>
      <c r="AZ486" s="106">
        <f>+'Regulatory Charge'!AT486+Fuel!AT486+PCM!AU486+Interest!AT486+'O&amp;M'!AV486+'Capex &amp; Depr'!AV486+Debt!AW486+Pat.!AM486+Rates!AT486</f>
        <v>1.68798669</v>
      </c>
      <c r="BA486" s="106">
        <f>+'Regulatory Charge'!AU486+Fuel!AU486+PCM!AV486+Interest!AU486+'O&amp;M'!AW486+'Capex &amp; Depr'!AW486+Debt!AX486+Pat.!AN486+Rates!AU486</f>
        <v>1.6776200999999999</v>
      </c>
      <c r="BB486" s="106">
        <f>+'Regulatory Charge'!AV486+Fuel!AV486+PCM!AW486+Interest!AV486+'O&amp;M'!AX486+'Capex &amp; Depr'!AX486+Debt!AY486+Pat.!AO486+Rates!AV486</f>
        <v>1.9697617000000001</v>
      </c>
      <c r="BC486" s="106">
        <f>+'Regulatory Charge'!AW486+Fuel!AW486+PCM!AX486+Interest!AW486+'O&amp;M'!AY486+'Capex &amp; Depr'!AY486+Debt!AZ486+Pat.!AP486+Rates!AW486</f>
        <v>1.7157350699999998</v>
      </c>
      <c r="BD486" s="106"/>
      <c r="BE486" s="106"/>
    </row>
    <row r="487" spans="1:57">
      <c r="A487" s="849" t="s">
        <v>725</v>
      </c>
      <c r="B487" s="847" t="s">
        <v>1022</v>
      </c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224"/>
      <c r="S487" s="106">
        <f>+'Regulatory Charge'!M487+Fuel!M487+PCM!N487+Interest!M487+'O&amp;M'!O487+'Capex &amp; Depr'!O487+Debt!P487+Pat.!F487+Rates!M487</f>
        <v>0.43990989997453689</v>
      </c>
      <c r="T487" s="106">
        <f>+'Regulatory Charge'!N487+Fuel!N487+PCM!O487+Interest!N487+'O&amp;M'!P487+'Capex &amp; Depr'!P487+Debt!Q487+Pat.!G487+Rates!N487</f>
        <v>0.42386762145190149</v>
      </c>
      <c r="U487" s="106">
        <f>+'Regulatory Charge'!O487+Fuel!O487+PCM!P487+Interest!O487+'O&amp;M'!Q487+'Capex &amp; Depr'!Q487+Debt!R487+Pat.!H487+Rates!O487</f>
        <v>0.4591606342016995</v>
      </c>
      <c r="V487" s="106">
        <f>+'Regulatory Charge'!P487+Fuel!P487+PCM!Q487+Interest!P487+'O&amp;M'!R487+'Capex &amp; Depr'!R487+Debt!S487+Pat.!I487+Rates!P487</f>
        <v>0.4389189898668942</v>
      </c>
      <c r="W487" s="106">
        <f>+'Regulatory Charge'!Q487+Fuel!Q487+PCM!R487+Interest!Q487+'O&amp;M'!S487+'Capex &amp; Depr'!S487+Debt!T487+Pat.!J487+Rates!Q487</f>
        <v>0.46718015685752434</v>
      </c>
      <c r="X487" s="106">
        <f>+'Regulatory Charge'!R487+Fuel!R487+PCM!S487+Interest!R487+'O&amp;M'!T487+'Capex &amp; Depr'!T487+Debt!U487+Pat.!K487+Rates!R487</f>
        <v>0.39819997581568478</v>
      </c>
      <c r="Y487" s="106">
        <f>+'Regulatory Charge'!S487+Fuel!S487+PCM!T487+Interest!S487+'O&amp;M'!U487+'Capex &amp; Depr'!U487+Debt!V487+Pat.!L487+Rates!S487</f>
        <v>0.43670144427000984</v>
      </c>
      <c r="Z487" s="106">
        <f>+'Regulatory Charge'!T487+Fuel!T487+PCM!U487+Interest!T487+'O&amp;M'!V487+'Capex &amp; Depr'!V487+Debt!W487+Pat.!M487+Rates!T487</f>
        <v>0.46557754561075376</v>
      </c>
      <c r="AA487" s="106">
        <f>+'Regulatory Charge'!U487+Fuel!U487+PCM!V487+Interest!U487+'O&amp;M'!W487+'Capex &amp; Depr'!W487+Debt!X487+Pat.!N487+Rates!U487</f>
        <v>0.40385889897857835</v>
      </c>
      <c r="AB487" s="106">
        <f>+'Regulatory Charge'!V487+Fuel!V487+PCM!W487+Interest!V487+'O&amp;M'!X487+'Capex &amp; Depr'!X487+Debt!Y487+Pat.!O487+Rates!V487</f>
        <v>0.48545404061555741</v>
      </c>
      <c r="AC487" s="106">
        <f>+'Regulatory Charge'!W487+Fuel!W487+PCM!X487+Interest!W487+'O&amp;M'!Y487+'Capex &amp; Depr'!Y487+Debt!Z487+Pat.!P487+Rates!W487</f>
        <v>0.39764466734462534</v>
      </c>
      <c r="AD487" s="106">
        <f>+'Regulatory Charge'!X487+Fuel!X487+PCM!Y487+Interest!X487+'O&amp;M'!Z487+'Capex &amp; Depr'!Z487+Debt!AA487+Pat.!Q487+Rates!X487</f>
        <v>0.32741564693748354</v>
      </c>
      <c r="AE487" s="224">
        <f t="shared" si="4"/>
        <v>5.1438895219252494</v>
      </c>
      <c r="AF487" s="106">
        <f>+'Regulatory Charge'!Z487+Fuel!Z487+PCM!AA487+Interest!Z487+'O&amp;M'!AB487+'Capex &amp; Depr'!AB487+Debt!AC487+Pat.!S487+Rates!Z487</f>
        <v>0.35049530797209899</v>
      </c>
      <c r="AG487" s="106">
        <f>+'Regulatory Charge'!AA487+Fuel!AA487+PCM!AB487+Interest!AA487+'O&amp;M'!AC487+'Capex &amp; Depr'!AC487+Debt!AD487+Pat.!T487+Rates!AA487</f>
        <v>0.33755563320793469</v>
      </c>
      <c r="AH487" s="106">
        <f>+'Regulatory Charge'!AB487+Fuel!AB487+PCM!AC487+Interest!AB487+'O&amp;M'!AD487+'Capex &amp; Depr'!AD487+Debt!AE487+Pat.!U487+Rates!AB487</f>
        <v>0.36869032854725697</v>
      </c>
      <c r="AI487" s="106">
        <f>+'Regulatory Charge'!AC487+Fuel!AC487+PCM!AD487+Interest!AC487+'O&amp;M'!AE487+'Capex &amp; Depr'!AE487+Debt!AF487+Pat.!V487+Rates!AC487</f>
        <v>0.34926028485850014</v>
      </c>
      <c r="AJ487" s="106">
        <f>+'Regulatory Charge'!AD487+Fuel!AD487+PCM!AE487+Interest!AD487+'O&amp;M'!AF487+'Capex &amp; Depr'!AF487+Debt!AG487+Pat.!W487+Rates!AD487</f>
        <v>0.3722215278130323</v>
      </c>
      <c r="AK487" s="106">
        <f>+'Regulatory Charge'!AE487+Fuel!AE487+PCM!AF487+Interest!AE487+'O&amp;M'!AG487+'Capex &amp; Depr'!AG487+Debt!AH487+Pat.!X487+Rates!AE487</f>
        <v>0.31685215358527158</v>
      </c>
      <c r="AL487" s="106">
        <f>+'Regulatory Charge'!AF487+Fuel!AF487+PCM!AG487+Interest!AF487+'O&amp;M'!AH487+'Capex &amp; Depr'!AH487+Debt!AI487+Pat.!Y487+Rates!AF487</f>
        <v>0.34790737301926611</v>
      </c>
      <c r="AM487" s="106">
        <f>+'Regulatory Charge'!AG487+Fuel!AG487+PCM!AH487+Interest!AG487+'O&amp;M'!AI487+'Capex &amp; Depr'!AI487+Debt!AJ487+Pat.!Z487+Rates!AG487</f>
        <v>0.37119878759476205</v>
      </c>
      <c r="AN487" s="106">
        <f>+'Regulatory Charge'!AH487+Fuel!AH487+PCM!AI487+Interest!AH487+'O&amp;M'!AJ487+'Capex &amp; Depr'!AJ487+Debt!AK487+Pat.!AA487+Rates!AH487</f>
        <v>0.32113560988179413</v>
      </c>
      <c r="AO487" s="106">
        <f>+'Regulatory Charge'!AI487+Fuel!AI487+PCM!AJ487+Interest!AI487+'O&amp;M'!AK487+'Capex &amp; Depr'!AK487+Debt!AL487+Pat.!AB487+Rates!AI487</f>
        <v>0.3868107840580734</v>
      </c>
      <c r="AP487" s="106">
        <f>+'Regulatory Charge'!AJ487+Fuel!AJ487+PCM!AK487+Interest!AJ487+'O&amp;M'!AL487+'Capex &amp; Depr'!AL487+Debt!AM487+Pat.!AC487+Rates!AJ487</f>
        <v>0.31605438548932818</v>
      </c>
      <c r="AQ487" s="106">
        <f>+'Regulatory Charge'!AK487+Fuel!AK487+PCM!AL487+Interest!AK487+'O&amp;M'!AM487+'Capex &amp; Depr'!AM487+Debt!AN487+Pat.!AD487+Rates!AK487</f>
        <v>0.32653681490691999</v>
      </c>
      <c r="AR487" s="224">
        <f t="shared" si="5"/>
        <v>4.1647189909342393</v>
      </c>
      <c r="AS487" s="106">
        <f>+'Regulatory Charge'!AM487+Fuel!AM487+PCM!AN487+Interest!AM487+'O&amp;M'!AO487+'Capex &amp; Depr'!AO487+Debt!AP487+Pat.!AF487+Rates!AM487</f>
        <v>4.2689607106125305</v>
      </c>
      <c r="AT487" s="106">
        <f>+'Regulatory Charge'!AN487+Fuel!AN487+PCM!AO487+Interest!AN487+'O&amp;M'!AP487+'Capex &amp; Depr'!AP487+Debt!AQ487+Pat.!AG487+Rates!AN487</f>
        <v>4.3720770526025792</v>
      </c>
      <c r="AU487" s="106">
        <f>+'Regulatory Charge'!AO487+Fuel!AO487+PCM!AP487+Interest!AO487+'O&amp;M'!AQ487+'Capex &amp; Depr'!AQ487+Debt!AR487+Pat.!AH487+Rates!AO487</f>
        <v>4.503239364180657</v>
      </c>
      <c r="AV487" s="106">
        <f>+'Regulatory Charge'!AP487+Fuel!AP487+PCM!AQ487+Interest!AP487+'O&amp;M'!AR487+'Capex &amp; Depr'!AR487+Debt!AS487+Pat.!AI487+Rates!AP487</f>
        <v>4.6383365451060765</v>
      </c>
      <c r="AW487" s="106">
        <f>+'Regulatory Charge'!AQ487+Fuel!AQ487+PCM!AR487+Interest!AQ487+'O&amp;M'!AS487+'Capex &amp; Depr'!AS487+Debt!AT487+Pat.!AJ487+Rates!AQ487</f>
        <v>4.7774866414592587</v>
      </c>
      <c r="AX487" s="106">
        <f>+'Regulatory Charge'!AR487+Fuel!AR487+PCM!AS487+Interest!AR487+'O&amp;M'!AT487+'Capex &amp; Depr'!AT487+Debt!AU487+Pat.!AK487+Rates!AR487</f>
        <v>4.9208112407030367</v>
      </c>
      <c r="AY487" s="106">
        <f>+'Regulatory Charge'!AS487+Fuel!AS487+PCM!AT487+Interest!AS487+'O&amp;M'!AU487+'Capex &amp; Depr'!AU487+Debt!AV487+Pat.!AL487+Rates!AS487</f>
        <v>5.0684355779241281</v>
      </c>
      <c r="AZ487" s="106">
        <f>+'Regulatory Charge'!AT487+Fuel!AT487+PCM!AU487+Interest!AT487+'O&amp;M'!AV487+'Capex &amp; Depr'!AV487+Debt!AW487+Pat.!AM487+Rates!AT487</f>
        <v>5.2204886452618524</v>
      </c>
      <c r="BA487" s="106">
        <f>+'Regulatory Charge'!AU487+Fuel!AU487+PCM!AV487+Interest!AU487+'O&amp;M'!AW487+'Capex &amp; Depr'!AW487+Debt!AX487+Pat.!AN487+Rates!AU487</f>
        <v>5.3771033046197081</v>
      </c>
      <c r="BB487" s="106">
        <f>+'Regulatory Charge'!AV487+Fuel!AV487+PCM!AW487+Interest!AV487+'O&amp;M'!AX487+'Capex &amp; Depr'!AX487+Debt!AY487+Pat.!AO487+Rates!AV487</f>
        <v>5.5384164037582995</v>
      </c>
      <c r="BC487" s="106">
        <f>+'Regulatory Charge'!AW487+Fuel!AW487+PCM!AX487+Interest!AW487+'O&amp;M'!AY487+'Capex &amp; Depr'!AY487+Debt!AZ487+Pat.!AP487+Rates!AW487</f>
        <v>5.7045688958710485</v>
      </c>
      <c r="BD487" s="106"/>
      <c r="BE487" s="106"/>
    </row>
    <row r="488" spans="1:57">
      <c r="A488" s="849" t="s">
        <v>537</v>
      </c>
      <c r="B488" s="847" t="s">
        <v>1022</v>
      </c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224"/>
      <c r="S488" s="106">
        <f>+'Regulatory Charge'!M488+Fuel!M488+PCM!N488+Interest!M488+'O&amp;M'!O488+'Capex &amp; Depr'!O488+Debt!P488+Pat.!F488+Rates!M488</f>
        <v>0.25939600000000002</v>
      </c>
      <c r="T488" s="106">
        <f>+'Regulatory Charge'!N488+Fuel!N488+PCM!O488+Interest!N488+'O&amp;M'!P488+'Capex &amp; Depr'!P488+Debt!Q488+Pat.!G488+Rates!N488</f>
        <v>0.25923499999999999</v>
      </c>
      <c r="U488" s="106">
        <f>+'Regulatory Charge'!O488+Fuel!O488+PCM!P488+Interest!O488+'O&amp;M'!Q488+'Capex &amp; Depr'!Q488+Debt!R488+Pat.!H488+Rates!O488</f>
        <v>0.25923499999999999</v>
      </c>
      <c r="V488" s="106">
        <f>+'Regulatory Charge'!P488+Fuel!P488+PCM!Q488+Interest!P488+'O&amp;M'!R488+'Capex &amp; Depr'!R488+Debt!S488+Pat.!I488+Rates!P488</f>
        <v>0.25923499999999999</v>
      </c>
      <c r="W488" s="106">
        <f>+'Regulatory Charge'!Q488+Fuel!Q488+PCM!R488+Interest!Q488+'O&amp;M'!S488+'Capex &amp; Depr'!S488+Debt!T488+Pat.!J488+Rates!Q488</f>
        <v>0.25923499999999999</v>
      </c>
      <c r="X488" s="106">
        <f>+'Regulatory Charge'!R488+Fuel!R488+PCM!S488+Interest!R488+'O&amp;M'!T488+'Capex &amp; Depr'!T488+Debt!U488+Pat.!K488+Rates!R488</f>
        <v>0.25923499999999999</v>
      </c>
      <c r="Y488" s="106">
        <f>+'Regulatory Charge'!S488+Fuel!S488+PCM!T488+Interest!S488+'O&amp;M'!U488+'Capex &amp; Depr'!U488+Debt!V488+Pat.!L488+Rates!S488</f>
        <v>0.25923499999999999</v>
      </c>
      <c r="Z488" s="106">
        <f>+'Regulatory Charge'!T488+Fuel!T488+PCM!U488+Interest!T488+'O&amp;M'!V488+'Capex &amp; Depr'!V488+Debt!W488+Pat.!M488+Rates!T488</f>
        <v>0.25923499999999999</v>
      </c>
      <c r="AA488" s="106">
        <f>+'Regulatory Charge'!U488+Fuel!U488+PCM!V488+Interest!U488+'O&amp;M'!W488+'Capex &amp; Depr'!W488+Debt!X488+Pat.!N488+Rates!U488</f>
        <v>0.25923499999999999</v>
      </c>
      <c r="AB488" s="106">
        <f>+'Regulatory Charge'!V488+Fuel!V488+PCM!W488+Interest!V488+'O&amp;M'!X488+'Capex &amp; Depr'!X488+Debt!Y488+Pat.!O488+Rates!V488</f>
        <v>0.25923499999999999</v>
      </c>
      <c r="AC488" s="106">
        <f>+'Regulatory Charge'!W488+Fuel!W488+PCM!X488+Interest!W488+'O&amp;M'!Y488+'Capex &amp; Depr'!Y488+Debt!Z488+Pat.!P488+Rates!W488</f>
        <v>0.25923499999999999</v>
      </c>
      <c r="AD488" s="106">
        <f>+'Regulatory Charge'!X488+Fuel!X488+PCM!Y488+Interest!X488+'O&amp;M'!Z488+'Capex &amp; Depr'!Z488+Debt!AA488+Pat.!Q488+Rates!X488</f>
        <v>0.25923499999999999</v>
      </c>
      <c r="AE488" s="224">
        <f t="shared" si="4"/>
        <v>3.1109809999999993</v>
      </c>
      <c r="AF488" s="106">
        <f>+'Regulatory Charge'!Z488+Fuel!Z488+PCM!AA488+Interest!Z488+'O&amp;M'!AB488+'Capex &amp; Depr'!AB488+Debt!AC488+Pat.!S488+Rates!Z488</f>
        <v>0.28010000000000002</v>
      </c>
      <c r="AG488" s="106">
        <f>+'Regulatory Charge'!AA488+Fuel!AA488+PCM!AB488+Interest!AA488+'O&amp;M'!AC488+'Capex &amp; Depr'!AC488+Debt!AD488+Pat.!T488+Rates!AA488</f>
        <v>0.27993099999999999</v>
      </c>
      <c r="AH488" s="106">
        <f>+'Regulatory Charge'!AB488+Fuel!AB488+PCM!AC488+Interest!AB488+'O&amp;M'!AD488+'Capex &amp; Depr'!AD488+Debt!AE488+Pat.!U488+Rates!AB488</f>
        <v>0.27993099999999999</v>
      </c>
      <c r="AI488" s="106">
        <f>+'Regulatory Charge'!AC488+Fuel!AC488+PCM!AD488+Interest!AC488+'O&amp;M'!AE488+'Capex &amp; Depr'!AE488+Debt!AF488+Pat.!V488+Rates!AC488</f>
        <v>0.27993099999999999</v>
      </c>
      <c r="AJ488" s="106">
        <f>+'Regulatory Charge'!AD488+Fuel!AD488+PCM!AE488+Interest!AD488+'O&amp;M'!AF488+'Capex &amp; Depr'!AF488+Debt!AG488+Pat.!W488+Rates!AD488</f>
        <v>0.27993099999999999</v>
      </c>
      <c r="AK488" s="106">
        <f>+'Regulatory Charge'!AE488+Fuel!AE488+PCM!AF488+Interest!AE488+'O&amp;M'!AG488+'Capex &amp; Depr'!AG488+Debt!AH488+Pat.!X488+Rates!AE488</f>
        <v>0.27993099999999999</v>
      </c>
      <c r="AL488" s="106">
        <f>+'Regulatory Charge'!AF488+Fuel!AF488+PCM!AG488+Interest!AF488+'O&amp;M'!AH488+'Capex &amp; Depr'!AH488+Debt!AI488+Pat.!Y488+Rates!AF488</f>
        <v>0.27993099999999999</v>
      </c>
      <c r="AM488" s="106">
        <f>+'Regulatory Charge'!AG488+Fuel!AG488+PCM!AH488+Interest!AG488+'O&amp;M'!AI488+'Capex &amp; Depr'!AI488+Debt!AJ488+Pat.!Z488+Rates!AG488</f>
        <v>0.27993099999999999</v>
      </c>
      <c r="AN488" s="106">
        <f>+'Regulatory Charge'!AH488+Fuel!AH488+PCM!AI488+Interest!AH488+'O&amp;M'!AJ488+'Capex &amp; Depr'!AJ488+Debt!AK488+Pat.!AA488+Rates!AH488</f>
        <v>0.27993099999999999</v>
      </c>
      <c r="AO488" s="106">
        <f>+'Regulatory Charge'!AI488+Fuel!AI488+PCM!AJ488+Interest!AI488+'O&amp;M'!AK488+'Capex &amp; Depr'!AK488+Debt!AL488+Pat.!AB488+Rates!AI488</f>
        <v>0.27993099999999999</v>
      </c>
      <c r="AP488" s="106">
        <f>+'Regulatory Charge'!AJ488+Fuel!AJ488+PCM!AK488+Interest!AJ488+'O&amp;M'!AL488+'Capex &amp; Depr'!AL488+Debt!AM488+Pat.!AC488+Rates!AJ488</f>
        <v>0.27993099999999999</v>
      </c>
      <c r="AQ488" s="106">
        <f>+'Regulatory Charge'!AK488+Fuel!AK488+PCM!AL488+Interest!AK488+'O&amp;M'!AM488+'Capex &amp; Depr'!AM488+Debt!AN488+Pat.!AD488+Rates!AK488</f>
        <v>0.27993099999999999</v>
      </c>
      <c r="AR488" s="224">
        <f t="shared" si="5"/>
        <v>3.3593409999999992</v>
      </c>
      <c r="AS488" s="106">
        <f>+'Regulatory Charge'!AM488+Fuel!AM488+PCM!AN488+Interest!AM488+'O&amp;M'!AO488+'Capex &amp; Depr'!AO488+Debt!AP488+Pat.!AF488+Rates!AM488</f>
        <v>3.5542540000000002</v>
      </c>
      <c r="AT488" s="106">
        <f>+'Regulatory Charge'!AN488+Fuel!AN488+PCM!AO488+Interest!AN488+'O&amp;M'!AP488+'Capex &amp; Depr'!AP488+Debt!AQ488+Pat.!AG488+Rates!AN488</f>
        <v>3.7137539999999998</v>
      </c>
      <c r="AU488" s="106">
        <f>+'Regulatory Charge'!AO488+Fuel!AO488+PCM!AP488+Interest!AO488+'O&amp;M'!AQ488+'Capex &amp; Depr'!AQ488+Debt!AR488+Pat.!AH488+Rates!AO488</f>
        <v>3.8251666199999996</v>
      </c>
      <c r="AV488" s="106">
        <f>+'Regulatory Charge'!AP488+Fuel!AP488+PCM!AQ488+Interest!AP488+'O&amp;M'!AR488+'Capex &amp; Depr'!AR488+Debt!AS488+Pat.!AI488+Rates!AP488</f>
        <v>3.9399216185999997</v>
      </c>
      <c r="AW488" s="106">
        <f>+'Regulatory Charge'!AQ488+Fuel!AQ488+PCM!AR488+Interest!AQ488+'O&amp;M'!AS488+'Capex &amp; Depr'!AS488+Debt!AT488+Pat.!AJ488+Rates!AQ488</f>
        <v>4.0581192671580002</v>
      </c>
      <c r="AX488" s="106">
        <f>+'Regulatory Charge'!AR488+Fuel!AR488+PCM!AS488+Interest!AR488+'O&amp;M'!AT488+'Capex &amp; Depr'!AT488+Debt!AU488+Pat.!AK488+Rates!AR488</f>
        <v>4.1798628451727398</v>
      </c>
      <c r="AY488" s="106">
        <f>+'Regulatory Charge'!AS488+Fuel!AS488+PCM!AT488+Interest!AS488+'O&amp;M'!AU488+'Capex &amp; Depr'!AU488+Debt!AV488+Pat.!AL488+Rates!AS488</f>
        <v>4.3052587305279229</v>
      </c>
      <c r="AZ488" s="106">
        <f>+'Regulatory Charge'!AT488+Fuel!AT488+PCM!AU488+Interest!AT488+'O&amp;M'!AV488+'Capex &amp; Depr'!AV488+Debt!AW488+Pat.!AM488+Rates!AT488</f>
        <v>4.4344164924437601</v>
      </c>
      <c r="BA488" s="106">
        <f>+'Regulatory Charge'!AU488+Fuel!AU488+PCM!AV488+Interest!AU488+'O&amp;M'!AW488+'Capex &amp; Depr'!AW488+Debt!AX488+Pat.!AN488+Rates!AU488</f>
        <v>4.5674489872170732</v>
      </c>
      <c r="BB488" s="106">
        <f>+'Regulatory Charge'!AV488+Fuel!AV488+PCM!AW488+Interest!AV488+'O&amp;M'!AX488+'Capex &amp; Depr'!AX488+Debt!AY488+Pat.!AO488+Rates!AV488</f>
        <v>4.7044724568335852</v>
      </c>
      <c r="BC488" s="106">
        <f>+'Regulatory Charge'!AW488+Fuel!AW488+PCM!AX488+Interest!AW488+'O&amp;M'!AY488+'Capex &amp; Depr'!AY488+Debt!AZ488+Pat.!AP488+Rates!AW488</f>
        <v>4.8456066305385939</v>
      </c>
      <c r="BD488" s="106"/>
      <c r="BE488" s="106"/>
    </row>
    <row r="489" spans="1:57">
      <c r="A489" s="849">
        <v>502.1</v>
      </c>
      <c r="B489" s="847" t="s">
        <v>1022</v>
      </c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224"/>
      <c r="S489" s="106">
        <f>+'Regulatory Charge'!M489+Fuel!M489+PCM!N489+Interest!M489+'O&amp;M'!O489+'Capex &amp; Depr'!O489+Debt!P489+Pat.!F489+Rates!M489</f>
        <v>0.13002374856934482</v>
      </c>
      <c r="T489" s="106">
        <f>+'Regulatory Charge'!N489+Fuel!N489+PCM!O489+Interest!N489+'O&amp;M'!P489+'Capex &amp; Depr'!P489+Debt!Q489+Pat.!G489+Rates!N489</f>
        <v>0.11692601194320688</v>
      </c>
      <c r="U489" s="106">
        <f>+'Regulatory Charge'!O489+Fuel!O489+PCM!P489+Interest!O489+'O&amp;M'!Q489+'Capex &amp; Depr'!Q489+Debt!R489+Pat.!H489+Rates!O489</f>
        <v>0.17533978254748273</v>
      </c>
      <c r="V489" s="106">
        <f>+'Regulatory Charge'!P489+Fuel!P489+PCM!Q489+Interest!P489+'O&amp;M'!R489+'Capex &amp; Depr'!R489+Debt!S489+Pat.!I489+Rates!P489</f>
        <v>9.211177712623278E-2</v>
      </c>
      <c r="W489" s="106">
        <f>+'Regulatory Charge'!Q489+Fuel!Q489+PCM!R489+Interest!Q489+'O&amp;M'!S489+'Capex &amp; Depr'!S489+Debt!T489+Pat.!J489+Rates!Q489</f>
        <v>0.21653208239554311</v>
      </c>
      <c r="X489" s="106">
        <f>+'Regulatory Charge'!R489+Fuel!R489+PCM!S489+Interest!R489+'O&amp;M'!T489+'Capex &amp; Depr'!T489+Debt!U489+Pat.!K489+Rates!R489</f>
        <v>0.19767806802622415</v>
      </c>
      <c r="Y489" s="106">
        <f>+'Regulatory Charge'!S489+Fuel!S489+PCM!T489+Interest!S489+'O&amp;M'!U489+'Capex &amp; Depr'!U489+Debt!V489+Pat.!L489+Rates!S489</f>
        <v>0.14603473653772414</v>
      </c>
      <c r="Z489" s="106">
        <f>+'Regulatory Charge'!T489+Fuel!T489+PCM!U489+Interest!T489+'O&amp;M'!V489+'Capex &amp; Depr'!V489+Debt!W489+Pat.!M489+Rates!T489</f>
        <v>0.1092106164856293</v>
      </c>
      <c r="AA489" s="106">
        <f>+'Regulatory Charge'!U489+Fuel!U489+PCM!V489+Interest!U489+'O&amp;M'!W489+'Capex &amp; Depr'!W489+Debt!X489+Pat.!N489+Rates!U489</f>
        <v>9.9347736634681036E-2</v>
      </c>
      <c r="AB489" s="106">
        <f>+'Regulatory Charge'!V489+Fuel!V489+PCM!W489+Interest!V489+'O&amp;M'!X489+'Capex &amp; Depr'!X489+Debt!Y489+Pat.!O489+Rates!V489</f>
        <v>8.7975149524724156E-2</v>
      </c>
      <c r="AC489" s="106">
        <f>+'Regulatory Charge'!W489+Fuel!W489+PCM!X489+Interest!W489+'O&amp;M'!Y489+'Capex &amp; Depr'!Y489+Debt!Z489+Pat.!P489+Rates!W489</f>
        <v>9.4339456002474148E-2</v>
      </c>
      <c r="AD489" s="106">
        <f>+'Regulatory Charge'!X489+Fuel!X489+PCM!Y489+Interest!X489+'O&amp;M'!Z489+'Capex &amp; Depr'!Z489+Debt!AA489+Pat.!Q489+Rates!X489</f>
        <v>0.1045995825628362</v>
      </c>
      <c r="AE489" s="224">
        <f t="shared" si="4"/>
        <v>1.5701187483561034</v>
      </c>
      <c r="AF489" s="106">
        <f>+'Regulatory Charge'!Z489+Fuel!Z489+PCM!AA489+Interest!Z489+'O&amp;M'!AB489+'Capex &amp; Depr'!AB489+Debt!AC489+Pat.!S489+Rates!Z489</f>
        <v>0.13392480742961668</v>
      </c>
      <c r="AG489" s="106">
        <f>+'Regulatory Charge'!AA489+Fuel!AA489+PCM!AB489+Interest!AA489+'O&amp;M'!AC489+'Capex &amp; Depr'!AC489+Debt!AD489+Pat.!T489+Rates!AA489</f>
        <v>0.1160599793319088</v>
      </c>
      <c r="AH489" s="106">
        <f>+'Regulatory Charge'!AB489+Fuel!AB489+PCM!AC489+Interest!AB489+'O&amp;M'!AD489+'Capex &amp; Depr'!AD489+Debt!AE489+Pat.!U489+Rates!AB489</f>
        <v>0.18635757055680921</v>
      </c>
      <c r="AI489" s="106">
        <f>+'Regulatory Charge'!AC489+Fuel!AC489+PCM!AD489+Interest!AC489+'O&amp;M'!AE489+'Capex &amp; Depr'!AE489+Debt!AF489+Pat.!V489+Rates!AC489</f>
        <v>0.20885462706780764</v>
      </c>
      <c r="AJ489" s="106">
        <f>+'Regulatory Charge'!AD489+Fuel!AD489+PCM!AE489+Interest!AD489+'O&amp;M'!AF489+'Capex &amp; Depr'!AF489+Debt!AG489+Pat.!W489+Rates!AD489</f>
        <v>0.25793808445180094</v>
      </c>
      <c r="AK489" s="106">
        <f>+'Regulatory Charge'!AE489+Fuel!AE489+PCM!AF489+Interest!AE489+'O&amp;M'!AG489+'Capex &amp; Depr'!AG489+Debt!AH489+Pat.!X489+Rates!AE489</f>
        <v>0.27941044974679718</v>
      </c>
      <c r="AL489" s="106">
        <f>+'Regulatory Charge'!AF489+Fuel!AF489+PCM!AG489+Interest!AF489+'O&amp;M'!AH489+'Capex &amp; Depr'!AH489+Debt!AI489+Pat.!Y489+Rates!AF489</f>
        <v>0.15016530300619962</v>
      </c>
      <c r="AM489" s="106">
        <f>+'Regulatory Charge'!AG489+Fuel!AG489+PCM!AH489+Interest!AG489+'O&amp;M'!AI489+'Capex &amp; Depr'!AI489+Debt!AJ489+Pat.!Z489+Rates!AG489</f>
        <v>0.11153734254538494</v>
      </c>
      <c r="AN489" s="106">
        <f>+'Regulatory Charge'!AH489+Fuel!AH489+PCM!AI489+Interest!AH489+'O&amp;M'!AJ489+'Capex &amp; Depr'!AJ489+Debt!AK489+Pat.!AA489+Rates!AH489</f>
        <v>0.10383076799448107</v>
      </c>
      <c r="AO489" s="106">
        <f>+'Regulatory Charge'!AI489+Fuel!AI489+PCM!AJ489+Interest!AI489+'O&amp;M'!AK489+'Capex &amp; Depr'!AK489+Debt!AL489+Pat.!AB489+Rates!AI489</f>
        <v>9.3167252047744661E-2</v>
      </c>
      <c r="AP489" s="106">
        <f>+'Regulatory Charge'!AJ489+Fuel!AJ489+PCM!AK489+Interest!AJ489+'O&amp;M'!AL489+'Capex &amp; Depr'!AL489+Debt!AM489+Pat.!AC489+Rates!AJ489</f>
        <v>9.9729877852215904E-2</v>
      </c>
      <c r="AQ489" s="106">
        <f>+'Regulatory Charge'!AK489+Fuel!AK489+PCM!AL489+Interest!AK489+'O&amp;M'!AM489+'Capex &amp; Depr'!AM489+Debt!AN489+Pat.!AD489+Rates!AK489</f>
        <v>0.11025893890253546</v>
      </c>
      <c r="AR489" s="224">
        <f t="shared" si="5"/>
        <v>1.8512350009333023</v>
      </c>
      <c r="AS489" s="106">
        <f>+'Regulatory Charge'!AM489+Fuel!AM489+PCM!AN489+Interest!AM489+'O&amp;M'!AO489+'Capex &amp; Depr'!AO489+Debt!AP489+Pat.!AF489+Rates!AM489</f>
        <v>1.7522018149949681</v>
      </c>
      <c r="AT489" s="106">
        <f>+'Regulatory Charge'!AN489+Fuel!AN489+PCM!AO489+Interest!AN489+'O&amp;M'!AP489+'Capex &amp; Depr'!AP489+Debt!AQ489+Pat.!AG489+Rates!AN489</f>
        <v>1.8211272621783763</v>
      </c>
      <c r="AU489" s="106">
        <f>+'Regulatory Charge'!AO489+Fuel!AO489+PCM!AP489+Interest!AO489+'O&amp;M'!AQ489+'Capex &amp; Depr'!AQ489+Debt!AR489+Pat.!AH489+Rates!AO489</f>
        <v>1.8757610800437277</v>
      </c>
      <c r="AV489" s="106">
        <f>+'Regulatory Charge'!AP489+Fuel!AP489+PCM!AQ489+Interest!AP489+'O&amp;M'!AR489+'Capex &amp; Depr'!AR489+Debt!AS489+Pat.!AI489+Rates!AP489</f>
        <v>1.9320339124450396</v>
      </c>
      <c r="AW489" s="106">
        <f>+'Regulatory Charge'!AQ489+Fuel!AQ489+PCM!AR489+Interest!AQ489+'O&amp;M'!AS489+'Capex &amp; Depr'!AS489+Debt!AT489+Pat.!AJ489+Rates!AQ489</f>
        <v>1.9899949298183908</v>
      </c>
      <c r="AX489" s="106">
        <f>+'Regulatory Charge'!AR489+Fuel!AR489+PCM!AS489+Interest!AR489+'O&amp;M'!AT489+'Capex &amp; Depr'!AT489+Debt!AU489+Pat.!AK489+Rates!AR489</f>
        <v>2.0496947777129426</v>
      </c>
      <c r="AY489" s="106">
        <f>+'Regulatory Charge'!AS489+Fuel!AS489+PCM!AT489+Interest!AS489+'O&amp;M'!AU489+'Capex &amp; Depr'!AU489+Debt!AV489+Pat.!AL489+Rates!AS489</f>
        <v>2.1111856210443309</v>
      </c>
      <c r="AZ489" s="106">
        <f>+'Regulatory Charge'!AT489+Fuel!AT489+PCM!AU489+Interest!AT489+'O&amp;M'!AV489+'Capex &amp; Depr'!AV489+Debt!AW489+Pat.!AM489+Rates!AT489</f>
        <v>2.1745211896756609</v>
      </c>
      <c r="BA489" s="106">
        <f>+'Regulatory Charge'!AU489+Fuel!AU489+PCM!AV489+Interest!AU489+'O&amp;M'!AW489+'Capex &amp; Depr'!AW489+Debt!AX489+Pat.!AN489+Rates!AU489</f>
        <v>2.2397568253659306</v>
      </c>
      <c r="BB489" s="106">
        <f>+'Regulatory Charge'!AV489+Fuel!AV489+PCM!AW489+Interest!AV489+'O&amp;M'!AX489+'Capex &amp; Depr'!AX489+Debt!AY489+Pat.!AO489+Rates!AV489</f>
        <v>2.3069495301269085</v>
      </c>
      <c r="BC489" s="106">
        <f>+'Regulatory Charge'!AW489+Fuel!AW489+PCM!AX489+Interest!AW489+'O&amp;M'!AY489+'Capex &amp; Depr'!AY489+Debt!AZ489+Pat.!AP489+Rates!AW489</f>
        <v>2.3761580160307156</v>
      </c>
      <c r="BD489" s="106"/>
      <c r="BE489" s="106"/>
    </row>
    <row r="490" spans="1:57">
      <c r="A490" s="849">
        <v>502.11</v>
      </c>
      <c r="B490" s="847" t="s">
        <v>1022</v>
      </c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224"/>
      <c r="S490" s="106">
        <f>+'Regulatory Charge'!M490+Fuel!M490+PCM!N490+Interest!M490+'O&amp;M'!O490+'Capex &amp; Depr'!O490+Debt!P490+Pat.!F490+Rates!M490</f>
        <v>0.13864265078239343</v>
      </c>
      <c r="T490" s="106">
        <f>+'Regulatory Charge'!N490+Fuel!N490+PCM!O490+Interest!N490+'O&amp;M'!P490+'Capex &amp; Depr'!P490+Debt!Q490+Pat.!G490+Rates!N490</f>
        <v>0.13399021283667553</v>
      </c>
      <c r="U490" s="106">
        <f>+'Regulatory Charge'!O490+Fuel!O490+PCM!P490+Interest!O490+'O&amp;M'!Q490+'Capex &amp; Depr'!Q490+Debt!R490+Pat.!H490+Rates!O490</f>
        <v>0.14422557631725488</v>
      </c>
      <c r="V490" s="106">
        <f>+'Regulatory Charge'!P490+Fuel!P490+PCM!Q490+Interest!P490+'O&amp;M'!R490+'Capex &amp; Depr'!R490+Debt!S490+Pat.!I490+Rates!P490</f>
        <v>0.13771216319324983</v>
      </c>
      <c r="W490" s="106">
        <f>+'Regulatory Charge'!Q490+Fuel!Q490+PCM!R490+Interest!Q490+'O&amp;M'!S490+'Capex &amp; Depr'!S490+Debt!T490+Pat.!J490+Rates!Q490</f>
        <v>0.14608655149554209</v>
      </c>
      <c r="X490" s="106">
        <f>+'Regulatory Charge'!R490+Fuel!R490+PCM!S490+Interest!R490+'O&amp;M'!T490+'Capex &amp; Depr'!T490+Debt!U490+Pat.!K490+Rates!R490</f>
        <v>0.12654631212352691</v>
      </c>
      <c r="Y490" s="106">
        <f>+'Regulatory Charge'!S490+Fuel!S490+PCM!T490+Interest!S490+'O&amp;M'!U490+'Capex &amp; Depr'!U490+Debt!V490+Pat.!L490+Rates!S490</f>
        <v>0.13771216319324983</v>
      </c>
      <c r="Z490" s="106">
        <f>+'Regulatory Charge'!T490+Fuel!T490+PCM!U490+Interest!T490+'O&amp;M'!V490+'Capex &amp; Depr'!V490+Debt!W490+Pat.!M490+Rates!T490</f>
        <v>0.14608655149554209</v>
      </c>
      <c r="AA490" s="106">
        <f>+'Regulatory Charge'!U490+Fuel!U490+PCM!V490+Interest!U490+'O&amp;M'!W490+'Capex &amp; Depr'!W490+Debt!X490+Pat.!N490+Rates!U490</f>
        <v>0.12979381833372841</v>
      </c>
      <c r="AB490" s="106">
        <f>+'Regulatory Charge'!V490+Fuel!V490+PCM!W490+Interest!V490+'O&amp;M'!X490+'Capex &amp; Depr'!X490+Debt!Y490+Pat.!O490+Rates!V490</f>
        <v>0.15366841584169399</v>
      </c>
      <c r="AC490" s="106">
        <f>+'Regulatory Charge'!W490+Fuel!W490+PCM!X490+Interest!W490+'O&amp;M'!Y490+'Capex &amp; Depr'!Y490+Debt!Z490+Pat.!P490+Rates!W490</f>
        <v>0.12789793616637887</v>
      </c>
      <c r="AD490" s="106">
        <f>+'Regulatory Charge'!X490+Fuel!X490+PCM!Y490+Interest!X490+'O&amp;M'!Z490+'Capex &amp; Depr'!Z490+Debt!AA490+Pat.!Q490+Rates!X490</f>
        <v>6.9468858526588517E-2</v>
      </c>
      <c r="AE490" s="224">
        <f t="shared" si="4"/>
        <v>1.5918312103058245</v>
      </c>
      <c r="AF490" s="106">
        <f>+'Regulatory Charge'!Z490+Fuel!Z490+PCM!AA490+Interest!Z490+'O&amp;M'!AB490+'Capex &amp; Depr'!AB490+Debt!AC490+Pat.!S490+Rates!Z490</f>
        <v>7.2668100127634069E-2</v>
      </c>
      <c r="AG490" s="106">
        <f>+'Regulatory Charge'!AA490+Fuel!AA490+PCM!AB490+Interest!AA490+'O&amp;M'!AC490+'Capex &amp; Depr'!AC490+Debt!AD490+Pat.!T490+Rates!AA490</f>
        <v>7.0229573277713481E-2</v>
      </c>
      <c r="AH490" s="106">
        <f>+'Regulatory Charge'!AB490+Fuel!AB490+PCM!AC490+Interest!AB490+'O&amp;M'!AD490+'Capex &amp; Depr'!AD490+Debt!AE490+Pat.!U490+Rates!AB490</f>
        <v>7.5594332347538803E-2</v>
      </c>
      <c r="AI490" s="106">
        <f>+'Regulatory Charge'!AC490+Fuel!AC490+PCM!AD490+Interest!AC490+'O&amp;M'!AE490+'Capex &amp; Depr'!AE490+Debt!AF490+Pat.!V490+Rates!AC490</f>
        <v>7.2180394757649965E-2</v>
      </c>
      <c r="AJ490" s="106">
        <f>+'Regulatory Charge'!AD490+Fuel!AD490+PCM!AE490+Interest!AD490+'O&amp;M'!AF490+'Capex &amp; Depr'!AF490+Debt!AG490+Pat.!W490+Rates!AD490</f>
        <v>7.6569743087507053E-2</v>
      </c>
      <c r="AK490" s="106">
        <f>+'Regulatory Charge'!AE490+Fuel!AE490+PCM!AF490+Interest!AE490+'O&amp;M'!AG490+'Capex &amp; Depr'!AG490+Debt!AH490+Pat.!X490+Rates!AE490</f>
        <v>6.6327930317840511E-2</v>
      </c>
      <c r="AL490" s="106">
        <f>+'Regulatory Charge'!AF490+Fuel!AF490+PCM!AG490+Interest!AF490+'O&amp;M'!AH490+'Capex &amp; Depr'!AH490+Debt!AI490+Pat.!Y490+Rates!AF490</f>
        <v>7.2180394757649965E-2</v>
      </c>
      <c r="AM490" s="106">
        <f>+'Regulatory Charge'!AG490+Fuel!AG490+PCM!AH490+Interest!AG490+'O&amp;M'!AI490+'Capex &amp; Depr'!AI490+Debt!AJ490+Pat.!Z490+Rates!AG490</f>
        <v>7.6569743087507053E-2</v>
      </c>
      <c r="AN490" s="106">
        <f>+'Regulatory Charge'!AH490+Fuel!AH490+PCM!AI490+Interest!AH490+'O&amp;M'!AJ490+'Capex &amp; Depr'!AJ490+Debt!AK490+Pat.!AA490+Rates!AH490</f>
        <v>6.7442514702561837E-2</v>
      </c>
      <c r="AO490" s="106">
        <f>+'Regulatory Charge'!AI490+Fuel!AI490+PCM!AJ490+Interest!AI490+'O&amp;M'!AK490+'Capex &amp; Depr'!AK490+Debt!AL490+Pat.!AB490+Rates!AI490</f>
        <v>7.984974862353772E-2</v>
      </c>
      <c r="AP490" s="106">
        <f>+'Regulatory Charge'!AJ490+Fuel!AJ490+PCM!AK490+Interest!AJ490+'O&amp;M'!AL490+'Capex &amp; Depr'!AL490+Debt!AM490+Pat.!AC490+Rates!AJ490</f>
        <v>6.6458796991018962E-2</v>
      </c>
      <c r="AQ490" s="106">
        <f>+'Regulatory Charge'!AK490+Fuel!AK490+PCM!AL490+Interest!AK490+'O&amp;M'!AM490+'Capex &amp; Depr'!AM490+Debt!AN490+Pat.!AD490+Rates!AK490</f>
        <v>6.8442641677318033E-2</v>
      </c>
      <c r="AR490" s="224">
        <f t="shared" si="5"/>
        <v>0.86451391375547748</v>
      </c>
      <c r="AS490" s="106">
        <f>+'Regulatory Charge'!AM490+Fuel!AM490+PCM!AN490+Interest!AM490+'O&amp;M'!AO490+'Capex &amp; Depr'!AO490+Debt!AP490+Pat.!AF490+Rates!AM490</f>
        <v>0.88304145160567127</v>
      </c>
      <c r="AT490" s="106">
        <f>+'Regulatory Charge'!AN490+Fuel!AN490+PCM!AO490+Interest!AN490+'O&amp;M'!AP490+'Capex &amp; Depr'!AP490+Debt!AQ490+Pat.!AG490+Rates!AN490</f>
        <v>0.90415358641630306</v>
      </c>
      <c r="AU490" s="106">
        <f>+'Regulatory Charge'!AO490+Fuel!AO490+PCM!AP490+Interest!AO490+'O&amp;M'!AQ490+'Capex &amp; Depr'!AQ490+Debt!AR490+Pat.!AH490+Rates!AO490</f>
        <v>0.93127819400879219</v>
      </c>
      <c r="AV490" s="106">
        <f>+'Regulatory Charge'!AP490+Fuel!AP490+PCM!AQ490+Interest!AP490+'O&amp;M'!AR490+'Capex &amp; Depr'!AR490+Debt!AS490+Pat.!AI490+Rates!AP490</f>
        <v>0.95921653982905597</v>
      </c>
      <c r="AW490" s="106">
        <f>+'Regulatory Charge'!AQ490+Fuel!AQ490+PCM!AR490+Interest!AQ490+'O&amp;M'!AS490+'Capex &amp; Depr'!AS490+Debt!AT490+Pat.!AJ490+Rates!AQ490</f>
        <v>0.98799303602392763</v>
      </c>
      <c r="AX490" s="106">
        <f>+'Regulatory Charge'!AR490+Fuel!AR490+PCM!AS490+Interest!AR490+'O&amp;M'!AT490+'Capex &amp; Depr'!AT490+Debt!AU490+Pat.!AK490+Rates!AR490</f>
        <v>1.0176328271046455</v>
      </c>
      <c r="AY490" s="106">
        <f>+'Regulatory Charge'!AS490+Fuel!AS490+PCM!AT490+Interest!AS490+'O&amp;M'!AU490+'Capex &amp; Depr'!AU490+Debt!AV490+Pat.!AL490+Rates!AS490</f>
        <v>1.0481618119177849</v>
      </c>
      <c r="AZ490" s="106">
        <f>+'Regulatory Charge'!AT490+Fuel!AT490+PCM!AU490+Interest!AT490+'O&amp;M'!AV490+'Capex &amp; Depr'!AV490+Debt!AW490+Pat.!AM490+Rates!AT490</f>
        <v>1.0796066662753185</v>
      </c>
      <c r="BA490" s="106">
        <f>+'Regulatory Charge'!AU490+Fuel!AU490+PCM!AV490+Interest!AU490+'O&amp;M'!AW490+'Capex &amp; Depr'!AW490+Debt!AX490+Pat.!AN490+Rates!AU490</f>
        <v>1.1119948662635781</v>
      </c>
      <c r="BB490" s="106">
        <f>+'Regulatory Charge'!AV490+Fuel!AV490+PCM!AW490+Interest!AV490+'O&amp;M'!AX490+'Capex &amp; Depr'!AX490+Debt!AY490+Pat.!AO490+Rates!AV490</f>
        <v>1.1453547122514856</v>
      </c>
      <c r="BC490" s="106">
        <f>+'Regulatory Charge'!AW490+Fuel!AW490+PCM!AX490+Interest!AW490+'O&amp;M'!AY490+'Capex &amp; Depr'!AY490+Debt!AZ490+Pat.!AP490+Rates!AW490</f>
        <v>1.1797153536190301</v>
      </c>
      <c r="BD490" s="106"/>
      <c r="BE490" s="106"/>
    </row>
    <row r="491" spans="1:57">
      <c r="A491" s="849">
        <v>502.11</v>
      </c>
      <c r="B491" s="847" t="s">
        <v>1022</v>
      </c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224"/>
      <c r="S491" s="106">
        <f>+'Regulatory Charge'!M491+Fuel!M491+PCM!N491+Interest!M491+'O&amp;M'!O491+'Capex &amp; Depr'!O491+Debt!P491+Pat.!F491+Rates!M491</f>
        <v>4.6430744620431036E-2</v>
      </c>
      <c r="T491" s="106">
        <f>+'Regulatory Charge'!N491+Fuel!N491+PCM!O491+Interest!N491+'O&amp;M'!P491+'Capex &amp; Depr'!P491+Debt!Q491+Pat.!G491+Rates!N491</f>
        <v>7.384394608594827E-2</v>
      </c>
      <c r="U491" s="106">
        <f>+'Regulatory Charge'!O491+Fuel!O491+PCM!P491+Interest!O491+'O&amp;M'!Q491+'Capex &amp; Depr'!Q491+Debt!R491+Pat.!H491+Rates!O491</f>
        <v>7.5699910585948271E-2</v>
      </c>
      <c r="V491" s="106">
        <f>+'Regulatory Charge'!P491+Fuel!P491+PCM!Q491+Interest!P491+'O&amp;M'!R491+'Capex &amp; Depr'!R491+Debt!S491+Pat.!I491+Rates!P491</f>
        <v>7.317060170922414E-2</v>
      </c>
      <c r="W491" s="106">
        <f>+'Regulatory Charge'!Q491+Fuel!Q491+PCM!R491+Interest!Q491+'O&amp;M'!S491+'Capex &amp; Depr'!S491+Debt!T491+Pat.!J491+Rates!Q491</f>
        <v>0.17329758990922417</v>
      </c>
      <c r="X491" s="106">
        <f>+'Regulatory Charge'!R491+Fuel!R491+PCM!S491+Interest!R491+'O&amp;M'!T491+'Capex &amp; Depr'!T491+Debt!U491+Pat.!K491+Rates!R491</f>
        <v>0.11270998476017242</v>
      </c>
      <c r="Y491" s="106">
        <f>+'Regulatory Charge'!S491+Fuel!S491+PCM!T491+Interest!S491+'O&amp;M'!U491+'Capex &amp; Depr'!U491+Debt!V491+Pat.!L491+Rates!S491</f>
        <v>4.7415058486896547E-2</v>
      </c>
      <c r="Z491" s="106">
        <f>+'Regulatory Charge'!T491+Fuel!T491+PCM!U491+Interest!T491+'O&amp;M'!V491+'Capex &amp; Depr'!V491+Debt!W491+Pat.!M491+Rates!T491</f>
        <v>3.3643633774913792E-2</v>
      </c>
      <c r="AA491" s="106">
        <f>+'Regulatory Charge'!U491+Fuel!U491+PCM!V491+Interest!U491+'O&amp;M'!W491+'Capex &amp; Depr'!W491+Debt!X491+Pat.!N491+Rates!U491</f>
        <v>8.4597848261982758E-2</v>
      </c>
      <c r="AB491" s="106">
        <f>+'Regulatory Charge'!V491+Fuel!V491+PCM!W491+Interest!V491+'O&amp;M'!X491+'Capex &amp; Depr'!X491+Debt!Y491+Pat.!O491+Rates!V491</f>
        <v>4.671464208525862E-2</v>
      </c>
      <c r="AC491" s="106">
        <f>+'Regulatory Charge'!W491+Fuel!W491+PCM!X491+Interest!W491+'O&amp;M'!Y491+'Capex &amp; Depr'!Y491+Debt!Z491+Pat.!P491+Rates!W491</f>
        <v>1.2684853089568966E-2</v>
      </c>
      <c r="AD491" s="106">
        <f>+'Regulatory Charge'!X491+Fuel!X491+PCM!Y491+Interest!X491+'O&amp;M'!Z491+'Capex &amp; Depr'!Z491+Debt!AA491+Pat.!Q491+Rates!X491</f>
        <v>8.5292063240517239E-3</v>
      </c>
      <c r="AE491" s="224">
        <f t="shared" si="4"/>
        <v>0.78873801969362078</v>
      </c>
      <c r="AF491" s="106">
        <f>+'Regulatory Charge'!Z491+Fuel!Z491+PCM!AA491+Interest!Z491+'O&amp;M'!AB491+'Capex &amp; Depr'!AB491+Debt!AC491+Pat.!S491+Rates!Z491</f>
        <v>1.2158971639926292E-2</v>
      </c>
      <c r="AG491" s="106">
        <f>+'Regulatory Charge'!AA491+Fuel!AA491+PCM!AB491+Interest!AA491+'O&amp;M'!AC491+'Capex &amp; Depr'!AC491+Debt!AD491+Pat.!T491+Rates!AA491</f>
        <v>1.4917773105443533E-2</v>
      </c>
      <c r="AH491" s="106">
        <f>+'Regulatory Charge'!AB491+Fuel!AB491+PCM!AC491+Interest!AB491+'O&amp;M'!AD491+'Capex &amp; Depr'!AD491+Debt!AE491+Pat.!U491+Rates!AB491</f>
        <v>2.6767832777857329E-2</v>
      </c>
      <c r="AI491" s="106">
        <f>+'Regulatory Charge'!AC491+Fuel!AC491+PCM!AD491+Interest!AC491+'O&amp;M'!AE491+'Capex &amp; Depr'!AE491+Debt!AF491+Pat.!V491+Rates!AC491</f>
        <v>1.2321408728719396E-2</v>
      </c>
      <c r="AJ491" s="106">
        <f>+'Regulatory Charge'!AD491+Fuel!AD491+PCM!AE491+Interest!AD491+'O&amp;M'!AF491+'Capex &amp; Depr'!AF491+Debt!AG491+Pat.!W491+Rates!AD491</f>
        <v>2.8399492790788364E-2</v>
      </c>
      <c r="AK491" s="106">
        <f>+'Regulatory Charge'!AE491+Fuel!AE491+PCM!AF491+Interest!AE491+'O&amp;M'!AG491+'Capex &amp; Depr'!AG491+Debt!AH491+Pat.!X491+Rates!AE491</f>
        <v>3.1632843459989651E-2</v>
      </c>
      <c r="AL491" s="106">
        <f>+'Regulatory Charge'!AF491+Fuel!AF491+PCM!AG491+Interest!AF491+'O&amp;M'!AH491+'Capex &amp; Depr'!AH491+Debt!AI491+Pat.!Y491+Rates!AF491</f>
        <v>9.9889571867137934E-3</v>
      </c>
      <c r="AM491" s="106">
        <f>+'Regulatory Charge'!AG491+Fuel!AG491+PCM!AH491+Interest!AG491+'O&amp;M'!AI491+'Capex &amp; Depr'!AI491+Debt!AJ491+Pat.!Z491+Rates!AG491</f>
        <v>1.0208846224018535E-2</v>
      </c>
      <c r="AN491" s="106">
        <f>+'Regulatory Charge'!AH491+Fuel!AH491+PCM!AI491+Interest!AH491+'O&amp;M'!AJ491+'Capex &amp; Depr'!AJ491+Debt!AK491+Pat.!AA491+Rates!AH491</f>
        <v>1.34508607110875E-2</v>
      </c>
      <c r="AO491" s="106">
        <f>+'Regulatory Charge'!AI491+Fuel!AI491+PCM!AJ491+Interest!AI491+'O&amp;M'!AK491+'Capex &amp; Depr'!AK491+Debt!AL491+Pat.!AB491+Rates!AI491</f>
        <v>1.0708009706777155E-2</v>
      </c>
      <c r="AP491" s="106">
        <f>+'Regulatory Charge'!AJ491+Fuel!AJ491+PCM!AK491+Interest!AJ491+'O&amp;M'!AL491+'Capex &amp; Depr'!AL491+Debt!AM491+Pat.!AC491+Rates!AJ491</f>
        <v>1.1148464849018533E-2</v>
      </c>
      <c r="AQ491" s="106">
        <f>+'Regulatory Charge'!AK491+Fuel!AK491+PCM!AL491+Interest!AK491+'O&amp;M'!AM491+'Capex &amp; Depr'!AM491+Debt!AN491+Pat.!AD491+Rates!AK491</f>
        <v>9.148407738673708E-3</v>
      </c>
      <c r="AR491" s="224">
        <f t="shared" si="5"/>
        <v>0.19085186891901379</v>
      </c>
      <c r="AS491" s="106">
        <f>+'Regulatory Charge'!AM491+Fuel!AM491+PCM!AN491+Interest!AM491+'O&amp;M'!AO491+'Capex &amp; Depr'!AO491+Debt!AP491+Pat.!AF491+Rates!AM491</f>
        <v>0.29254866014324821</v>
      </c>
      <c r="AT491" s="106">
        <f>+'Regulatory Charge'!AN491+Fuel!AN491+PCM!AO491+Interest!AN491+'O&amp;M'!AP491+'Capex &amp; Depr'!AP491+Debt!AQ491+Pat.!AG491+Rates!AN491</f>
        <v>0.21160334740271813</v>
      </c>
      <c r="AU491" s="106">
        <f>+'Regulatory Charge'!AO491+Fuel!AO491+PCM!AP491+Interest!AO491+'O&amp;M'!AQ491+'Capex &amp; Depr'!AQ491+Debt!AR491+Pat.!AH491+Rates!AO491</f>
        <v>0.21795144782479969</v>
      </c>
      <c r="AV491" s="106">
        <f>+'Regulatory Charge'!AP491+Fuel!AP491+PCM!AQ491+Interest!AP491+'O&amp;M'!AR491+'Capex &amp; Depr'!AR491+Debt!AS491+Pat.!AI491+Rates!AP491</f>
        <v>0.22448999125954369</v>
      </c>
      <c r="AW491" s="106">
        <f>+'Regulatory Charge'!AQ491+Fuel!AQ491+PCM!AR491+Interest!AQ491+'O&amp;M'!AS491+'Capex &amp; Depr'!AS491+Debt!AT491+Pat.!AJ491+Rates!AQ491</f>
        <v>0.23122469099733001</v>
      </c>
      <c r="AX491" s="106">
        <f>+'Regulatory Charge'!AR491+Fuel!AR491+PCM!AS491+Interest!AR491+'O&amp;M'!AT491+'Capex &amp; Depr'!AT491+Debt!AU491+Pat.!AK491+Rates!AR491</f>
        <v>0.23816143172724991</v>
      </c>
      <c r="AY491" s="106">
        <f>+'Regulatory Charge'!AS491+Fuel!AS491+PCM!AT491+Interest!AS491+'O&amp;M'!AU491+'Capex &amp; Depr'!AU491+Debt!AV491+Pat.!AL491+Rates!AS491</f>
        <v>0.2453062746790674</v>
      </c>
      <c r="AZ491" s="106">
        <f>+'Regulatory Charge'!AT491+Fuel!AT491+PCM!AU491+Interest!AT491+'O&amp;M'!AV491+'Capex &amp; Depr'!AV491+Debt!AW491+Pat.!AM491+Rates!AT491</f>
        <v>0.25266546291943942</v>
      </c>
      <c r="BA491" s="106">
        <f>+'Regulatory Charge'!AU491+Fuel!AU491+PCM!AV491+Interest!AU491+'O&amp;M'!AW491+'Capex &amp; Depr'!AW491+Debt!AX491+Pat.!AN491+Rates!AU491</f>
        <v>0.26024542680702262</v>
      </c>
      <c r="BB491" s="106">
        <f>+'Regulatory Charge'!AV491+Fuel!AV491+PCM!AW491+Interest!AV491+'O&amp;M'!AX491+'Capex &amp; Depr'!AX491+Debt!AY491+Pat.!AO491+Rates!AV491</f>
        <v>0.2680527896112333</v>
      </c>
      <c r="BC491" s="106">
        <f>+'Regulatory Charge'!AW491+Fuel!AW491+PCM!AX491+Interest!AW491+'O&amp;M'!AY491+'Capex &amp; Depr'!AY491+Debt!AZ491+Pat.!AP491+Rates!AW491</f>
        <v>0.27609437329957032</v>
      </c>
      <c r="BD491" s="106"/>
      <c r="BE491" s="106"/>
    </row>
    <row r="492" spans="1:57">
      <c r="A492" s="849" t="s">
        <v>729</v>
      </c>
      <c r="B492" s="847" t="s">
        <v>1022</v>
      </c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224"/>
      <c r="S492" s="106">
        <f>+'Regulatory Charge'!M492+Fuel!M492+PCM!N492+Interest!M492+'O&amp;M'!O492+'Capex &amp; Depr'!O492+Debt!P492+Pat.!F492+Rates!M492</f>
        <v>1.705570677490424</v>
      </c>
      <c r="T492" s="106">
        <f>+'Regulatory Charge'!N492+Fuel!N492+PCM!O492+Interest!N492+'O&amp;M'!P492+'Capex &amp; Depr'!P492+Debt!Q492+Pat.!G492+Rates!N492</f>
        <v>1.5321701898772009</v>
      </c>
      <c r="U492" s="106">
        <f>+'Regulatory Charge'!O492+Fuel!O492+PCM!P492+Interest!O492+'O&amp;M'!Q492+'Capex &amp; Depr'!Q492+Debt!R492+Pat.!H492+Rates!O492</f>
        <v>1.6391698819073781</v>
      </c>
      <c r="V492" s="106">
        <f>+'Regulatory Charge'!P492+Fuel!P492+PCM!Q492+Interest!P492+'O&amp;M'!R492+'Capex &amp; Depr'!R492+Debt!S492+Pat.!I492+Rates!P492</f>
        <v>1.5737985609907224</v>
      </c>
      <c r="W492" s="106">
        <f>+'Regulatory Charge'!Q492+Fuel!Q492+PCM!R492+Interest!Q492+'O&amp;M'!S492+'Capex &amp; Depr'!S492+Debt!T492+Pat.!J492+Rates!Q492</f>
        <v>1.5870444150618361</v>
      </c>
      <c r="X492" s="106">
        <f>+'Regulatory Charge'!R492+Fuel!R492+PCM!S492+Interest!R492+'O&amp;M'!T492+'Capex &amp; Depr'!T492+Debt!U492+Pat.!K492+Rates!R492</f>
        <v>1.5599482984153021</v>
      </c>
      <c r="Y492" s="106">
        <f>+'Regulatory Charge'!S492+Fuel!S492+PCM!T492+Interest!S492+'O&amp;M'!U492+'Capex &amp; Depr'!U492+Debt!V492+Pat.!L492+Rates!S492</f>
        <v>1.63975252876374</v>
      </c>
      <c r="Z492" s="106">
        <f>+'Regulatory Charge'!T492+Fuel!T492+PCM!U492+Interest!T492+'O&amp;M'!V492+'Capex &amp; Depr'!V492+Debt!W492+Pat.!M492+Rates!T492</f>
        <v>1.6389645844687759</v>
      </c>
      <c r="AA492" s="106">
        <f>+'Regulatory Charge'!U492+Fuel!U492+PCM!V492+Interest!U492+'O&amp;M'!W492+'Capex &amp; Depr'!W492+Debt!X492+Pat.!N492+Rates!U492</f>
        <v>1.0827724987279144</v>
      </c>
      <c r="AB492" s="106">
        <f>+'Regulatory Charge'!V492+Fuel!V492+PCM!W492+Interest!V492+'O&amp;M'!X492+'Capex &amp; Depr'!X492+Debt!Y492+Pat.!O492+Rates!V492</f>
        <v>1.144791954240816</v>
      </c>
      <c r="AC492" s="106">
        <f>+'Regulatory Charge'!W492+Fuel!W492+PCM!X492+Interest!W492+'O&amp;M'!Y492+'Capex &amp; Depr'!Y492+Debt!Z492+Pat.!P492+Rates!W492</f>
        <v>1.1058295047618421</v>
      </c>
      <c r="AD492" s="106">
        <f>+'Regulatory Charge'!X492+Fuel!X492+PCM!Y492+Interest!X492+'O&amp;M'!Z492+'Capex &amp; Depr'!Z492+Debt!AA492+Pat.!Q492+Rates!X492</f>
        <v>1.1459905665560481</v>
      </c>
      <c r="AE492" s="224">
        <f t="shared" si="4"/>
        <v>17.355803661261998</v>
      </c>
      <c r="AF492" s="106">
        <f>+'Regulatory Charge'!Z492+Fuel!Z492+PCM!AA492+Interest!Z492+'O&amp;M'!AB492+'Capex &amp; Depr'!AB492+Debt!AC492+Pat.!S492+Rates!Z492</f>
        <v>1.3026510706712096</v>
      </c>
      <c r="AG492" s="106">
        <f>+'Regulatory Charge'!AA492+Fuel!AA492+PCM!AB492+Interest!AA492+'O&amp;M'!AC492+'Capex &amp; Depr'!AC492+Debt!AD492+Pat.!T492+Rates!AA492</f>
        <v>1.1701918059623253</v>
      </c>
      <c r="AH492" s="106">
        <f>+'Regulatory Charge'!AB492+Fuel!AB492+PCM!AC492+Interest!AB492+'O&amp;M'!AD492+'Capex &amp; Depr'!AD492+Debt!AE492+Pat.!U492+Rates!AB492</f>
        <v>0.95829410875456955</v>
      </c>
      <c r="AI492" s="106">
        <f>+'Regulatory Charge'!AC492+Fuel!AC492+PCM!AD492+Interest!AC492+'O&amp;M'!AE492+'Capex &amp; Depr'!AE492+Debt!AF492+Pat.!V492+Rates!AC492</f>
        <v>1.024154640945002</v>
      </c>
      <c r="AJ492" s="106">
        <f>+'Regulatory Charge'!AD492+Fuel!AD492+PCM!AE492+Interest!AD492+'O&amp;M'!AF492+'Capex &amp; Depr'!AF492+Debt!AG492+Pat.!W492+Rates!AD492</f>
        <v>1.1963825699129764</v>
      </c>
      <c r="AK492" s="106">
        <f>+'Regulatory Charge'!AE492+Fuel!AE492+PCM!AF492+Interest!AE492+'O&amp;M'!AG492+'Capex &amp; Depr'!AG492+Debt!AH492+Pat.!X492+Rates!AE492</f>
        <v>1.2133896144240399</v>
      </c>
      <c r="AL492" s="106">
        <f>+'Regulatory Charge'!AF492+Fuel!AF492+PCM!AG492+Interest!AF492+'O&amp;M'!AH492+'Capex &amp; Depr'!AH492+Debt!AI492+Pat.!Y492+Rates!AF492</f>
        <v>1.2633126090169251</v>
      </c>
      <c r="AM492" s="106">
        <f>+'Regulatory Charge'!AG492+Fuel!AG492+PCM!AH492+Interest!AG492+'O&amp;M'!AI492+'Capex &amp; Depr'!AI492+Debt!AJ492+Pat.!Z492+Rates!AG492</f>
        <v>1.2671400966094046</v>
      </c>
      <c r="AN492" s="106">
        <f>+'Regulatory Charge'!AH492+Fuel!AH492+PCM!AI492+Interest!AH492+'O&amp;M'!AJ492+'Capex &amp; Depr'!AJ492+Debt!AK492+Pat.!AA492+Rates!AH492</f>
        <v>1.1928245351311708</v>
      </c>
      <c r="AO492" s="106">
        <f>+'Regulatory Charge'!AI492+Fuel!AI492+PCM!AJ492+Interest!AI492+'O&amp;M'!AK492+'Capex &amp; Depr'!AK492+Debt!AL492+Pat.!AB492+Rates!AI492</f>
        <v>1.248515887702196</v>
      </c>
      <c r="AP492" s="106">
        <f>+'Regulatory Charge'!AJ492+Fuel!AJ492+PCM!AK492+Interest!AJ492+'O&amp;M'!AL492+'Capex &amp; Depr'!AL492+Debt!AM492+Pat.!AC492+Rates!AJ492</f>
        <v>1.2055779209430297</v>
      </c>
      <c r="AQ492" s="106">
        <f>+'Regulatory Charge'!AK492+Fuel!AK492+PCM!AL492+Interest!AK492+'O&amp;M'!AM492+'Capex &amp; Depr'!AM492+Debt!AN492+Pat.!AD492+Rates!AK492</f>
        <v>1.2439608436871179</v>
      </c>
      <c r="AR492" s="224">
        <f t="shared" si="5"/>
        <v>14.286395703759966</v>
      </c>
      <c r="AS492" s="106">
        <f>+'Regulatory Charge'!AM492+Fuel!AM492+PCM!AN492+Interest!AM492+'O&amp;M'!AO492+'Capex &amp; Depr'!AO492+Debt!AP492+Pat.!AF492+Rates!AM492</f>
        <v>18.19285517993945</v>
      </c>
      <c r="AT492" s="106">
        <f>+'Regulatory Charge'!AN492+Fuel!AN492+PCM!AO492+Interest!AN492+'O&amp;M'!AP492+'Capex &amp; Depr'!AP492+Debt!AQ492+Pat.!AG492+Rates!AN492</f>
        <v>19.517411899360109</v>
      </c>
      <c r="AU492" s="106">
        <f>+'Regulatory Charge'!AO492+Fuel!AO492+PCM!AP492+Interest!AO492+'O&amp;M'!AQ492+'Capex &amp; Depr'!AQ492+Debt!AR492+Pat.!AH492+Rates!AO492</f>
        <v>23.905262260000001</v>
      </c>
      <c r="AV492" s="106">
        <f>+'Regulatory Charge'!AP492+Fuel!AP492+PCM!AQ492+Interest!AP492+'O&amp;M'!AR492+'Capex &amp; Depr'!AR492+Debt!AS492+Pat.!AI492+Rates!AP492</f>
        <v>25.1165345</v>
      </c>
      <c r="AW492" s="106">
        <f>+'Regulatory Charge'!AQ492+Fuel!AQ492+PCM!AR492+Interest!AQ492+'O&amp;M'!AS492+'Capex &amp; Depr'!AS492+Debt!AT492+Pat.!AJ492+Rates!AQ492</f>
        <v>37.026512500000003</v>
      </c>
      <c r="AX492" s="106">
        <f>+'Regulatory Charge'!AR492+Fuel!AR492+PCM!AS492+Interest!AR492+'O&amp;M'!AT492+'Capex &amp; Depr'!AT492+Debt!AU492+Pat.!AK492+Rates!AR492</f>
        <v>40.513747470000006</v>
      </c>
      <c r="AY492" s="106">
        <f>+'Regulatory Charge'!AS492+Fuel!AS492+PCM!AT492+Interest!AS492+'O&amp;M'!AU492+'Capex &amp; Depr'!AU492+Debt!AV492+Pat.!AL492+Rates!AS492</f>
        <v>40.697616280000005</v>
      </c>
      <c r="AZ492" s="106">
        <f>+'Regulatory Charge'!AT492+Fuel!AT492+PCM!AU492+Interest!AT492+'O&amp;M'!AV492+'Capex &amp; Depr'!AV492+Debt!AW492+Pat.!AM492+Rates!AT492</f>
        <v>42.40550528</v>
      </c>
      <c r="BA492" s="106">
        <f>+'Regulatory Charge'!AU492+Fuel!AU492+PCM!AV492+Interest!AU492+'O&amp;M'!AW492+'Capex &amp; Depr'!AW492+Debt!AX492+Pat.!AN492+Rates!AU492</f>
        <v>42.240524600000001</v>
      </c>
      <c r="BB492" s="106">
        <f>+'Regulatory Charge'!AV492+Fuel!AV492+PCM!AW492+Interest!AV492+'O&amp;M'!AX492+'Capex &amp; Depr'!AX492+Debt!AY492+Pat.!AO492+Rates!AV492</f>
        <v>43.597515179999995</v>
      </c>
      <c r="BC492" s="106">
        <f>+'Regulatory Charge'!AW492+Fuel!AW492+PCM!AX492+Interest!AW492+'O&amp;M'!AY492+'Capex &amp; Depr'!AY492+Debt!AZ492+Pat.!AP492+Rates!AW492</f>
        <v>43.92324391999999</v>
      </c>
      <c r="BD492" s="106"/>
      <c r="BE492" s="106"/>
    </row>
    <row r="493" spans="1:57">
      <c r="A493" s="849">
        <v>502.1</v>
      </c>
      <c r="B493" s="847" t="s">
        <v>1022</v>
      </c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224"/>
      <c r="S493" s="106">
        <f>+'Regulatory Charge'!M493+Fuel!M493+PCM!N493+Interest!M493+'O&amp;M'!O493+'Capex &amp; Depr'!O493+Debt!P493+Pat.!F493+Rates!M493</f>
        <v>2.2901342849999992E-2</v>
      </c>
      <c r="T493" s="106">
        <f>+'Regulatory Charge'!N493+Fuel!N493+PCM!O493+Interest!N493+'O&amp;M'!P493+'Capex &amp; Depr'!P493+Debt!Q493+Pat.!G493+Rates!N493</f>
        <v>2.686246019999999E-2</v>
      </c>
      <c r="U493" s="106">
        <f>+'Regulatory Charge'!O493+Fuel!O493+PCM!P493+Interest!O493+'O&amp;M'!Q493+'Capex &amp; Depr'!Q493+Debt!R493+Pat.!H493+Rates!O493</f>
        <v>2.6345055149999994E-2</v>
      </c>
      <c r="V493" s="106">
        <f>+'Regulatory Charge'!P493+Fuel!P493+PCM!Q493+Interest!P493+'O&amp;M'!R493+'Capex &amp; Depr'!R493+Debt!S493+Pat.!I493+Rates!P493</f>
        <v>2.6322436349999992E-2</v>
      </c>
      <c r="W493" s="106">
        <f>+'Regulatory Charge'!Q493+Fuel!Q493+PCM!R493+Interest!Q493+'O&amp;M'!S493+'Capex &amp; Depr'!S493+Debt!T493+Pat.!J493+Rates!Q493</f>
        <v>3.7711002149999999E-2</v>
      </c>
      <c r="X493" s="106">
        <f>+'Regulatory Charge'!R493+Fuel!R493+PCM!S493+Interest!R493+'O&amp;M'!T493+'Capex &amp; Depr'!T493+Debt!U493+Pat.!K493+Rates!R493</f>
        <v>4.3450522650000011E-2</v>
      </c>
      <c r="Y493" s="106">
        <f>+'Regulatory Charge'!S493+Fuel!S493+PCM!T493+Interest!S493+'O&amp;M'!U493+'Capex &amp; Depr'!U493+Debt!V493+Pat.!L493+Rates!S493</f>
        <v>2.8151166329999994E-2</v>
      </c>
      <c r="Z493" s="106">
        <f>+'Regulatory Charge'!T493+Fuel!T493+PCM!U493+Interest!T493+'O&amp;M'!V493+'Capex &amp; Depr'!V493+Debt!W493+Pat.!M493+Rates!T493</f>
        <v>2.1427728029999996E-2</v>
      </c>
      <c r="AA493" s="106">
        <f>+'Regulatory Charge'!U493+Fuel!U493+PCM!V493+Interest!U493+'O&amp;M'!W493+'Capex &amp; Depr'!W493+Debt!X493+Pat.!N493+Rates!U493</f>
        <v>2.381853518999999E-2</v>
      </c>
      <c r="AB493" s="106">
        <f>+'Regulatory Charge'!V493+Fuel!V493+PCM!W493+Interest!V493+'O&amp;M'!X493+'Capex &amp; Depr'!X493+Debt!Y493+Pat.!O493+Rates!V493</f>
        <v>1.8541569149999996E-2</v>
      </c>
      <c r="AC493" s="106">
        <f>+'Regulatory Charge'!W493+Fuel!W493+PCM!X493+Interest!W493+'O&amp;M'!Y493+'Capex &amp; Depr'!Y493+Debt!Z493+Pat.!P493+Rates!W493</f>
        <v>2.0973090149999991E-2</v>
      </c>
      <c r="AD493" s="106">
        <f>+'Regulatory Charge'!X493+Fuel!X493+PCM!Y493+Interest!X493+'O&amp;M'!Z493+'Capex &amp; Depr'!Z493+Debt!AA493+Pat.!Q493+Rates!X493</f>
        <v>2.1377977649999991E-2</v>
      </c>
      <c r="AE493" s="224">
        <f t="shared" si="4"/>
        <v>0.31788288584999996</v>
      </c>
      <c r="AF493" s="106">
        <f>+'Regulatory Charge'!Z493+Fuel!Z493+PCM!AA493+Interest!Z493+'O&amp;M'!AB493+'Capex &amp; Depr'!AB493+Debt!AC493+Pat.!S493+Rates!Z493</f>
        <v>2.3129919000000002E-2</v>
      </c>
      <c r="AG493" s="106">
        <f>+'Regulatory Charge'!AA493+Fuel!AA493+PCM!AB493+Interest!AA493+'O&amp;M'!AC493+'Capex &amp; Depr'!AC493+Debt!AD493+Pat.!T493+Rates!AA493</f>
        <v>2.7130482000000004E-2</v>
      </c>
      <c r="AH493" s="106">
        <f>+'Regulatory Charge'!AB493+Fuel!AB493+PCM!AC493+Interest!AB493+'O&amp;M'!AD493+'Capex &amp; Depr'!AD493+Debt!AE493+Pat.!U493+Rates!AB493</f>
        <v>2.6607834000000004E-2</v>
      </c>
      <c r="AI493" s="106">
        <f>+'Regulatory Charge'!AC493+Fuel!AC493+PCM!AD493+Interest!AC493+'O&amp;M'!AE493+'Capex &amp; Depr'!AE493+Debt!AF493+Pat.!V493+Rates!AC493</f>
        <v>2.6585325000000003E-2</v>
      </c>
      <c r="AJ493" s="106">
        <f>+'Regulatory Charge'!AD493+Fuel!AD493+PCM!AE493+Interest!AD493+'O&amp;M'!AF493+'Capex &amp; Depr'!AF493+Debt!AG493+Pat.!W493+Rates!AD493</f>
        <v>3.8087424000000002E-2</v>
      </c>
      <c r="AK493" s="106">
        <f>+'Regulatory Charge'!AE493+Fuel!AE493+PCM!AF493+Interest!AE493+'O&amp;M'!AG493+'Capex &amp; Depr'!AG493+Debt!AH493+Pat.!X493+Rates!AE493</f>
        <v>4.3884864000000003E-2</v>
      </c>
      <c r="AL493" s="106">
        <f>+'Regulatory Charge'!AF493+Fuel!AF493+PCM!AG493+Interest!AF493+'O&amp;M'!AH493+'Capex &amp; Depr'!AH493+Debt!AI493+Pat.!Y493+Rates!AF493</f>
        <v>2.8431612000000002E-2</v>
      </c>
      <c r="AM493" s="106">
        <f>+'Regulatory Charge'!AG493+Fuel!AG493+PCM!AH493+Interest!AG493+'O&amp;M'!AI493+'Capex &amp; Depr'!AI493+Debt!AJ493+Pat.!Z493+Rates!AG493</f>
        <v>2.1641031000000002E-2</v>
      </c>
      <c r="AN493" s="106">
        <f>+'Regulatory Charge'!AH493+Fuel!AH493+PCM!AI493+Interest!AH493+'O&amp;M'!AJ493+'Capex &amp; Depr'!AJ493+Debt!AK493+Pat.!AA493+Rates!AH493</f>
        <v>2.4056631000000002E-2</v>
      </c>
      <c r="AO493" s="106">
        <f>+'Regulatory Charge'!AI493+Fuel!AI493+PCM!AJ493+Interest!AI493+'O&amp;M'!AK493+'Capex &amp; Depr'!AK493+Debt!AL493+Pat.!AB493+Rates!AI493</f>
        <v>1.8726389999999999E-2</v>
      </c>
      <c r="AP493" s="106">
        <f>+'Regulatory Charge'!AJ493+Fuel!AJ493+PCM!AK493+Interest!AJ493+'O&amp;M'!AL493+'Capex &amp; Depr'!AL493+Debt!AM493+Pat.!AC493+Rates!AJ493</f>
        <v>2.1182067000000002E-2</v>
      </c>
      <c r="AQ493" s="106">
        <f>+'Regulatory Charge'!AK493+Fuel!AK493+PCM!AL493+Interest!AK493+'O&amp;M'!AM493+'Capex &amp; Depr'!AM493+Debt!AN493+Pat.!AD493+Rates!AK493</f>
        <v>2.1591071999999996E-2</v>
      </c>
      <c r="AR493" s="224">
        <f t="shared" si="5"/>
        <v>0.32105465100000002</v>
      </c>
      <c r="AS493" s="106">
        <f>+'Regulatory Charge'!AM493+Fuel!AM493+PCM!AN493+Interest!AM493+'O&amp;M'!AO493+'Capex &amp; Depr'!AO493+Debt!AP493+Pat.!AF493+Rates!AM493</f>
        <v>0.32745873600000008</v>
      </c>
      <c r="AT493" s="106">
        <f>+'Regulatory Charge'!AN493+Fuel!AN493+PCM!AO493+Interest!AN493+'O&amp;M'!AP493+'Capex &amp; Depr'!AP493+Debt!AQ493+Pat.!AG493+Rates!AN493</f>
        <v>0.33398689500000001</v>
      </c>
      <c r="AU493" s="106">
        <f>+'Regulatory Charge'!AO493+Fuel!AO493+PCM!AP493+Interest!AO493+'O&amp;M'!AQ493+'Capex &amp; Depr'!AQ493+Debt!AR493+Pat.!AH493+Rates!AO493</f>
        <v>0.34400650185000003</v>
      </c>
      <c r="AV493" s="106">
        <f>+'Regulatory Charge'!AP493+Fuel!AP493+PCM!AQ493+Interest!AP493+'O&amp;M'!AR493+'Capex &amp; Depr'!AR493+Debt!AS493+Pat.!AI493+Rates!AP493</f>
        <v>0.35432669690550006</v>
      </c>
      <c r="AW493" s="106">
        <f>+'Regulatory Charge'!AQ493+Fuel!AQ493+PCM!AR493+Interest!AQ493+'O&amp;M'!AS493+'Capex &amp; Depr'!AS493+Debt!AT493+Pat.!AJ493+Rates!AQ493</f>
        <v>0.36495649781266509</v>
      </c>
      <c r="AX493" s="106">
        <f>+'Regulatory Charge'!AR493+Fuel!AR493+PCM!AS493+Interest!AR493+'O&amp;M'!AT493+'Capex &amp; Depr'!AT493+Debt!AU493+Pat.!AK493+Rates!AR493</f>
        <v>0.37590519274704504</v>
      </c>
      <c r="AY493" s="106">
        <f>+'Regulatory Charge'!AS493+Fuel!AS493+PCM!AT493+Interest!AS493+'O&amp;M'!AU493+'Capex &amp; Depr'!AU493+Debt!AV493+Pat.!AL493+Rates!AS493</f>
        <v>0.38718234852945638</v>
      </c>
      <c r="AZ493" s="106">
        <f>+'Regulatory Charge'!AT493+Fuel!AT493+PCM!AU493+Interest!AT493+'O&amp;M'!AV493+'Capex &amp; Depr'!AV493+Debt!AW493+Pat.!AM493+Rates!AT493</f>
        <v>0.39879781898534006</v>
      </c>
      <c r="BA493" s="106">
        <f>+'Regulatory Charge'!AU493+Fuel!AU493+PCM!AV493+Interest!AU493+'O&amp;M'!AW493+'Capex &amp; Depr'!AW493+Debt!AX493+Pat.!AN493+Rates!AU493</f>
        <v>0.41076175355490024</v>
      </c>
      <c r="BB493" s="106">
        <f>+'Regulatory Charge'!AV493+Fuel!AV493+PCM!AW493+Interest!AV493+'O&amp;M'!AX493+'Capex &amp; Depr'!AX493+Debt!AY493+Pat.!AO493+Rates!AV493</f>
        <v>0.42308460616154725</v>
      </c>
      <c r="BC493" s="106">
        <f>+'Regulatory Charge'!AW493+Fuel!AW493+PCM!AX493+Interest!AW493+'O&amp;M'!AY493+'Capex &amp; Depr'!AY493+Debt!AZ493+Pat.!AP493+Rates!AW493</f>
        <v>0.4357771443463937</v>
      </c>
      <c r="BD493" s="106"/>
      <c r="BE493" s="106"/>
    </row>
    <row r="494" spans="1:57">
      <c r="A494" s="849" t="s">
        <v>730</v>
      </c>
      <c r="B494" s="846" t="s">
        <v>972</v>
      </c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224"/>
      <c r="S494" s="106">
        <f>+'Regulatory Charge'!M494+Fuel!M494+PCM!N494+Interest!M494+'O&amp;M'!O494+'Capex &amp; Depr'!O494+Debt!P494+Pat.!F494+Rates!M494</f>
        <v>0.50846585402106781</v>
      </c>
      <c r="T494" s="106">
        <f>+'Regulatory Charge'!N494+Fuel!N494+PCM!O494+Interest!N494+'O&amp;M'!P494+'Capex &amp; Depr'!P494+Debt!Q494+Pat.!G494+Rates!N494</f>
        <v>0.49140324147002523</v>
      </c>
      <c r="U494" s="106">
        <f>+'Regulatory Charge'!O494+Fuel!O494+PCM!P494+Interest!O494+'O&amp;M'!Q494+'Capex &amp; Depr'!Q494+Debt!R494+Pat.!H494+Rates!O494</f>
        <v>0.5289409890823189</v>
      </c>
      <c r="V494" s="106">
        <f>+'Regulatory Charge'!P494+Fuel!P494+PCM!Q494+Interest!P494+'O&amp;M'!R494+'Capex &amp; Depr'!R494+Debt!S494+Pat.!I494+Rates!P494</f>
        <v>0.5347684425091096</v>
      </c>
      <c r="W494" s="106">
        <f>+'Regulatory Charge'!Q494+Fuel!Q494+PCM!R494+Interest!Q494+'O&amp;M'!S494+'Capex &amp; Depr'!S494+Debt!T494+Pat.!J494+Rates!Q494</f>
        <v>0.53736864534950657</v>
      </c>
      <c r="X494" s="106">
        <f>+'Regulatory Charge'!R494+Fuel!R494+PCM!S494+Interest!R494+'O&amp;M'!T494+'Capex &amp; Depr'!T494+Debt!U494+Pat.!K494+Rates!R494</f>
        <v>0.46410306138835722</v>
      </c>
      <c r="Y494" s="106">
        <f>+'Regulatory Charge'!S494+Fuel!S494+PCM!T494+Interest!S494+'O&amp;M'!U494+'Capex &amp; Depr'!U494+Debt!V494+Pat.!L494+Rates!S494</f>
        <v>0.5050533315108594</v>
      </c>
      <c r="Z494" s="106">
        <f>+'Regulatory Charge'!T494+Fuel!T494+PCM!U494+Interest!T494+'O&amp;M'!V494+'Capex &amp; Depr'!V494+Debt!W494+Pat.!M494+Rates!T494</f>
        <v>0.53576603410273593</v>
      </c>
      <c r="AA494" s="106">
        <f>+'Regulatory Charge'!U494+Fuel!U494+PCM!V494+Interest!U494+'O&amp;M'!W494+'Capex &amp; Depr'!W494+Debt!X494+Pat.!N494+Rates!U494</f>
        <v>0.47182602403043383</v>
      </c>
      <c r="AB494" s="106">
        <f>+'Regulatory Charge'!V494+Fuel!V494+PCM!W494+Interest!V494+'O&amp;M'!X494+'Capex &amp; Depr'!X494+Debt!Y494+Pat.!O494+Rates!V494</f>
        <v>0.55855874903602831</v>
      </c>
      <c r="AC494" s="106">
        <f>+'Regulatory Charge'!W494+Fuel!W494+PCM!X494+Interest!W494+'O&amp;M'!Y494+'Capex &amp; Depr'!Y494+Debt!Z494+Pat.!P494+Rates!W494</f>
        <v>0.46488740602998629</v>
      </c>
      <c r="AD494" s="106">
        <f>+'Regulatory Charge'!X494+Fuel!X494+PCM!Y494+Interest!X494+'O&amp;M'!Z494+'Capex &amp; Depr'!Z494+Debt!AA494+Pat.!Q494+Rates!X494</f>
        <v>0.42433498790433755</v>
      </c>
      <c r="AE494" s="224">
        <f t="shared" ref="AE494:AE508" si="6">SUM(S494:AD494)</f>
        <v>6.0254767664347666</v>
      </c>
      <c r="AF494" s="106">
        <f>+'Regulatory Charge'!Z494+Fuel!Z494+PCM!AA494+Interest!Z494+'O&amp;M'!AB494+'Capex &amp; Depr'!AB494+Debt!AC494+Pat.!S494+Rates!Z494</f>
        <v>0.44582191288544926</v>
      </c>
      <c r="AG494" s="106">
        <f>+'Regulatory Charge'!AA494+Fuel!AA494+PCM!AB494+Interest!AA494+'O&amp;M'!AC494+'Capex &amp; Depr'!AC494+Debt!AD494+Pat.!T494+Rates!AA494</f>
        <v>0.43086144601009857</v>
      </c>
      <c r="AH494" s="106">
        <f>+'Regulatory Charge'!AB494+Fuel!AB494+PCM!AC494+Interest!AB494+'O&amp;M'!AD494+'Capex &amp; Depr'!AD494+Debt!AE494+Pat.!U494+Rates!AB494</f>
        <v>0.4995177786352224</v>
      </c>
      <c r="AI494" s="106">
        <f>+'Regulatory Charge'!AC494+Fuel!AC494+PCM!AD494+Interest!AC494+'O&amp;M'!AE494+'Capex &amp; Depr'!AE494+Debt!AF494+Pat.!V494+Rates!AC494</f>
        <v>0.44900385185949349</v>
      </c>
      <c r="AJ494" s="106">
        <f>+'Regulatory Charge'!AD494+Fuel!AD494+PCM!AE494+Interest!AD494+'O&amp;M'!AF494+'Capex &amp; Depr'!AF494+Debt!AG494+Pat.!W494+Rates!AD494</f>
        <v>0.47078140010428049</v>
      </c>
      <c r="AK494" s="106">
        <f>+'Regulatory Charge'!AE494+Fuel!AE494+PCM!AF494+Interest!AE494+'O&amp;M'!AG494+'Capex &amp; Depr'!AG494+Debt!AH494+Pat.!X494+Rates!AE494</f>
        <v>0.40692469900953765</v>
      </c>
      <c r="AL494" s="106">
        <f>+'Regulatory Charge'!AF494+Fuel!AF494+PCM!AG494+Interest!AF494+'O&amp;M'!AH494+'Capex &amp; Depr'!AH494+Debt!AI494+Pat.!Y494+Rates!AF494</f>
        <v>0.44282981951037909</v>
      </c>
      <c r="AM494" s="106">
        <f>+'Regulatory Charge'!AG494+Fuel!AG494+PCM!AH494+Interest!AG494+'O&amp;M'!AI494+'Capex &amp; Depr'!AI494+Debt!AJ494+Pat.!Z494+Rates!AG494</f>
        <v>0.46975865988601029</v>
      </c>
      <c r="AN494" s="106">
        <f>+'Regulatory Charge'!AH494+Fuel!AH494+PCM!AI494+Interest!AH494+'O&amp;M'!AJ494+'Capex &amp; Depr'!AJ494+Debt!AK494+Pat.!AA494+Rates!AH494</f>
        <v>0.41378670735804651</v>
      </c>
      <c r="AO494" s="106">
        <f>+'Regulatory Charge'!AI494+Fuel!AI494+PCM!AJ494+Interest!AI494+'O&amp;M'!AK494+'Capex &amp; Depr'!AK494+Debt!AL494+Pat.!AB494+Rates!AI494</f>
        <v>0.48985044032827579</v>
      </c>
      <c r="AP494" s="106">
        <f>+'Regulatory Charge'!AJ494+Fuel!AJ494+PCM!AK494+Interest!AJ494+'O&amp;M'!AL494+'Capex &amp; Depr'!AL494+Debt!AM494+Pat.!AC494+Rates!AJ494</f>
        <v>0.40770160872042827</v>
      </c>
      <c r="AQ494" s="106">
        <f>+'Regulatory Charge'!AK494+Fuel!AK494+PCM!AL494+Interest!AK494+'O&amp;M'!AM494+'Capex &amp; Depr'!AM494+Debt!AN494+Pat.!AD494+Rates!AK494</f>
        <v>0.41987180599566493</v>
      </c>
      <c r="AR494" s="224">
        <f t="shared" ref="AR494:AR508" si="7">SUM(AF494:AQ494)</f>
        <v>5.3467101303028866</v>
      </c>
      <c r="AS494" s="106">
        <f>+'Regulatory Charge'!AM494+Fuel!AM494+PCM!AN494+Interest!AM494+'O&amp;M'!AO494+'Capex &amp; Depr'!AO494+Debt!AP494+Pat.!AF494+Rates!AM494</f>
        <v>5.5041062683236621</v>
      </c>
      <c r="AT494" s="106">
        <f>+'Regulatory Charge'!AN494+Fuel!AN494+PCM!AO494+Interest!AN494+'O&amp;M'!AP494+'Capex &amp; Depr'!AP494+Debt!AQ494+Pat.!AG494+Rates!AN494</f>
        <v>5.6331698731850741</v>
      </c>
      <c r="AU494" s="106">
        <f>+'Regulatory Charge'!AO494+Fuel!AO494+PCM!AP494+Interest!AO494+'O&amp;M'!AQ494+'Capex &amp; Depr'!AQ494+Debt!AR494+Pat.!AH494+Rates!AO494</f>
        <v>5.8021649693806268</v>
      </c>
      <c r="AV494" s="106">
        <f>+'Regulatory Charge'!AP494+Fuel!AP494+PCM!AQ494+Interest!AP494+'O&amp;M'!AR494+'Capex &amp; Depr'!AR494+Debt!AS494+Pat.!AI494+Rates!AP494</f>
        <v>5.976229918462046</v>
      </c>
      <c r="AW494" s="106">
        <f>+'Regulatory Charge'!AQ494+Fuel!AQ494+PCM!AR494+Interest!AQ494+'O&amp;M'!AS494+'Capex &amp; Depr'!AS494+Debt!AT494+Pat.!AJ494+Rates!AQ494</f>
        <v>6.1555168160159077</v>
      </c>
      <c r="AX494" s="106">
        <f>+'Regulatory Charge'!AR494+Fuel!AR494+PCM!AS494+Interest!AR494+'O&amp;M'!AT494+'Capex &amp; Depr'!AT494+Debt!AU494+Pat.!AK494+Rates!AR494</f>
        <v>6.3401823204963854</v>
      </c>
      <c r="AY494" s="106">
        <f>+'Regulatory Charge'!AS494+Fuel!AS494+PCM!AT494+Interest!AS494+'O&amp;M'!AU494+'Capex &amp; Depr'!AU494+Debt!AV494+Pat.!AL494+Rates!AS494</f>
        <v>6.530387790111277</v>
      </c>
      <c r="AZ494" s="106">
        <f>+'Regulatory Charge'!AT494+Fuel!AT494+PCM!AU494+Interest!AT494+'O&amp;M'!AV494+'Capex &amp; Depr'!AV494+Debt!AW494+Pat.!AM494+Rates!AT494</f>
        <v>6.7262994238146154</v>
      </c>
      <c r="BA494" s="106">
        <f>+'Regulatory Charge'!AU494+Fuel!AU494+PCM!AV494+Interest!AU494+'O&amp;M'!AW494+'Capex &amp; Depr'!AW494+Debt!AX494+Pat.!AN494+Rates!AU494</f>
        <v>6.9280884065290538</v>
      </c>
      <c r="BB494" s="106">
        <f>+'Regulatory Charge'!AV494+Fuel!AV494+PCM!AW494+Interest!AV494+'O&amp;M'!AX494+'Capex &amp; Depr'!AX494+Debt!AY494+Pat.!AO494+Rates!AV494</f>
        <v>7.1359310587249256</v>
      </c>
      <c r="BC494" s="106">
        <f>+'Regulatory Charge'!AW494+Fuel!AW494+PCM!AX494+Interest!AW494+'O&amp;M'!AY494+'Capex &amp; Depr'!AY494+Debt!AZ494+Pat.!AP494+Rates!AW494</f>
        <v>7.3500089904866739</v>
      </c>
      <c r="BD494" s="106"/>
      <c r="BE494" s="106"/>
    </row>
    <row r="495" spans="1:57">
      <c r="A495" s="849" t="s">
        <v>730</v>
      </c>
      <c r="B495" s="846" t="s">
        <v>972</v>
      </c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224"/>
      <c r="S495" s="106">
        <f>+'Regulatory Charge'!M495+Fuel!M495+PCM!N495+Interest!M495+'O&amp;M'!O495+'Capex &amp; Depr'!O495+Debt!P495+Pat.!F495+Rates!M495</f>
        <v>0.12492800000000001</v>
      </c>
      <c r="T495" s="106">
        <f>+'Regulatory Charge'!N495+Fuel!N495+PCM!O495+Interest!N495+'O&amp;M'!P495+'Capex &amp; Depr'!P495+Debt!Q495+Pat.!G495+Rates!N495</f>
        <v>0.124767</v>
      </c>
      <c r="U495" s="106">
        <f>+'Regulatory Charge'!O495+Fuel!O495+PCM!P495+Interest!O495+'O&amp;M'!Q495+'Capex &amp; Depr'!Q495+Debt!R495+Pat.!H495+Rates!O495</f>
        <v>0.124767</v>
      </c>
      <c r="V495" s="106">
        <f>+'Regulatory Charge'!P495+Fuel!P495+PCM!Q495+Interest!P495+'O&amp;M'!R495+'Capex &amp; Depr'!R495+Debt!S495+Pat.!I495+Rates!P495</f>
        <v>0.124767</v>
      </c>
      <c r="W495" s="106">
        <f>+'Regulatory Charge'!Q495+Fuel!Q495+PCM!R495+Interest!Q495+'O&amp;M'!S495+'Capex &amp; Depr'!S495+Debt!T495+Pat.!J495+Rates!Q495</f>
        <v>0.124767</v>
      </c>
      <c r="X495" s="106">
        <f>+'Regulatory Charge'!R495+Fuel!R495+PCM!S495+Interest!R495+'O&amp;M'!T495+'Capex &amp; Depr'!T495+Debt!U495+Pat.!K495+Rates!R495</f>
        <v>0.124767</v>
      </c>
      <c r="Y495" s="106">
        <f>+'Regulatory Charge'!S495+Fuel!S495+PCM!T495+Interest!S495+'O&amp;M'!U495+'Capex &amp; Depr'!U495+Debt!V495+Pat.!L495+Rates!S495</f>
        <v>0.124767</v>
      </c>
      <c r="Z495" s="106">
        <f>+'Regulatory Charge'!T495+Fuel!T495+PCM!U495+Interest!T495+'O&amp;M'!V495+'Capex &amp; Depr'!V495+Debt!W495+Pat.!M495+Rates!T495</f>
        <v>0.124767</v>
      </c>
      <c r="AA495" s="106">
        <f>+'Regulatory Charge'!U495+Fuel!U495+PCM!V495+Interest!U495+'O&amp;M'!W495+'Capex &amp; Depr'!W495+Debt!X495+Pat.!N495+Rates!U495</f>
        <v>0.124767</v>
      </c>
      <c r="AB495" s="106">
        <f>+'Regulatory Charge'!V495+Fuel!V495+PCM!W495+Interest!V495+'O&amp;M'!X495+'Capex &amp; Depr'!X495+Debt!Y495+Pat.!O495+Rates!V495</f>
        <v>0.124767</v>
      </c>
      <c r="AC495" s="106">
        <f>+'Regulatory Charge'!W495+Fuel!W495+PCM!X495+Interest!W495+'O&amp;M'!Y495+'Capex &amp; Depr'!Y495+Debt!Z495+Pat.!P495+Rates!W495</f>
        <v>0.124767</v>
      </c>
      <c r="AD495" s="106">
        <f>+'Regulatory Charge'!X495+Fuel!X495+PCM!Y495+Interest!X495+'O&amp;M'!Z495+'Capex &amp; Depr'!Z495+Debt!AA495+Pat.!Q495+Rates!X495</f>
        <v>0.124767</v>
      </c>
      <c r="AE495" s="224">
        <f t="shared" si="6"/>
        <v>1.4973650000000001</v>
      </c>
      <c r="AF495" s="106">
        <f>+'Regulatory Charge'!Z495+Fuel!Z495+PCM!AA495+Interest!Z495+'O&amp;M'!AB495+'Capex &amp; Depr'!AB495+Debt!AC495+Pat.!S495+Rates!Z495</f>
        <v>0.13584299999999999</v>
      </c>
      <c r="AG495" s="106">
        <f>+'Regulatory Charge'!AA495+Fuel!AA495+PCM!AB495+Interest!AA495+'O&amp;M'!AC495+'Capex &amp; Depr'!AC495+Debt!AD495+Pat.!T495+Rates!AA495</f>
        <v>0.13567399999999999</v>
      </c>
      <c r="AH495" s="106">
        <f>+'Regulatory Charge'!AB495+Fuel!AB495+PCM!AC495+Interest!AB495+'O&amp;M'!AD495+'Capex &amp; Depr'!AD495+Debt!AE495+Pat.!U495+Rates!AB495</f>
        <v>0.13567399999999999</v>
      </c>
      <c r="AI495" s="106">
        <f>+'Regulatory Charge'!AC495+Fuel!AC495+PCM!AD495+Interest!AC495+'O&amp;M'!AE495+'Capex &amp; Depr'!AE495+Debt!AF495+Pat.!V495+Rates!AC495</f>
        <v>0.13567399999999999</v>
      </c>
      <c r="AJ495" s="106">
        <f>+'Regulatory Charge'!AD495+Fuel!AD495+PCM!AE495+Interest!AD495+'O&amp;M'!AF495+'Capex &amp; Depr'!AF495+Debt!AG495+Pat.!W495+Rates!AD495</f>
        <v>0.13567399999999999</v>
      </c>
      <c r="AK495" s="106">
        <f>+'Regulatory Charge'!AE495+Fuel!AE495+PCM!AF495+Interest!AE495+'O&amp;M'!AG495+'Capex &amp; Depr'!AG495+Debt!AH495+Pat.!X495+Rates!AE495</f>
        <v>0.13567399999999999</v>
      </c>
      <c r="AL495" s="106">
        <f>+'Regulatory Charge'!AF495+Fuel!AF495+PCM!AG495+Interest!AF495+'O&amp;M'!AH495+'Capex &amp; Depr'!AH495+Debt!AI495+Pat.!Y495+Rates!AF495</f>
        <v>0.13567399999999999</v>
      </c>
      <c r="AM495" s="106">
        <f>+'Regulatory Charge'!AG495+Fuel!AG495+PCM!AH495+Interest!AG495+'O&amp;M'!AI495+'Capex &amp; Depr'!AI495+Debt!AJ495+Pat.!Z495+Rates!AG495</f>
        <v>0.13567399999999999</v>
      </c>
      <c r="AN495" s="106">
        <f>+'Regulatory Charge'!AH495+Fuel!AH495+PCM!AI495+Interest!AH495+'O&amp;M'!AJ495+'Capex &amp; Depr'!AJ495+Debt!AK495+Pat.!AA495+Rates!AH495</f>
        <v>0.13567399999999999</v>
      </c>
      <c r="AO495" s="106">
        <f>+'Regulatory Charge'!AI495+Fuel!AI495+PCM!AJ495+Interest!AI495+'O&amp;M'!AK495+'Capex &amp; Depr'!AK495+Debt!AL495+Pat.!AB495+Rates!AI495</f>
        <v>0.13567399999999999</v>
      </c>
      <c r="AP495" s="106">
        <f>+'Regulatory Charge'!AJ495+Fuel!AJ495+PCM!AK495+Interest!AJ495+'O&amp;M'!AL495+'Capex &amp; Depr'!AL495+Debt!AM495+Pat.!AC495+Rates!AJ495</f>
        <v>0.13567399999999999</v>
      </c>
      <c r="AQ495" s="106">
        <f>+'Regulatory Charge'!AK495+Fuel!AK495+PCM!AL495+Interest!AK495+'O&amp;M'!AM495+'Capex &amp; Depr'!AM495+Debt!AN495+Pat.!AD495+Rates!AK495</f>
        <v>0.13567399999999999</v>
      </c>
      <c r="AR495" s="224">
        <f t="shared" si="7"/>
        <v>1.6282570000000001</v>
      </c>
      <c r="AS495" s="106">
        <f>+'Regulatory Charge'!AM495+Fuel!AM495+PCM!AN495+Interest!AM495+'O&amp;M'!AO495+'Capex &amp; Depr'!AO495+Debt!AP495+Pat.!AF495+Rates!AM495</f>
        <v>1.6996420000000001</v>
      </c>
      <c r="AT495" s="106">
        <f>+'Regulatory Charge'!AN495+Fuel!AN495+PCM!AO495+Interest!AN495+'O&amp;M'!AP495+'Capex &amp; Depr'!AP495+Debt!AQ495+Pat.!AG495+Rates!AN495</f>
        <v>1.7746139999999997</v>
      </c>
      <c r="AU495" s="106">
        <f>+'Regulatory Charge'!AO495+Fuel!AO495+PCM!AP495+Interest!AO495+'O&amp;M'!AQ495+'Capex &amp; Depr'!AQ495+Debt!AR495+Pat.!AH495+Rates!AO495</f>
        <v>1.8278524199999997</v>
      </c>
      <c r="AV495" s="106">
        <f>+'Regulatory Charge'!AP495+Fuel!AP495+PCM!AQ495+Interest!AP495+'O&amp;M'!AR495+'Capex &amp; Depr'!AR495+Debt!AS495+Pat.!AI495+Rates!AP495</f>
        <v>1.8826879925999997</v>
      </c>
      <c r="AW495" s="106">
        <f>+'Regulatory Charge'!AQ495+Fuel!AQ495+PCM!AR495+Interest!AQ495+'O&amp;M'!AS495+'Capex &amp; Depr'!AS495+Debt!AT495+Pat.!AJ495+Rates!AQ495</f>
        <v>1.939168632378</v>
      </c>
      <c r="AX495" s="106">
        <f>+'Regulatory Charge'!AR495+Fuel!AR495+PCM!AS495+Interest!AR495+'O&amp;M'!AT495+'Capex &amp; Depr'!AT495+Debt!AU495+Pat.!AK495+Rates!AR495</f>
        <v>1.9973436913493401</v>
      </c>
      <c r="AY495" s="106">
        <f>+'Regulatory Charge'!AS495+Fuel!AS495+PCM!AT495+Interest!AS495+'O&amp;M'!AU495+'Capex &amp; Depr'!AU495+Debt!AV495+Pat.!AL495+Rates!AS495</f>
        <v>2.0572640020898203</v>
      </c>
      <c r="AZ495" s="106">
        <f>+'Regulatory Charge'!AT495+Fuel!AT495+PCM!AU495+Interest!AT495+'O&amp;M'!AV495+'Capex &amp; Depr'!AV495+Debt!AW495+Pat.!AM495+Rates!AT495</f>
        <v>2.118981922152515</v>
      </c>
      <c r="BA495" s="106">
        <f>+'Regulatory Charge'!AU495+Fuel!AU495+PCM!AV495+Interest!AU495+'O&amp;M'!AW495+'Capex &amp; Depr'!AW495+Debt!AX495+Pat.!AN495+Rates!AU495</f>
        <v>2.1825513798170904</v>
      </c>
      <c r="BB495" s="106">
        <f>+'Regulatory Charge'!AV495+Fuel!AV495+PCM!AW495+Interest!AV495+'O&amp;M'!AX495+'Capex &amp; Depr'!AX495+Debt!AY495+Pat.!AO495+Rates!AV495</f>
        <v>2.248027921211603</v>
      </c>
      <c r="BC495" s="106">
        <f>+'Regulatory Charge'!AW495+Fuel!AW495+PCM!AX495+Interest!AW495+'O&amp;M'!AY495+'Capex &amp; Depr'!AY495+Debt!AZ495+Pat.!AP495+Rates!AW495</f>
        <v>2.3154687588479517</v>
      </c>
      <c r="BD495" s="106"/>
      <c r="BE495" s="106"/>
    </row>
    <row r="496" spans="1:57">
      <c r="A496" s="849" t="s">
        <v>730</v>
      </c>
      <c r="B496" s="846" t="s">
        <v>972</v>
      </c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224"/>
      <c r="S496" s="106">
        <f>+'Regulatory Charge'!M496+Fuel!M496+PCM!N496+Interest!M496+'O&amp;M'!O496+'Capex &amp; Depr'!O496+Debt!P496+Pat.!F496+Rates!M496</f>
        <v>7.5806094059999996E-3</v>
      </c>
      <c r="T496" s="106">
        <f>+'Regulatory Charge'!N496+Fuel!N496+PCM!O496+Interest!N496+'O&amp;M'!P496+'Capex &amp; Depr'!P496+Debt!Q496+Pat.!G496+Rates!N496</f>
        <v>9.2292439380000004E-3</v>
      </c>
      <c r="U496" s="106">
        <f>+'Regulatory Charge'!O496+Fuel!O496+PCM!P496+Interest!O496+'O&amp;M'!Q496+'Capex &amp; Depr'!Q496+Debt!R496+Pat.!H496+Rates!O496</f>
        <v>8.3751936419999996E-3</v>
      </c>
      <c r="V496" s="106">
        <f>+'Regulatory Charge'!P496+Fuel!P496+PCM!Q496+Interest!P496+'O&amp;M'!R496+'Capex &amp; Depr'!R496+Debt!S496+Pat.!I496+Rates!P496</f>
        <v>5.3604745694999997E-3</v>
      </c>
      <c r="W496" s="106">
        <f>+'Regulatory Charge'!Q496+Fuel!Q496+PCM!R496+Interest!Q496+'O&amp;M'!S496+'Capex &amp; Depr'!S496+Debt!T496+Pat.!J496+Rates!Q496</f>
        <v>1.0149332829499999E-2</v>
      </c>
      <c r="X496" s="106">
        <f>+'Regulatory Charge'!R496+Fuel!R496+PCM!S496+Interest!R496+'O&amp;M'!T496+'Capex &amp; Depr'!T496+Debt!U496+Pat.!K496+Rates!R496</f>
        <v>8.2253204329999999E-3</v>
      </c>
      <c r="Y496" s="106">
        <f>+'Regulatory Charge'!S496+Fuel!S496+PCM!T496+Interest!S496+'O&amp;M'!U496+'Capex &amp; Depr'!U496+Debt!V496+Pat.!L496+Rates!S496</f>
        <v>8.0609279239999988E-3</v>
      </c>
      <c r="Z496" s="106">
        <f>+'Regulatory Charge'!T496+Fuel!T496+PCM!U496+Interest!T496+'O&amp;M'!V496+'Capex &amp; Depr'!V496+Debt!W496+Pat.!M496+Rates!T496</f>
        <v>6.0871452545000005E-3</v>
      </c>
      <c r="AA496" s="106">
        <f>+'Regulatory Charge'!U496+Fuel!U496+PCM!V496+Interest!U496+'O&amp;M'!W496+'Capex &amp; Depr'!W496+Debt!X496+Pat.!N496+Rates!U496</f>
        <v>4.2990793395000001E-3</v>
      </c>
      <c r="AB496" s="106">
        <f>+'Regulatory Charge'!V496+Fuel!V496+PCM!W496+Interest!V496+'O&amp;M'!X496+'Capex &amp; Depr'!X496+Debt!Y496+Pat.!O496+Rates!V496</f>
        <v>3.9499672819999993E-3</v>
      </c>
      <c r="AC496" s="106">
        <f>+'Regulatory Charge'!W496+Fuel!W496+PCM!X496+Interest!W496+'O&amp;M'!Y496+'Capex &amp; Depr'!Y496+Debt!Z496+Pat.!P496+Rates!W496</f>
        <v>3.072283375499999E-3</v>
      </c>
      <c r="AD496" s="106">
        <f>+'Regulatory Charge'!X496+Fuel!X496+PCM!Y496+Interest!X496+'O&amp;M'!Z496+'Capex &amp; Depr'!Z496+Debt!AA496+Pat.!Q496+Rates!X496</f>
        <v>3.4075693484999997E-3</v>
      </c>
      <c r="AE496" s="224">
        <f t="shared" si="6"/>
        <v>7.7797147342000009E-2</v>
      </c>
      <c r="AF496" s="106">
        <f>+'Regulatory Charge'!Z496+Fuel!Z496+PCM!AA496+Interest!Z496+'O&amp;M'!AB496+'Capex &amp; Depr'!AB496+Debt!AC496+Pat.!S496+Rates!Z496</f>
        <v>6.018066435209999E-3</v>
      </c>
      <c r="AG496" s="106">
        <f>+'Regulatory Charge'!AA496+Fuel!AA496+PCM!AB496+Interest!AA496+'O&amp;M'!AC496+'Capex &amp; Depr'!AC496+Debt!AD496+Pat.!T496+Rates!AA496</f>
        <v>4.7496031758299997E-3</v>
      </c>
      <c r="AH496" s="106">
        <f>+'Regulatory Charge'!AB496+Fuel!AB496+PCM!AC496+Interest!AB496+'O&amp;M'!AD496+'Capex &amp; Depr'!AD496+Debt!AE496+Pat.!U496+Rates!AB496</f>
        <v>1.9570117686696031E-2</v>
      </c>
      <c r="AI496" s="106">
        <f>+'Regulatory Charge'!AC496+Fuel!AC496+PCM!AD496+Interest!AC496+'O&amp;M'!AE496+'Capex &amp; Depr'!AE496+Debt!AF496+Pat.!V496+Rates!AC496</f>
        <v>1.7192045320608942E-2</v>
      </c>
      <c r="AJ496" s="106">
        <f>+'Regulatory Charge'!AD496+Fuel!AD496+PCM!AE496+Interest!AD496+'O&amp;M'!AF496+'Capex &amp; Depr'!AF496+Debt!AG496+Pat.!W496+Rates!AD496</f>
        <v>8.3179375785324989E-3</v>
      </c>
      <c r="AK496" s="106">
        <f>+'Regulatory Charge'!AE496+Fuel!AE496+PCM!AF496+Interest!AE496+'O&amp;M'!AG496+'Capex &amp; Depr'!AG496+Debt!AH496+Pat.!X496+Rates!AE496</f>
        <v>7.7949449481549997E-3</v>
      </c>
      <c r="AL496" s="106">
        <f>+'Regulatory Charge'!AF496+Fuel!AF496+PCM!AG496+Interest!AF496+'O&amp;M'!AH496+'Capex &amp; Depr'!AH496+Debt!AI496+Pat.!Y496+Rates!AF496</f>
        <v>6.5746379013399995E-3</v>
      </c>
      <c r="AM496" s="106">
        <f>+'Regulatory Charge'!AG496+Fuel!AG496+PCM!AH496+Interest!AG496+'O&amp;M'!AI496+'Capex &amp; Depr'!AI496+Debt!AJ496+Pat.!Z496+Rates!AG496</f>
        <v>4.3556278384074996E-3</v>
      </c>
      <c r="AN496" s="106">
        <f>+'Regulatory Charge'!AH496+Fuel!AH496+PCM!AI496+Interest!AH496+'O&amp;M'!AJ496+'Capex &amp; Depr'!AJ496+Debt!AK496+Pat.!AA496+Rates!AH496</f>
        <v>4.0684705163824995E-3</v>
      </c>
      <c r="AO496" s="106">
        <f>+'Regulatory Charge'!AI496+Fuel!AI496+PCM!AJ496+Interest!AI496+'O&amp;M'!AK496+'Capex &amp; Depr'!AK496+Debt!AL496+Pat.!AB496+Rates!AI496</f>
        <v>4.3227933368699999E-3</v>
      </c>
      <c r="AP496" s="106">
        <f>+'Regulatory Charge'!AJ496+Fuel!AJ496+PCM!AK496+Interest!AJ496+'O&amp;M'!AL496+'Capex &amp; Depr'!AL496+Debt!AM496+Pat.!AC496+Rates!AJ496</f>
        <v>3.4212995936424993E-3</v>
      </c>
      <c r="AQ496" s="106">
        <f>+'Regulatory Charge'!AK496+Fuel!AK496+PCM!AL496+Interest!AK496+'O&amp;M'!AM496+'Capex &amp; Depr'!AM496+Debt!AN496+Pat.!AD496+Rates!AK496</f>
        <v>3.7697000756974994E-3</v>
      </c>
      <c r="AR496" s="224">
        <f t="shared" si="7"/>
        <v>9.0155244407372451E-2</v>
      </c>
      <c r="AS496" s="106">
        <f>+'Regulatory Charge'!AM496+Fuel!AM496+PCM!AN496+Interest!AM496+'O&amp;M'!AO496+'Capex &amp; Depr'!AO496+Debt!AP496+Pat.!AF496+Rates!AM496</f>
        <v>7.811115372131551E-2</v>
      </c>
      <c r="AT496" s="106">
        <f>+'Regulatory Charge'!AN496+Fuel!AN496+PCM!AO496+Interest!AN496+'O&amp;M'!AP496+'Capex &amp; Depr'!AP496+Debt!AQ496+Pat.!AG496+Rates!AN496</f>
        <v>8.0996823530447778E-2</v>
      </c>
      <c r="AU496" s="106">
        <f>+'Regulatory Charge'!AO496+Fuel!AO496+PCM!AP496+Interest!AO496+'O&amp;M'!AQ496+'Capex &amp; Depr'!AQ496+Debt!AR496+Pat.!AH496+Rates!AO496</f>
        <v>8.3426728236361214E-2</v>
      </c>
      <c r="AV496" s="106">
        <f>+'Regulatory Charge'!AP496+Fuel!AP496+PCM!AQ496+Interest!AP496+'O&amp;M'!AR496+'Capex &amp; Depr'!AR496+Debt!AS496+Pat.!AI496+Rates!AP496</f>
        <v>8.5929530083452055E-2</v>
      </c>
      <c r="AW496" s="106">
        <f>+'Regulatory Charge'!AQ496+Fuel!AQ496+PCM!AR496+Interest!AQ496+'O&amp;M'!AS496+'Capex &amp; Depr'!AS496+Debt!AT496+Pat.!AJ496+Rates!AQ496</f>
        <v>8.8507415985955615E-2</v>
      </c>
      <c r="AX496" s="106">
        <f>+'Regulatory Charge'!AR496+Fuel!AR496+PCM!AS496+Interest!AR496+'O&amp;M'!AT496+'Capex &amp; Depr'!AT496+Debt!AU496+Pat.!AK496+Rates!AR496</f>
        <v>9.1162638465534282E-2</v>
      </c>
      <c r="AY496" s="106">
        <f>+'Regulatory Charge'!AS496+Fuel!AS496+PCM!AT496+Interest!AS496+'O&amp;M'!AU496+'Capex &amp; Depr'!AU496+Debt!AV496+Pat.!AL496+Rates!AS496</f>
        <v>9.3897517619500312E-2</v>
      </c>
      <c r="AZ496" s="106">
        <f>+'Regulatory Charge'!AT496+Fuel!AT496+PCM!AU496+Interest!AT496+'O&amp;M'!AV496+'Capex &amp; Depr'!AV496+Debt!AW496+Pat.!AM496+Rates!AT496</f>
        <v>9.6714443148085319E-2</v>
      </c>
      <c r="BA496" s="106">
        <f>+'Regulatory Charge'!AU496+Fuel!AU496+PCM!AV496+Interest!AU496+'O&amp;M'!AW496+'Capex &amp; Depr'!AW496+Debt!AX496+Pat.!AN496+Rates!AU496</f>
        <v>9.9615876442527881E-2</v>
      </c>
      <c r="BB496" s="106">
        <f>+'Regulatory Charge'!AV496+Fuel!AV496+PCM!AW496+Interest!AV496+'O&amp;M'!AX496+'Capex &amp; Depr'!AX496+Debt!AY496+Pat.!AO496+Rates!AV496</f>
        <v>0.10260435273580372</v>
      </c>
      <c r="BC496" s="106">
        <f>+'Regulatory Charge'!AW496+Fuel!AW496+PCM!AX496+Interest!AW496+'O&amp;M'!AY496+'Capex &amp; Depr'!AY496+Debt!AZ496+Pat.!AP496+Rates!AW496</f>
        <v>0.10568248331787783</v>
      </c>
      <c r="BD496" s="106"/>
      <c r="BE496" s="106"/>
    </row>
    <row r="497" spans="1:57">
      <c r="A497" s="849" t="s">
        <v>730</v>
      </c>
      <c r="B497" s="846" t="s">
        <v>972</v>
      </c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224"/>
      <c r="S497" s="106">
        <f>+'Regulatory Charge'!M497+Fuel!M497+PCM!N497+Interest!M497+'O&amp;M'!O497+'Capex &amp; Depr'!O497+Debt!P497+Pat.!F497+Rates!M497</f>
        <v>0</v>
      </c>
      <c r="T497" s="106">
        <f>+'Regulatory Charge'!N497+Fuel!N497+PCM!O497+Interest!N497+'O&amp;M'!P497+'Capex &amp; Depr'!P497+Debt!Q497+Pat.!G497+Rates!N497</f>
        <v>0</v>
      </c>
      <c r="U497" s="106">
        <f>+'Regulatory Charge'!O497+Fuel!O497+PCM!P497+Interest!O497+'O&amp;M'!Q497+'Capex &amp; Depr'!Q497+Debt!R497+Pat.!H497+Rates!O497</f>
        <v>0</v>
      </c>
      <c r="V497" s="106">
        <f>+'Regulatory Charge'!P497+Fuel!P497+PCM!Q497+Interest!P497+'O&amp;M'!R497+'Capex &amp; Depr'!R497+Debt!S497+Pat.!I497+Rates!P497</f>
        <v>0</v>
      </c>
      <c r="W497" s="106">
        <f>+'Regulatory Charge'!Q497+Fuel!Q497+PCM!R497+Interest!Q497+'O&amp;M'!S497+'Capex &amp; Depr'!S497+Debt!T497+Pat.!J497+Rates!Q497</f>
        <v>0</v>
      </c>
      <c r="X497" s="106">
        <f>+'Regulatory Charge'!R497+Fuel!R497+PCM!S497+Interest!R497+'O&amp;M'!T497+'Capex &amp; Depr'!T497+Debt!U497+Pat.!K497+Rates!R497</f>
        <v>0</v>
      </c>
      <c r="Y497" s="106">
        <f>+'Regulatory Charge'!S497+Fuel!S497+PCM!T497+Interest!S497+'O&amp;M'!U497+'Capex &amp; Depr'!U497+Debt!V497+Pat.!L497+Rates!S497</f>
        <v>0</v>
      </c>
      <c r="Z497" s="106">
        <f>+'Regulatory Charge'!T497+Fuel!T497+PCM!U497+Interest!T497+'O&amp;M'!V497+'Capex &amp; Depr'!V497+Debt!W497+Pat.!M497+Rates!T497</f>
        <v>0</v>
      </c>
      <c r="AA497" s="106">
        <f>+'Regulatory Charge'!U497+Fuel!U497+PCM!V497+Interest!U497+'O&amp;M'!W497+'Capex &amp; Depr'!W497+Debt!X497+Pat.!N497+Rates!U497</f>
        <v>0</v>
      </c>
      <c r="AB497" s="106">
        <f>+'Regulatory Charge'!V497+Fuel!V497+PCM!W497+Interest!V497+'O&amp;M'!X497+'Capex &amp; Depr'!X497+Debt!Y497+Pat.!O497+Rates!V497</f>
        <v>0</v>
      </c>
      <c r="AC497" s="106">
        <f>+'Regulatory Charge'!W497+Fuel!W497+PCM!X497+Interest!W497+'O&amp;M'!Y497+'Capex &amp; Depr'!Y497+Debt!Z497+Pat.!P497+Rates!W497</f>
        <v>0</v>
      </c>
      <c r="AD497" s="106">
        <f>+'Regulatory Charge'!X497+Fuel!X497+PCM!Y497+Interest!X497+'O&amp;M'!Z497+'Capex &amp; Depr'!Z497+Debt!AA497+Pat.!Q497+Rates!X497</f>
        <v>0</v>
      </c>
      <c r="AE497" s="224">
        <f t="shared" si="6"/>
        <v>0</v>
      </c>
      <c r="AF497" s="106">
        <f>+'Regulatory Charge'!Z497+Fuel!Z497+PCM!AA497+Interest!Z497+'O&amp;M'!AB497+'Capex &amp; Depr'!AB497+Debt!AC497+Pat.!S497+Rates!Z497</f>
        <v>0</v>
      </c>
      <c r="AG497" s="106">
        <f>+'Regulatory Charge'!AA497+Fuel!AA497+PCM!AB497+Interest!AA497+'O&amp;M'!AC497+'Capex &amp; Depr'!AC497+Debt!AD497+Pat.!T497+Rates!AA497</f>
        <v>0</v>
      </c>
      <c r="AH497" s="106">
        <f>+'Regulatory Charge'!AB497+Fuel!AB497+PCM!AC497+Interest!AB497+'O&amp;M'!AD497+'Capex &amp; Depr'!AD497+Debt!AE497+Pat.!U497+Rates!AB497</f>
        <v>0</v>
      </c>
      <c r="AI497" s="106">
        <f>+'Regulatory Charge'!AC497+Fuel!AC497+PCM!AD497+Interest!AC497+'O&amp;M'!AE497+'Capex &amp; Depr'!AE497+Debt!AF497+Pat.!V497+Rates!AC497</f>
        <v>0</v>
      </c>
      <c r="AJ497" s="106">
        <f>+'Regulatory Charge'!AD497+Fuel!AD497+PCM!AE497+Interest!AD497+'O&amp;M'!AF497+'Capex &amp; Depr'!AF497+Debt!AG497+Pat.!W497+Rates!AD497</f>
        <v>0</v>
      </c>
      <c r="AK497" s="106">
        <f>+'Regulatory Charge'!AE497+Fuel!AE497+PCM!AF497+Interest!AE497+'O&amp;M'!AG497+'Capex &amp; Depr'!AG497+Debt!AH497+Pat.!X497+Rates!AE497</f>
        <v>0</v>
      </c>
      <c r="AL497" s="106">
        <f>+'Regulatory Charge'!AF497+Fuel!AF497+PCM!AG497+Interest!AF497+'O&amp;M'!AH497+'Capex &amp; Depr'!AH497+Debt!AI497+Pat.!Y497+Rates!AF497</f>
        <v>0</v>
      </c>
      <c r="AM497" s="106">
        <f>+'Regulatory Charge'!AG497+Fuel!AG497+PCM!AH497+Interest!AG497+'O&amp;M'!AI497+'Capex &amp; Depr'!AI497+Debt!AJ497+Pat.!Z497+Rates!AG497</f>
        <v>0</v>
      </c>
      <c r="AN497" s="106">
        <f>+'Regulatory Charge'!AH497+Fuel!AH497+PCM!AI497+Interest!AH497+'O&amp;M'!AJ497+'Capex &amp; Depr'!AJ497+Debt!AK497+Pat.!AA497+Rates!AH497</f>
        <v>0</v>
      </c>
      <c r="AO497" s="106">
        <f>+'Regulatory Charge'!AI497+Fuel!AI497+PCM!AJ497+Interest!AI497+'O&amp;M'!AK497+'Capex &amp; Depr'!AK497+Debt!AL497+Pat.!AB497+Rates!AI497</f>
        <v>0</v>
      </c>
      <c r="AP497" s="106">
        <f>+'Regulatory Charge'!AJ497+Fuel!AJ497+PCM!AK497+Interest!AJ497+'O&amp;M'!AL497+'Capex &amp; Depr'!AL497+Debt!AM497+Pat.!AC497+Rates!AJ497</f>
        <v>0</v>
      </c>
      <c r="AQ497" s="106">
        <f>+'Regulatory Charge'!AK497+Fuel!AK497+PCM!AL497+Interest!AK497+'O&amp;M'!AM497+'Capex &amp; Depr'!AM497+Debt!AN497+Pat.!AD497+Rates!AK497</f>
        <v>0</v>
      </c>
      <c r="AR497" s="224">
        <f t="shared" si="7"/>
        <v>0</v>
      </c>
      <c r="AS497" s="106">
        <f>+'Regulatory Charge'!AM497+Fuel!AM497+PCM!AN497+Interest!AM497+'O&amp;M'!AO497+'Capex &amp; Depr'!AO497+Debt!AP497+Pat.!AF497+Rates!AM497</f>
        <v>0</v>
      </c>
      <c r="AT497" s="106">
        <f>+'Regulatory Charge'!AN497+Fuel!AN497+PCM!AO497+Interest!AN497+'O&amp;M'!AP497+'Capex &amp; Depr'!AP497+Debt!AQ497+Pat.!AG497+Rates!AN497</f>
        <v>0</v>
      </c>
      <c r="AU497" s="106">
        <f>+'Regulatory Charge'!AO497+Fuel!AO497+PCM!AP497+Interest!AO497+'O&amp;M'!AQ497+'Capex &amp; Depr'!AQ497+Debt!AR497+Pat.!AH497+Rates!AO497</f>
        <v>0</v>
      </c>
      <c r="AV497" s="106">
        <f>+'Regulatory Charge'!AP497+Fuel!AP497+PCM!AQ497+Interest!AP497+'O&amp;M'!AR497+'Capex &amp; Depr'!AR497+Debt!AS497+Pat.!AI497+Rates!AP497</f>
        <v>0</v>
      </c>
      <c r="AW497" s="106">
        <f>+'Regulatory Charge'!AQ497+Fuel!AQ497+PCM!AR497+Interest!AQ497+'O&amp;M'!AS497+'Capex &amp; Depr'!AS497+Debt!AT497+Pat.!AJ497+Rates!AQ497</f>
        <v>0</v>
      </c>
      <c r="AX497" s="106">
        <f>+'Regulatory Charge'!AR497+Fuel!AR497+PCM!AS497+Interest!AR497+'O&amp;M'!AT497+'Capex &amp; Depr'!AT497+Debt!AU497+Pat.!AK497+Rates!AR497</f>
        <v>0</v>
      </c>
      <c r="AY497" s="106">
        <f>+'Regulatory Charge'!AS497+Fuel!AS497+PCM!AT497+Interest!AS497+'O&amp;M'!AU497+'Capex &amp; Depr'!AU497+Debt!AV497+Pat.!AL497+Rates!AS497</f>
        <v>0</v>
      </c>
      <c r="AZ497" s="106">
        <f>+'Regulatory Charge'!AT497+Fuel!AT497+PCM!AU497+Interest!AT497+'O&amp;M'!AV497+'Capex &amp; Depr'!AV497+Debt!AW497+Pat.!AM497+Rates!AT497</f>
        <v>0</v>
      </c>
      <c r="BA497" s="106">
        <f>+'Regulatory Charge'!AU497+Fuel!AU497+PCM!AV497+Interest!AU497+'O&amp;M'!AW497+'Capex &amp; Depr'!AW497+Debt!AX497+Pat.!AN497+Rates!AU497</f>
        <v>0</v>
      </c>
      <c r="BB497" s="106">
        <f>+'Regulatory Charge'!AV497+Fuel!AV497+PCM!AW497+Interest!AV497+'O&amp;M'!AX497+'Capex &amp; Depr'!AX497+Debt!AY497+Pat.!AO497+Rates!AV497</f>
        <v>0</v>
      </c>
      <c r="BC497" s="106">
        <f>+'Regulatory Charge'!AW497+Fuel!AW497+PCM!AX497+Interest!AW497+'O&amp;M'!AY497+'Capex &amp; Depr'!AY497+Debt!AZ497+Pat.!AP497+Rates!AW497</f>
        <v>0</v>
      </c>
      <c r="BD497" s="106"/>
      <c r="BE497" s="106"/>
    </row>
    <row r="498" spans="1:57">
      <c r="A498" s="849" t="s">
        <v>732</v>
      </c>
      <c r="B498" s="846" t="s">
        <v>973</v>
      </c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224"/>
      <c r="S498" s="106">
        <f>+'Regulatory Charge'!M498+Fuel!M498+PCM!N498+Interest!M498+'O&amp;M'!O498+'Capex &amp; Depr'!O498+Debt!P498+Pat.!F498+Rates!M498</f>
        <v>0.22817411486731654</v>
      </c>
      <c r="T498" s="106">
        <f>+'Regulatory Charge'!N498+Fuel!N498+PCM!O498+Interest!N498+'O&amp;M'!P498+'Capex &amp; Depr'!P498+Debt!Q498+Pat.!G498+Rates!N498</f>
        <v>0.22388186269056093</v>
      </c>
      <c r="U498" s="106">
        <f>+'Regulatory Charge'!O498+Fuel!O498+PCM!P498+Interest!O498+'O&amp;M'!Q498+'Capex &amp; Depr'!Q498+Debt!R498+Pat.!H498+Rates!O498</f>
        <v>0.23332481747942324</v>
      </c>
      <c r="V498" s="106">
        <f>+'Regulatory Charge'!P498+Fuel!P498+PCM!Q498+Interest!P498+'O&amp;M'!R498+'Capex &amp; Depr'!R498+Debt!S498+Pat.!I498+Rates!P498</f>
        <v>0.22864619179009599</v>
      </c>
      <c r="W498" s="106">
        <f>+'Regulatory Charge'!Q498+Fuel!Q498+PCM!R498+Interest!Q498+'O&amp;M'!S498+'Capex &amp; Depr'!S498+Debt!T498+Pat.!J498+Rates!Q498</f>
        <v>0.23508389233030363</v>
      </c>
      <c r="X498" s="106">
        <f>+'Regulatory Charge'!R498+Fuel!R498+PCM!S498+Interest!R498+'O&amp;M'!T498+'Capex &amp; Depr'!T498+Debt!U498+Pat.!K498+Rates!R498</f>
        <v>0.217014259207752</v>
      </c>
      <c r="Y498" s="106">
        <f>+'Regulatory Charge'!S498+Fuel!S498+PCM!T498+Interest!S498+'O&amp;M'!U498+'Capex &amp; Depr'!U498+Debt!V498+Pat.!L498+Rates!S498</f>
        <v>0.22731566443196538</v>
      </c>
      <c r="Z498" s="106">
        <f>+'Regulatory Charge'!T498+Fuel!T498+PCM!U498+Interest!T498+'O&amp;M'!V498+'Capex &amp; Depr'!V498+Debt!W498+Pat.!M498+Rates!T498</f>
        <v>0.23504171835012544</v>
      </c>
      <c r="AA498" s="106">
        <f>+'Regulatory Charge'!U498+Fuel!U498+PCM!V498+Interest!U498+'O&amp;M'!W498+'Capex &amp; Depr'!W498+Debt!X498+Pat.!N498+Rates!U498</f>
        <v>0.21915514947420889</v>
      </c>
      <c r="AB498" s="106">
        <f>+'Regulatory Charge'!V498+Fuel!V498+PCM!W498+Interest!V498+'O&amp;M'!X498+'Capex &amp; Depr'!X498+Debt!Y498+Pat.!O498+Rates!V498</f>
        <v>0.24101192990414039</v>
      </c>
      <c r="AC498" s="106">
        <f>+'Regulatory Charge'!W498+Fuel!W498+PCM!X498+Interest!W498+'O&amp;M'!Y498+'Capex &amp; Depr'!Y498+Debt!Z498+Pat.!P498+Rates!W498</f>
        <v>0.217408407497856</v>
      </c>
      <c r="AD498" s="106">
        <f>+'Regulatory Charge'!X498+Fuel!X498+PCM!Y498+Interest!X498+'O&amp;M'!Z498+'Capex &amp; Depr'!Z498+Debt!AA498+Pat.!Q498+Rates!X498</f>
        <v>0.20419354834259529</v>
      </c>
      <c r="AE498" s="224">
        <f t="shared" si="6"/>
        <v>2.7102515563663436</v>
      </c>
      <c r="AF498" s="106">
        <f>+'Regulatory Charge'!Z498+Fuel!Z498+PCM!AA498+Interest!Z498+'O&amp;M'!AB498+'Capex &amp; Depr'!AB498+Debt!AC498+Pat.!S498+Rates!Z498</f>
        <v>0.21428082963996159</v>
      </c>
      <c r="AG498" s="106">
        <f>+'Regulatory Charge'!AA498+Fuel!AA498+PCM!AB498+Interest!AA498+'O&amp;M'!AC498+'Capex &amp; Depr'!AC498+Debt!AD498+Pat.!T498+Rates!AA498</f>
        <v>0.21062298300774809</v>
      </c>
      <c r="AH498" s="106">
        <f>+'Regulatory Charge'!AB498+Fuel!AB498+PCM!AC498+Interest!AB498+'O&amp;M'!AD498+'Capex &amp; Depr'!AD498+Debt!AE498+Pat.!U498+Rates!AB498</f>
        <v>0.22027069211351413</v>
      </c>
      <c r="AI498" s="106">
        <f>+'Regulatory Charge'!AC498+Fuel!AC498+PCM!AD498+Interest!AC498+'O&amp;M'!AE498+'Capex &amp; Depr'!AE498+Debt!AF498+Pat.!V498+Rates!AC498</f>
        <v>0.21380791170129881</v>
      </c>
      <c r="AJ498" s="106">
        <f>+'Regulatory Charge'!AD498+Fuel!AD498+PCM!AE498+Interest!AD498+'O&amp;M'!AF498+'Capex &amp; Depr'!AF498+Debt!AG498+Pat.!W498+Rates!AD498</f>
        <v>0.22016029846777341</v>
      </c>
      <c r="AK498" s="106">
        <f>+'Regulatory Charge'!AE498+Fuel!AE498+PCM!AF498+Interest!AE498+'O&amp;M'!AG498+'Capex &amp; Depr'!AG498+Debt!AH498+Pat.!X498+Rates!AE498</f>
        <v>0.20477042839620652</v>
      </c>
      <c r="AL498" s="106">
        <f>+'Regulatory Charge'!AF498+Fuel!AF498+PCM!AG498+Interest!AF498+'O&amp;M'!AH498+'Capex &amp; Depr'!AH498+Debt!AI498+Pat.!Y498+Rates!AF498</f>
        <v>0.2135492603135189</v>
      </c>
      <c r="AM498" s="106">
        <f>+'Regulatory Charge'!AG498+Fuel!AG498+PCM!AH498+Interest!AG498+'O&amp;M'!AI498+'Capex &amp; Depr'!AI498+Debt!AJ498+Pat.!Z498+Rates!AG498</f>
        <v>0.22013338425150314</v>
      </c>
      <c r="AN498" s="106">
        <f>+'Regulatory Charge'!AH498+Fuel!AH498+PCM!AI498+Interest!AH498+'O&amp;M'!AJ498+'Capex &amp; Depr'!AJ498+Debt!AK498+Pat.!AA498+Rates!AH498</f>
        <v>0.20657498051634043</v>
      </c>
      <c r="AO498" s="106">
        <f>+'Regulatory Charge'!AI498+Fuel!AI498+PCM!AJ498+Interest!AI498+'O&amp;M'!AK498+'Capex &amp; Depr'!AK498+Debt!AL498+Pat.!AB498+Rates!AI498</f>
        <v>0.22519593281713834</v>
      </c>
      <c r="AP498" s="106">
        <f>+'Regulatory Charge'!AJ498+Fuel!AJ498+PCM!AK498+Interest!AJ498+'O&amp;M'!AL498+'Capex &amp; Depr'!AL498+Debt!AM498+Pat.!AC498+Rates!AJ498</f>
        <v>0.20508530433227662</v>
      </c>
      <c r="AQ498" s="106">
        <f>+'Regulatory Charge'!AK498+Fuel!AK498+PCM!AL498+Interest!AK498+'O&amp;M'!AM498+'Capex &amp; Depr'!AM498+Debt!AN498+Pat.!AD498+Rates!AK498</f>
        <v>0.20806465670040428</v>
      </c>
      <c r="AR498" s="224">
        <f t="shared" si="7"/>
        <v>2.5625166622576838</v>
      </c>
      <c r="AS498" s="106">
        <f>+'Regulatory Charge'!AM498+Fuel!AM498+PCM!AN498+Interest!AM498+'O&amp;M'!AO498+'Capex &amp; Depr'!AO498+Debt!AP498+Pat.!AF498+Rates!AM498</f>
        <v>2.6581198667610275</v>
      </c>
      <c r="AT498" s="106">
        <f>+'Regulatory Charge'!AN498+Fuel!AN498+PCM!AO498+Interest!AN498+'O&amp;M'!AP498+'Capex &amp; Depr'!AP498+Debt!AQ498+Pat.!AG498+Rates!AN498</f>
        <v>2.7568845865195075</v>
      </c>
      <c r="AU498" s="106">
        <f>+'Regulatory Charge'!AO498+Fuel!AO498+PCM!AP498+Interest!AO498+'O&amp;M'!AQ498+'Capex &amp; Depr'!AQ498+Debt!AR498+Pat.!AH498+Rates!AO498</f>
        <v>2.8395911241150928</v>
      </c>
      <c r="AV498" s="106">
        <f>+'Regulatory Charge'!AP498+Fuel!AP498+PCM!AQ498+Interest!AP498+'O&amp;M'!AR498+'Capex &amp; Depr'!AR498+Debt!AS498+Pat.!AI498+Rates!AP498</f>
        <v>2.9247788578385459</v>
      </c>
      <c r="AW498" s="106">
        <f>+'Regulatory Charge'!AQ498+Fuel!AQ498+PCM!AR498+Interest!AQ498+'O&amp;M'!AS498+'Capex &amp; Depr'!AS498+Debt!AT498+Pat.!AJ498+Rates!AQ498</f>
        <v>3.0125222235737019</v>
      </c>
      <c r="AX498" s="106">
        <f>+'Regulatory Charge'!AR498+Fuel!AR498+PCM!AS498+Interest!AR498+'O&amp;M'!AT498+'Capex &amp; Depr'!AT498+Debt!AU498+Pat.!AK498+Rates!AR498</f>
        <v>3.102897890280913</v>
      </c>
      <c r="AY498" s="106">
        <f>+'Regulatory Charge'!AS498+Fuel!AS498+PCM!AT498+Interest!AS498+'O&amp;M'!AU498+'Capex &amp; Depr'!AU498+Debt!AV498+Pat.!AL498+Rates!AS498</f>
        <v>3.1959848269893403</v>
      </c>
      <c r="AZ498" s="106">
        <f>+'Regulatory Charge'!AT498+Fuel!AT498+PCM!AU498+Interest!AT498+'O&amp;M'!AV498+'Capex &amp; Depr'!AV498+Debt!AW498+Pat.!AM498+Rates!AT498</f>
        <v>3.2918643717990208</v>
      </c>
      <c r="BA498" s="106">
        <f>+'Regulatory Charge'!AU498+Fuel!AU498+PCM!AV498+Interest!AU498+'O&amp;M'!AW498+'Capex &amp; Depr'!AW498+Debt!AX498+Pat.!AN498+Rates!AU498</f>
        <v>3.3906203029529918</v>
      </c>
      <c r="BB498" s="106">
        <f>+'Regulatory Charge'!AV498+Fuel!AV498+PCM!AW498+Interest!AV498+'O&amp;M'!AX498+'Capex &amp; Depr'!AX498+Debt!AY498+Pat.!AO498+Rates!AV498</f>
        <v>3.4923389120415815</v>
      </c>
      <c r="BC498" s="106">
        <f>+'Regulatory Charge'!AW498+Fuel!AW498+PCM!AX498+Interest!AW498+'O&amp;M'!AY498+'Capex &amp; Depr'!AY498+Debt!AZ498+Pat.!AP498+Rates!AW498</f>
        <v>3.5971090794028289</v>
      </c>
      <c r="BD498" s="106"/>
      <c r="BE498" s="106"/>
    </row>
    <row r="499" spans="1:57">
      <c r="A499" s="849">
        <v>506.1</v>
      </c>
      <c r="B499" s="846" t="s">
        <v>973</v>
      </c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224"/>
      <c r="S499" s="106">
        <f>+'Regulatory Charge'!M499+Fuel!M499+PCM!N499+Interest!M499+'O&amp;M'!O499+'Capex &amp; Depr'!O499+Debt!P499+Pat.!F499+Rates!M499</f>
        <v>0.44038654827243096</v>
      </c>
      <c r="T499" s="106">
        <f>+'Regulatory Charge'!N499+Fuel!N499+PCM!O499+Interest!N499+'O&amp;M'!P499+'Capex &amp; Depr'!P499+Debt!Q499+Pat.!G499+Rates!N499</f>
        <v>0.40519347218618534</v>
      </c>
      <c r="U499" s="106">
        <f>+'Regulatory Charge'!O499+Fuel!O499+PCM!P499+Interest!O499+'O&amp;M'!Q499+'Capex &amp; Depr'!Q499+Debt!R499+Pat.!H499+Rates!O499</f>
        <v>0.5089551442241077</v>
      </c>
      <c r="V499" s="106">
        <f>+'Regulatory Charge'!P499+Fuel!P499+PCM!Q499+Interest!P499+'O&amp;M'!R499+'Capex &amp; Depr'!R499+Debt!S499+Pat.!I499+Rates!P499</f>
        <v>0.43906672020141807</v>
      </c>
      <c r="W499" s="106">
        <f>+'Regulatory Charge'!Q499+Fuel!Q499+PCM!R499+Interest!Q499+'O&amp;M'!S499+'Capex &amp; Depr'!S499+Debt!T499+Pat.!J499+Rates!Q499</f>
        <v>0.75623802452170252</v>
      </c>
      <c r="X499" s="106">
        <f>+'Regulatory Charge'!R499+Fuel!R499+PCM!S499+Interest!R499+'O&amp;M'!T499+'Capex &amp; Depr'!T499+Debt!U499+Pat.!K499+Rates!R499</f>
        <v>0.42971336466147408</v>
      </c>
      <c r="Y499" s="106">
        <f>+'Regulatory Charge'!S499+Fuel!S499+PCM!T499+Interest!S499+'O&amp;M'!U499+'Capex &amp; Depr'!U499+Debt!V499+Pat.!L499+Rates!S499</f>
        <v>0.49299590502305174</v>
      </c>
      <c r="Z499" s="106">
        <f>+'Regulatory Charge'!T499+Fuel!T499+PCM!U499+Interest!T499+'O&amp;M'!V499+'Capex &amp; Depr'!V499+Debt!W499+Pat.!M499+Rates!T499</f>
        <v>0.37024642818191816</v>
      </c>
      <c r="AA499" s="106">
        <f>+'Regulatory Charge'!U499+Fuel!U499+PCM!V499+Interest!U499+'O&amp;M'!W499+'Capex &amp; Depr'!W499+Debt!X499+Pat.!N499+Rates!U499</f>
        <v>0.29606690277387071</v>
      </c>
      <c r="AB499" s="106">
        <f>+'Regulatory Charge'!V499+Fuel!V499+PCM!W499+Interest!V499+'O&amp;M'!X499+'Capex &amp; Depr'!X499+Debt!Y499+Pat.!O499+Rates!V499</f>
        <v>0.30285274943898705</v>
      </c>
      <c r="AC499" s="106">
        <f>+'Regulatory Charge'!W499+Fuel!W499+PCM!X499+Interest!W499+'O&amp;M'!Y499+'Capex &amp; Depr'!Y499+Debt!Z499+Pat.!P499+Rates!W499</f>
        <v>0.27996676847148727</v>
      </c>
      <c r="AD499" s="106">
        <f>+'Regulatory Charge'!X499+Fuel!X499+PCM!Y499+Interest!X499+'O&amp;M'!Z499+'Capex &amp; Depr'!Z499+Debt!AA499+Pat.!Q499+Rates!X499</f>
        <v>0.23535147917657859</v>
      </c>
      <c r="AE499" s="224">
        <f t="shared" si="6"/>
        <v>4.9570335071332128</v>
      </c>
      <c r="AF499" s="106">
        <f>+'Regulatory Charge'!Z499+Fuel!Z499+PCM!AA499+Interest!Z499+'O&amp;M'!AB499+'Capex &amp; Depr'!AB499+Debt!AC499+Pat.!S499+Rates!Z499</f>
        <v>0.34895616415783015</v>
      </c>
      <c r="AG499" s="106">
        <f>+'Regulatory Charge'!AA499+Fuel!AA499+PCM!AB499+Interest!AA499+'O&amp;M'!AC499+'Capex &amp; Depr'!AC499+Debt!AD499+Pat.!T499+Rates!AA499</f>
        <v>0.27603485216998863</v>
      </c>
      <c r="AH499" s="106">
        <f>+'Regulatory Charge'!AB499+Fuel!AB499+PCM!AC499+Interest!AB499+'O&amp;M'!AD499+'Capex &amp; Depr'!AD499+Debt!AE499+Pat.!U499+Rates!AB499</f>
        <v>0.63810257716399976</v>
      </c>
      <c r="AI499" s="106">
        <f>+'Regulatory Charge'!AC499+Fuel!AC499+PCM!AD499+Interest!AC499+'O&amp;M'!AE499+'Capex &amp; Depr'!AE499+Debt!AF499+Pat.!V499+Rates!AC499</f>
        <v>0.69320812955541511</v>
      </c>
      <c r="AJ499" s="106">
        <f>+'Regulatory Charge'!AD499+Fuel!AD499+PCM!AE499+Interest!AD499+'O&amp;M'!AF499+'Capex &amp; Depr'!AF499+Debt!AG499+Pat.!W499+Rates!AD499</f>
        <v>0.46217625684744179</v>
      </c>
      <c r="AK499" s="106">
        <f>+'Regulatory Charge'!AE499+Fuel!AE499+PCM!AF499+Interest!AE499+'O&amp;M'!AG499+'Capex &amp; Depr'!AG499+Debt!AH499+Pat.!X499+Rates!AE499</f>
        <v>0.35534524798686218</v>
      </c>
      <c r="AL499" s="106">
        <f>+'Regulatory Charge'!AF499+Fuel!AF499+PCM!AG499+Interest!AF499+'O&amp;M'!AH499+'Capex &amp; Depr'!AH499+Debt!AI499+Pat.!Y499+Rates!AF499</f>
        <v>0.33197937235347602</v>
      </c>
      <c r="AM499" s="106">
        <f>+'Regulatory Charge'!AG499+Fuel!AG499+PCM!AH499+Interest!AG499+'O&amp;M'!AI499+'Capex &amp; Depr'!AI499+Debt!AJ499+Pat.!Z499+Rates!AG499</f>
        <v>0.28767760485573318</v>
      </c>
      <c r="AN499" s="106">
        <f>+'Regulatory Charge'!AH499+Fuel!AH499+PCM!AI499+Interest!AH499+'O&amp;M'!AJ499+'Capex &amp; Depr'!AJ499+Debt!AK499+Pat.!AA499+Rates!AH499</f>
        <v>0.30488084135433569</v>
      </c>
      <c r="AO499" s="106">
        <f>+'Regulatory Charge'!AI499+Fuel!AI499+PCM!AJ499+Interest!AI499+'O&amp;M'!AK499+'Capex &amp; Depr'!AK499+Debt!AL499+Pat.!AB499+Rates!AI499</f>
        <v>0.2836478587987904</v>
      </c>
      <c r="AP499" s="106">
        <f>+'Regulatory Charge'!AJ499+Fuel!AJ499+PCM!AK499+Interest!AJ499+'O&amp;M'!AL499+'Capex &amp; Depr'!AL499+Debt!AM499+Pat.!AC499+Rates!AJ499</f>
        <v>0.30167716994527249</v>
      </c>
      <c r="AQ499" s="106">
        <f>+'Regulatory Charge'!AK499+Fuel!AK499+PCM!AL499+Interest!AK499+'O&amp;M'!AM499+'Capex &amp; Depr'!AM499+Debt!AN499+Pat.!AD499+Rates!AK499</f>
        <v>0.24991001968612619</v>
      </c>
      <c r="AR499" s="224">
        <f t="shared" si="7"/>
        <v>4.5335960948752723</v>
      </c>
      <c r="AS499" s="106">
        <f>+'Regulatory Charge'!AM499+Fuel!AM499+PCM!AN499+Interest!AM499+'O&amp;M'!AO499+'Capex &amp; Depr'!AO499+Debt!AP499+Pat.!AF499+Rates!AM499</f>
        <v>4.4354875414787847</v>
      </c>
      <c r="AT499" s="106">
        <f>+'Regulatory Charge'!AN499+Fuel!AN499+PCM!AO499+Interest!AN499+'O&amp;M'!AP499+'Capex &amp; Depr'!AP499+Debt!AQ499+Pat.!AG499+Rates!AN499</f>
        <v>4.9046309214721546</v>
      </c>
      <c r="AU499" s="106">
        <f>+'Regulatory Charge'!AO499+Fuel!AO499+PCM!AP499+Interest!AO499+'O&amp;M'!AQ499+'Capex &amp; Depr'!AQ499+Debt!AR499+Pat.!AH499+Rates!AO499</f>
        <v>5.0517698491163197</v>
      </c>
      <c r="AV499" s="106">
        <f>+'Regulatory Charge'!AP499+Fuel!AP499+PCM!AQ499+Interest!AP499+'O&amp;M'!AR499+'Capex &amp; Depr'!AR499+Debt!AS499+Pat.!AI499+Rates!AP499</f>
        <v>5.2033229445898099</v>
      </c>
      <c r="AW499" s="106">
        <f>+'Regulatory Charge'!AQ499+Fuel!AQ499+PCM!AR499+Interest!AQ499+'O&amp;M'!AS499+'Capex &amp; Depr'!AS499+Debt!AT499+Pat.!AJ499+Rates!AQ499</f>
        <v>19.527436876388396</v>
      </c>
      <c r="AX499" s="106">
        <f>+'Regulatory Charge'!AR499+Fuel!AR499+PCM!AS499+Interest!AR499+'O&amp;M'!AT499+'Capex &amp; Depr'!AT499+Debt!AU499+Pat.!AK499+Rates!AR499</f>
        <v>20.113259982680049</v>
      </c>
      <c r="AY499" s="106">
        <f>+'Regulatory Charge'!AS499+Fuel!AS499+PCM!AT499+Interest!AS499+'O&amp;M'!AU499+'Capex &amp; Depr'!AU499+Debt!AV499+Pat.!AL499+Rates!AS499</f>
        <v>20.71665778216045</v>
      </c>
      <c r="AZ499" s="106">
        <f>+'Regulatory Charge'!AT499+Fuel!AT499+PCM!AU499+Interest!AT499+'O&amp;M'!AV499+'Capex &amp; Depr'!AV499+Debt!AW499+Pat.!AM499+Rates!AT499</f>
        <v>21.338157515625262</v>
      </c>
      <c r="BA499" s="106">
        <f>+'Regulatory Charge'!AU499+Fuel!AU499+PCM!AV499+Interest!AU499+'O&amp;M'!AW499+'Capex &amp; Depr'!AW499+Debt!AX499+Pat.!AN499+Rates!AU499</f>
        <v>21.978302241094021</v>
      </c>
      <c r="BB499" s="106">
        <f>+'Regulatory Charge'!AV499+Fuel!AV499+PCM!AW499+Interest!AV499+'O&amp;M'!AX499+'Capex &amp; Depr'!AX499+Debt!AY499+Pat.!AO499+Rates!AV499</f>
        <v>22.637651308326841</v>
      </c>
      <c r="BC499" s="106">
        <f>+'Regulatory Charge'!AW499+Fuel!AW499+PCM!AX499+Interest!AW499+'O&amp;M'!AY499+'Capex &amp; Depr'!AY499+Debt!AZ499+Pat.!AP499+Rates!AW499</f>
        <v>23.316780847576648</v>
      </c>
      <c r="BD499" s="106"/>
      <c r="BE499" s="106"/>
    </row>
    <row r="500" spans="1:57">
      <c r="A500" s="849" t="s">
        <v>734</v>
      </c>
      <c r="B500" s="846" t="s">
        <v>973</v>
      </c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224"/>
      <c r="S500" s="106">
        <f>+'Regulatory Charge'!M500+Fuel!M500+PCM!N500+Interest!M500+'O&amp;M'!O500+'Capex &amp; Depr'!O500+Debt!P500+Pat.!F500+Rates!M500</f>
        <v>0.12252878223812404</v>
      </c>
      <c r="T500" s="106">
        <f>+'Regulatory Charge'!N500+Fuel!N500+PCM!O500+Interest!N500+'O&amp;M'!P500+'Capex &amp; Depr'!P500+Debt!Q500+Pat.!G500+Rates!N500</f>
        <v>0.10993884666000001</v>
      </c>
      <c r="U500" s="106">
        <f>+'Regulatory Charge'!O500+Fuel!O500+PCM!P500+Interest!O500+'O&amp;M'!Q500+'Capex &amp; Depr'!Q500+Debt!R500+Pat.!H500+Rates!O500</f>
        <v>0.11868616635739802</v>
      </c>
      <c r="V500" s="106">
        <f>+'Regulatory Charge'!P500+Fuel!P500+PCM!Q500+Interest!P500+'O&amp;M'!R500+'Capex &amp; Depr'!R500+Debt!S500+Pat.!I500+Rates!P500</f>
        <v>0.11252555664492601</v>
      </c>
      <c r="W500" s="106">
        <f>+'Regulatory Charge'!Q500+Fuel!Q500+PCM!R500+Interest!Q500+'O&amp;M'!S500+'Capex &amp; Depr'!S500+Debt!T500+Pat.!J500+Rates!Q500</f>
        <v>0.11558720495839801</v>
      </c>
      <c r="X500" s="106">
        <f>+'Regulatory Charge'!R500+Fuel!R500+PCM!S500+Interest!R500+'O&amp;M'!T500+'Capex &amp; Depr'!T500+Debt!U500+Pat.!K500+Rates!R500</f>
        <v>0.10915751500140002</v>
      </c>
      <c r="Y500" s="106">
        <f>+'Regulatory Charge'!S500+Fuel!S500+PCM!T500+Interest!S500+'O&amp;M'!U500+'Capex &amp; Depr'!U500+Debt!V500+Pat.!L500+Rates!S500</f>
        <v>0.11470584024872402</v>
      </c>
      <c r="Z500" s="106">
        <f>+'Regulatory Charge'!T500+Fuel!T500+PCM!U500+Interest!T500+'O&amp;M'!V500+'Capex &amp; Depr'!V500+Debt!W500+Pat.!M500+Rates!T500</f>
        <v>0.114001524372198</v>
      </c>
      <c r="AA500" s="106">
        <f>+'Regulatory Charge'!U500+Fuel!U500+PCM!V500+Interest!U500+'O&amp;M'!W500+'Capex &amp; Depr'!W500+Debt!X500+Pat.!N500+Rates!U500</f>
        <v>0</v>
      </c>
      <c r="AB500" s="106">
        <f>+'Regulatory Charge'!V500+Fuel!V500+PCM!W500+Interest!V500+'O&amp;M'!X500+'Capex &amp; Depr'!X500+Debt!Y500+Pat.!O500+Rates!V500</f>
        <v>0</v>
      </c>
      <c r="AC500" s="106">
        <f>+'Regulatory Charge'!W500+Fuel!W500+PCM!X500+Interest!W500+'O&amp;M'!Y500+'Capex &amp; Depr'!Y500+Debt!Z500+Pat.!P500+Rates!W500</f>
        <v>0</v>
      </c>
      <c r="AD500" s="106">
        <f>+'Regulatory Charge'!X500+Fuel!X500+PCM!Y500+Interest!X500+'O&amp;M'!Z500+'Capex &amp; Depr'!Z500+Debt!AA500+Pat.!Q500+Rates!X500</f>
        <v>0</v>
      </c>
      <c r="AE500" s="224">
        <f t="shared" si="6"/>
        <v>0.91713143648116813</v>
      </c>
      <c r="AF500" s="106">
        <f>+'Regulatory Charge'!Z500+Fuel!Z500+PCM!AA500+Interest!Z500+'O&amp;M'!AB500+'Capex &amp; Depr'!AB500+Debt!AC500+Pat.!S500+Rates!Z500</f>
        <v>0</v>
      </c>
      <c r="AG500" s="106">
        <f>+'Regulatory Charge'!AA500+Fuel!AA500+PCM!AB500+Interest!AA500+'O&amp;M'!AC500+'Capex &amp; Depr'!AC500+Debt!AD500+Pat.!T500+Rates!AA500</f>
        <v>0</v>
      </c>
      <c r="AH500" s="106">
        <f>+'Regulatory Charge'!AB500+Fuel!AB500+PCM!AC500+Interest!AB500+'O&amp;M'!AD500+'Capex &amp; Depr'!AD500+Debt!AE500+Pat.!U500+Rates!AB500</f>
        <v>0</v>
      </c>
      <c r="AI500" s="106">
        <f>+'Regulatory Charge'!AC500+Fuel!AC500+PCM!AD500+Interest!AC500+'O&amp;M'!AE500+'Capex &amp; Depr'!AE500+Debt!AF500+Pat.!V500+Rates!AC500</f>
        <v>0</v>
      </c>
      <c r="AJ500" s="106">
        <f>+'Regulatory Charge'!AD500+Fuel!AD500+PCM!AE500+Interest!AD500+'O&amp;M'!AF500+'Capex &amp; Depr'!AF500+Debt!AG500+Pat.!W500+Rates!AD500</f>
        <v>0</v>
      </c>
      <c r="AK500" s="106">
        <f>+'Regulatory Charge'!AE500+Fuel!AE500+PCM!AF500+Interest!AE500+'O&amp;M'!AG500+'Capex &amp; Depr'!AG500+Debt!AH500+Pat.!X500+Rates!AE500</f>
        <v>0</v>
      </c>
      <c r="AL500" s="106">
        <f>+'Regulatory Charge'!AF500+Fuel!AF500+PCM!AG500+Interest!AF500+'O&amp;M'!AH500+'Capex &amp; Depr'!AH500+Debt!AI500+Pat.!Y500+Rates!AF500</f>
        <v>0</v>
      </c>
      <c r="AM500" s="106">
        <f>+'Regulatory Charge'!AG500+Fuel!AG500+PCM!AH500+Interest!AG500+'O&amp;M'!AI500+'Capex &amp; Depr'!AI500+Debt!AJ500+Pat.!Z500+Rates!AG500</f>
        <v>0</v>
      </c>
      <c r="AN500" s="106">
        <f>+'Regulatory Charge'!AH500+Fuel!AH500+PCM!AI500+Interest!AH500+'O&amp;M'!AJ500+'Capex &amp; Depr'!AJ500+Debt!AK500+Pat.!AA500+Rates!AH500</f>
        <v>0</v>
      </c>
      <c r="AO500" s="106">
        <f>+'Regulatory Charge'!AI500+Fuel!AI500+PCM!AJ500+Interest!AI500+'O&amp;M'!AK500+'Capex &amp; Depr'!AK500+Debt!AL500+Pat.!AB500+Rates!AI500</f>
        <v>0</v>
      </c>
      <c r="AP500" s="106">
        <f>+'Regulatory Charge'!AJ500+Fuel!AJ500+PCM!AK500+Interest!AJ500+'O&amp;M'!AL500+'Capex &amp; Depr'!AL500+Debt!AM500+Pat.!AC500+Rates!AJ500</f>
        <v>0</v>
      </c>
      <c r="AQ500" s="106">
        <f>+'Regulatory Charge'!AK500+Fuel!AK500+PCM!AL500+Interest!AK500+'O&amp;M'!AM500+'Capex &amp; Depr'!AM500+Debt!AN500+Pat.!AD500+Rates!AK500</f>
        <v>0</v>
      </c>
      <c r="AR500" s="224">
        <f t="shared" si="7"/>
        <v>0</v>
      </c>
      <c r="AS500" s="106">
        <f>+'Regulatory Charge'!AM500+Fuel!AM500+PCM!AN500+Interest!AM500+'O&amp;M'!AO500+'Capex &amp; Depr'!AO500+Debt!AP500+Pat.!AF500+Rates!AM500</f>
        <v>0.13369882898410798</v>
      </c>
      <c r="AT500" s="106">
        <f>+'Regulatory Charge'!AN500+Fuel!AN500+PCM!AO500+Interest!AN500+'O&amp;M'!AP500+'Capex &amp; Depr'!AP500+Debt!AQ500+Pat.!AG500+Rates!AN500</f>
        <v>0.1784607433500644</v>
      </c>
      <c r="AU500" s="106">
        <f>+'Regulatory Charge'!AO500+Fuel!AO500+PCM!AP500+Interest!AO500+'O&amp;M'!AQ500+'Capex &amp; Depr'!AQ500+Debt!AR500+Pat.!AH500+Rates!AO500</f>
        <v>0</v>
      </c>
      <c r="AV500" s="106">
        <f>+'Regulatory Charge'!AP500+Fuel!AP500+PCM!AQ500+Interest!AP500+'O&amp;M'!AR500+'Capex &amp; Depr'!AR500+Debt!AS500+Pat.!AI500+Rates!AP500</f>
        <v>0</v>
      </c>
      <c r="AW500" s="106">
        <f>+'Regulatory Charge'!AQ500+Fuel!AQ500+PCM!AR500+Interest!AQ500+'O&amp;M'!AS500+'Capex &amp; Depr'!AS500+Debt!AT500+Pat.!AJ500+Rates!AQ500</f>
        <v>0</v>
      </c>
      <c r="AX500" s="106">
        <f>+'Regulatory Charge'!AR500+Fuel!AR500+PCM!AS500+Interest!AR500+'O&amp;M'!AT500+'Capex &amp; Depr'!AT500+Debt!AU500+Pat.!AK500+Rates!AR500</f>
        <v>0</v>
      </c>
      <c r="AY500" s="106">
        <f>+'Regulatory Charge'!AS500+Fuel!AS500+PCM!AT500+Interest!AS500+'O&amp;M'!AU500+'Capex &amp; Depr'!AU500+Debt!AV500+Pat.!AL500+Rates!AS500</f>
        <v>0</v>
      </c>
      <c r="AZ500" s="106">
        <f>+'Regulatory Charge'!AT500+Fuel!AT500+PCM!AU500+Interest!AT500+'O&amp;M'!AV500+'Capex &amp; Depr'!AV500+Debt!AW500+Pat.!AM500+Rates!AT500</f>
        <v>0</v>
      </c>
      <c r="BA500" s="106">
        <f>+'Regulatory Charge'!AU500+Fuel!AU500+PCM!AV500+Interest!AU500+'O&amp;M'!AW500+'Capex &amp; Depr'!AW500+Debt!AX500+Pat.!AN500+Rates!AU500</f>
        <v>0</v>
      </c>
      <c r="BB500" s="106">
        <f>+'Regulatory Charge'!AV500+Fuel!AV500+PCM!AW500+Interest!AV500+'O&amp;M'!AX500+'Capex &amp; Depr'!AX500+Debt!AY500+Pat.!AO500+Rates!AV500</f>
        <v>0</v>
      </c>
      <c r="BC500" s="106">
        <f>+'Regulatory Charge'!AW500+Fuel!AW500+PCM!AX500+Interest!AW500+'O&amp;M'!AY500+'Capex &amp; Depr'!AY500+Debt!AZ500+Pat.!AP500+Rates!AW500</f>
        <v>0</v>
      </c>
      <c r="BD500" s="106"/>
      <c r="BE500" s="106"/>
    </row>
    <row r="501" spans="1:57">
      <c r="A501" s="849" t="s">
        <v>70</v>
      </c>
      <c r="B501" s="846" t="s">
        <v>974</v>
      </c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224"/>
      <c r="S501" s="106">
        <f>+'Regulatory Charge'!M501+Fuel!M501+PCM!N501+Interest!M501+'O&amp;M'!O501+'Capex &amp; Depr'!O501+Debt!P501+Pat.!F501+Rates!M501</f>
        <v>7.6820392891954505E-3</v>
      </c>
      <c r="T501" s="106">
        <f>+'Regulatory Charge'!N501+Fuel!N501+PCM!O501+Interest!N501+'O&amp;M'!P501+'Capex &amp; Depr'!P501+Debt!Q501+Pat.!G501+Rates!N501</f>
        <v>6.8834353927498962E-3</v>
      </c>
      <c r="U501" s="106">
        <f>+'Regulatory Charge'!O501+Fuel!O501+PCM!P501+Interest!O501+'O&amp;M'!Q501+'Capex &amp; Depr'!Q501+Debt!R501+Pat.!H501+Rates!O501</f>
        <v>7.444097902796579E-3</v>
      </c>
      <c r="V501" s="106">
        <f>+'Regulatory Charge'!P501+Fuel!P501+PCM!Q501+Interest!P501+'O&amp;M'!R501+'Capex &amp; Depr'!R501+Debt!S501+Pat.!I501+Rates!P501</f>
        <v>6.1876641044190227E-3</v>
      </c>
      <c r="W501" s="106">
        <f>+'Regulatory Charge'!Q501+Fuel!Q501+PCM!R501+Interest!Q501+'O&amp;M'!S501+'Capex &amp; Depr'!S501+Debt!T501+Pat.!J501+Rates!Q501</f>
        <v>1.5636355005466906E-2</v>
      </c>
      <c r="X501" s="106">
        <f>+'Regulatory Charge'!R501+Fuel!R501+PCM!S501+Interest!R501+'O&amp;M'!T501+'Capex &amp; Depr'!T501+Debt!U501+Pat.!K501+Rates!R501</f>
        <v>7.3290495654324368E-3</v>
      </c>
      <c r="Y501" s="106">
        <f>+'Regulatory Charge'!S501+Fuel!S501+PCM!T501+Interest!S501+'O&amp;M'!U501+'Capex &amp; Depr'!U501+Debt!V501+Pat.!L501+Rates!S501</f>
        <v>9.6395203964546872E-3</v>
      </c>
      <c r="Z501" s="106">
        <f>+'Regulatory Charge'!T501+Fuel!T501+PCM!U501+Interest!T501+'O&amp;M'!V501+'Capex &amp; Depr'!V501+Debt!W501+Pat.!M501+Rates!T501</f>
        <v>7.2984946833338053E-3</v>
      </c>
      <c r="AA501" s="106">
        <f>+'Regulatory Charge'!U501+Fuel!U501+PCM!V501+Interest!U501+'O&amp;M'!W501+'Capex &amp; Depr'!W501+Debt!X501+Pat.!N501+Rates!U501</f>
        <v>3.8842623513196633E-3</v>
      </c>
      <c r="AB501" s="106">
        <f>+'Regulatory Charge'!V501+Fuel!V501+PCM!W501+Interest!V501+'O&amp;M'!X501+'Capex &amp; Depr'!X501+Debt!Y501+Pat.!O501+Rates!V501</f>
        <v>4.1487683647729269E-3</v>
      </c>
      <c r="AC501" s="106">
        <f>+'Regulatory Charge'!W501+Fuel!W501+PCM!X501+Interest!W501+'O&amp;M'!Y501+'Capex &amp; Depr'!Y501+Debt!Z501+Pat.!P501+Rates!W501</f>
        <v>4.0144049862864701E-3</v>
      </c>
      <c r="AD501" s="106">
        <f>+'Regulatory Charge'!X501+Fuel!X501+PCM!Y501+Interest!X501+'O&amp;M'!Z501+'Capex &amp; Depr'!Z501+Debt!AA501+Pat.!Q501+Rates!X501</f>
        <v>2.0036998616513965E-2</v>
      </c>
      <c r="AE501" s="224">
        <f t="shared" si="6"/>
        <v>0.10018509065874182</v>
      </c>
      <c r="AF501" s="106">
        <f>+'Regulatory Charge'!Z501+Fuel!Z501+PCM!AA501+Interest!Z501+'O&amp;M'!AB501+'Capex &amp; Depr'!AB501+Debt!AC501+Pat.!S501+Rates!Z501</f>
        <v>2.6015030335303627E-3</v>
      </c>
      <c r="AG501" s="106">
        <f>+'Regulatory Charge'!AA501+Fuel!AA501+PCM!AB501+Interest!AA501+'O&amp;M'!AC501+'Capex &amp; Depr'!AC501+Debt!AD501+Pat.!T501+Rates!AA501</f>
        <v>2.336601525809522E-3</v>
      </c>
      <c r="AH501" s="106">
        <f>+'Regulatory Charge'!AB501+Fuel!AB501+PCM!AC501+Interest!AB501+'O&amp;M'!AD501+'Capex &amp; Depr'!AD501+Debt!AE501+Pat.!U501+Rates!AB501</f>
        <v>2.3261062813364755E-3</v>
      </c>
      <c r="AI501" s="106">
        <f>+'Regulatory Charge'!AC501+Fuel!AC501+PCM!AD501+Interest!AC501+'O&amp;M'!AE501+'Capex &amp; Depr'!AE501+Debt!AF501+Pat.!V501+Rates!AC501</f>
        <v>2.0718721197841411E-3</v>
      </c>
      <c r="AJ501" s="106">
        <f>+'Regulatory Charge'!AD501+Fuel!AD501+PCM!AE501+Interest!AD501+'O&amp;M'!AF501+'Capex &amp; Depr'!AF501+Debt!AG501+Pat.!W501+Rates!AD501</f>
        <v>1.9953556517675716E-3</v>
      </c>
      <c r="AK501" s="106">
        <f>+'Regulatory Charge'!AE501+Fuel!AE501+PCM!AF501+Interest!AE501+'O&amp;M'!AG501+'Capex &amp; Depr'!AG501+Debt!AH501+Pat.!X501+Rates!AE501</f>
        <v>2.4050494829547173E-3</v>
      </c>
      <c r="AL501" s="106">
        <f>+'Regulatory Charge'!AF501+Fuel!AF501+PCM!AG501+Interest!AF501+'O&amp;M'!AH501+'Capex &amp; Depr'!AH501+Debt!AI501+Pat.!Y501+Rates!AF501</f>
        <v>2.5053019928722594E-3</v>
      </c>
      <c r="AM501" s="106">
        <f>+'Regulatory Charge'!AG501+Fuel!AG501+PCM!AH501+Interest!AG501+'O&amp;M'!AI501+'Capex &amp; Depr'!AI501+Debt!AJ501+Pat.!Z501+Rates!AG501</f>
        <v>2.4841898861380756E-3</v>
      </c>
      <c r="AN501" s="106">
        <f>+'Regulatory Charge'!AH501+Fuel!AH501+PCM!AI501+Interest!AH501+'O&amp;M'!AJ501+'Capex &amp; Depr'!AJ501+Debt!AK501+Pat.!AA501+Rates!AH501</f>
        <v>2.4086590883452765E-3</v>
      </c>
      <c r="AO501" s="106">
        <f>+'Regulatory Charge'!AI501+Fuel!AI501+PCM!AJ501+Interest!AI501+'O&amp;M'!AK501+'Capex &amp; Depr'!AK501+Debt!AL501+Pat.!AB501+Rates!AI501</f>
        <v>2.5788007198638266E-3</v>
      </c>
      <c r="AP501" s="106">
        <f>+'Regulatory Charge'!AJ501+Fuel!AJ501+PCM!AK501+Interest!AJ501+'O&amp;M'!AL501+'Capex &amp; Depr'!AL501+Debt!AM501+Pat.!AC501+Rates!AJ501</f>
        <v>2.4787001735277598E-3</v>
      </c>
      <c r="AQ501" s="106">
        <f>+'Regulatory Charge'!AK501+Fuel!AK501+PCM!AL501+Interest!AK501+'O&amp;M'!AM501+'Capex &amp; Depr'!AM501+Debt!AN501+Pat.!AD501+Rates!AK501</f>
        <v>2.524227414776026E-3</v>
      </c>
      <c r="AR501" s="224">
        <f t="shared" si="7"/>
        <v>2.8716367370706014E-2</v>
      </c>
      <c r="AS501" s="106">
        <f>+'Regulatory Charge'!AM501+Fuel!AM501+PCM!AN501+Interest!AM501+'O&amp;M'!AO501+'Capex &amp; Depr'!AO501+Debt!AP501+Pat.!AF501+Rates!AM501</f>
        <v>4.6416481610437862E-2</v>
      </c>
      <c r="AT501" s="106">
        <f>+'Regulatory Charge'!AN501+Fuel!AN501+PCM!AO501+Interest!AN501+'O&amp;M'!AP501+'Capex &amp; Depr'!AP501+Debt!AQ501+Pat.!AG501+Rates!AN501</f>
        <v>6.3573199693133547E-2</v>
      </c>
      <c r="AU501" s="106">
        <f>+'Regulatory Charge'!AO501+Fuel!AO501+PCM!AP501+Interest!AO501+'O&amp;M'!AQ501+'Capex &amp; Depr'!AQ501+Debt!AR501+Pat.!AH501+Rates!AO501</f>
        <v>6.5613982079363115E-2</v>
      </c>
      <c r="AV501" s="106">
        <f>+'Regulatory Charge'!AP501+Fuel!AP501+PCM!AQ501+Interest!AP501+'O&amp;M'!AR501+'Capex &amp; Depr'!AR501+Debt!AS501+Pat.!AI501+Rates!AP501</f>
        <v>7.226914255494496E-2</v>
      </c>
      <c r="AW501" s="106">
        <f>+'Regulatory Charge'!AQ501+Fuel!AQ501+PCM!AR501+Interest!AQ501+'O&amp;M'!AS501+'Capex &amp; Depr'!AS501+Debt!AT501+Pat.!AJ501+Rates!AQ501</f>
        <v>0.14731493814744029</v>
      </c>
      <c r="AX501" s="106">
        <f>+'Regulatory Charge'!AR501+Fuel!AR501+PCM!AS501+Interest!AR501+'O&amp;M'!AT501+'Capex &amp; Depr'!AT501+Debt!AU501+Pat.!AK501+Rates!AR501</f>
        <v>0.18439174332392072</v>
      </c>
      <c r="AY501" s="106">
        <f>+'Regulatory Charge'!AS501+Fuel!AS501+PCM!AT501+Interest!AS501+'O&amp;M'!AU501+'Capex &amp; Depr'!AU501+Debt!AV501+Pat.!AL501+Rates!AS501</f>
        <v>0.19255569080238388</v>
      </c>
      <c r="AZ501" s="106">
        <f>+'Regulatory Charge'!AT501+Fuel!AT501+PCM!AU501+Interest!AT501+'O&amp;M'!AV501+'Capex &amp; Depr'!AV501+Debt!AW501+Pat.!AM501+Rates!AT501</f>
        <v>0.19342387116296217</v>
      </c>
      <c r="BA501" s="106">
        <f>+'Regulatory Charge'!AU501+Fuel!AU501+PCM!AV501+Interest!AU501+'O&amp;M'!AW501+'Capex &amp; Depr'!AW501+Debt!AX501+Pat.!AN501+Rates!AU501</f>
        <v>0.18264925505291951</v>
      </c>
      <c r="BB501" s="106">
        <f>+'Regulatory Charge'!AV501+Fuel!AV501+PCM!AW501+Interest!AV501+'O&amp;M'!AX501+'Capex &amp; Depr'!AX501+Debt!AY501+Pat.!AO501+Rates!AV501</f>
        <v>0.1836463700213391</v>
      </c>
      <c r="BC501" s="106">
        <f>+'Regulatory Charge'!AW501+Fuel!AW501+PCM!AX501+Interest!AW501+'O&amp;M'!AY501+'Capex &amp; Depr'!AY501+Debt!AZ501+Pat.!AP501+Rates!AW501</f>
        <v>0.18348955636561476</v>
      </c>
      <c r="BD501" s="106"/>
      <c r="BE501" s="106"/>
    </row>
    <row r="502" spans="1:57">
      <c r="A502" s="849">
        <v>510</v>
      </c>
      <c r="B502" s="846" t="s">
        <v>975</v>
      </c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224"/>
      <c r="S502" s="106">
        <f>+'Regulatory Charge'!M502+Fuel!M502+PCM!N502+Interest!M502+'O&amp;M'!O502+'Capex &amp; Depr'!O502+Debt!P502+Pat.!F502+Rates!M502</f>
        <v>0.4447032585611993</v>
      </c>
      <c r="T502" s="106">
        <f>+'Regulatory Charge'!N502+Fuel!N502+PCM!O502+Interest!N502+'O&amp;M'!P502+'Capex &amp; Depr'!P502+Debt!Q502+Pat.!G502+Rates!N502</f>
        <v>0.42978033042156183</v>
      </c>
      <c r="U502" s="106">
        <f>+'Regulatory Charge'!O502+Fuel!O502+PCM!P502+Interest!O502+'O&amp;M'!Q502+'Capex &amp; Depr'!Q502+Debt!R502+Pat.!H502+Rates!O502</f>
        <v>0.45840296098216238</v>
      </c>
      <c r="V502" s="106">
        <f>+'Regulatory Charge'!P502+Fuel!P502+PCM!Q502+Interest!P502+'O&amp;M'!R502+'Capex &amp; Depr'!R502+Debt!S502+Pat.!I502+Rates!P502</f>
        <v>0.43770089177651633</v>
      </c>
      <c r="W502" s="106">
        <f>+'Regulatory Charge'!Q502+Fuel!Q502+PCM!R502+Interest!Q502+'O&amp;M'!S502+'Capex &amp; Depr'!S502+Debt!T502+Pat.!J502+Rates!Q502</f>
        <v>0.50266474070605449</v>
      </c>
      <c r="X502" s="106">
        <f>+'Regulatory Charge'!R502+Fuel!R502+PCM!S502+Interest!R502+'O&amp;M'!T502+'Capex &amp; Depr'!T502+Debt!U502+Pat.!K502+Rates!R502</f>
        <v>0.40221163028112311</v>
      </c>
      <c r="Y502" s="106">
        <f>+'Regulatory Charge'!S502+Fuel!S502+PCM!T502+Interest!S502+'O&amp;M'!U502+'Capex &amp; Depr'!U502+Debt!V502+Pat.!L502+Rates!S502</f>
        <v>0.43770089177651633</v>
      </c>
      <c r="Z502" s="106">
        <f>+'Regulatory Charge'!T502+Fuel!T502+PCM!U502+Interest!T502+'O&amp;M'!V502+'Capex &amp; Depr'!V502+Debt!W502+Pat.!M502+Rates!T502</f>
        <v>0.46431783789806125</v>
      </c>
      <c r="AA502" s="106">
        <f>+'Regulatory Charge'!U502+Fuel!U502+PCM!V502+Interest!U502+'O&amp;M'!W502+'Capex &amp; Depr'!W502+Debt!X502+Pat.!N502+Rates!U502</f>
        <v>0.40818317203604215</v>
      </c>
      <c r="AB502" s="106">
        <f>+'Regulatory Charge'!V502+Fuel!V502+PCM!W502+Interest!V502+'O&amp;M'!X502+'Capex &amp; Depr'!X502+Debt!Y502+Pat.!O502+Rates!V502</f>
        <v>0.48321684336619691</v>
      </c>
      <c r="AC502" s="106">
        <f>+'Regulatory Charge'!W502+Fuel!W502+PCM!X502+Interest!W502+'O&amp;M'!Y502+'Capex &amp; Depr'!Y502+Debt!Z502+Pat.!P502+Rates!W502</f>
        <v>0.40218047832962983</v>
      </c>
      <c r="AD502" s="106">
        <f>+'Regulatory Charge'!X502+Fuel!X502+PCM!Y502+Interest!X502+'O&amp;M'!Z502+'Capex &amp; Depr'!Z502+Debt!AA502+Pat.!Q502+Rates!X502</f>
        <v>0.31037774310343585</v>
      </c>
      <c r="AE502" s="224">
        <f t="shared" si="6"/>
        <v>5.1814407792384989</v>
      </c>
      <c r="AF502" s="106">
        <f>+'Regulatory Charge'!Z502+Fuel!Z502+PCM!AA502+Interest!Z502+'O&amp;M'!AB502+'Capex &amp; Depr'!AB502+Debt!AC502+Pat.!S502+Rates!Z502</f>
        <v>0.32651730722003419</v>
      </c>
      <c r="AG502" s="106">
        <f>+'Regulatory Charge'!AA502+Fuel!AA502+PCM!AB502+Interest!AA502+'O&amp;M'!AC502+'Capex &amp; Depr'!AC502+Debt!AD502+Pat.!T502+Rates!AA502</f>
        <v>0.31556035060191223</v>
      </c>
      <c r="AH502" s="106">
        <f>+'Regulatory Charge'!AB502+Fuel!AB502+PCM!AC502+Interest!AB502+'O&amp;M'!AD502+'Capex &amp; Depr'!AD502+Debt!AE502+Pat.!U502+Rates!AB502</f>
        <v>0.3662737961416801</v>
      </c>
      <c r="AI502" s="106">
        <f>+'Regulatory Charge'!AC502+Fuel!AC502+PCM!AD502+Interest!AC502+'O&amp;M'!AE502+'Capex &amp; Depr'!AE502+Debt!AF502+Pat.!V502+Rates!AC502</f>
        <v>0.35409916926368645</v>
      </c>
      <c r="AJ502" s="106">
        <f>+'Regulatory Charge'!AD502+Fuel!AD502+PCM!AE502+Interest!AD502+'O&amp;M'!AF502+'Capex &amp; Depr'!AF502+Debt!AG502+Pat.!W502+Rates!AD502</f>
        <v>0.37378545214343123</v>
      </c>
      <c r="AK502" s="106">
        <f>+'Regulatory Charge'!AE502+Fuel!AE502+PCM!AF502+Interest!AE502+'O&amp;M'!AG502+'Capex &amp; Depr'!AG502+Debt!AH502+Pat.!X502+Rates!AE502</f>
        <v>0.29425260438484996</v>
      </c>
      <c r="AL502" s="106">
        <f>+'Regulatory Charge'!AF502+Fuel!AF502+PCM!AG502+Interest!AF502+'O&amp;M'!AH502+'Capex &amp; Depr'!AH502+Debt!AI502+Pat.!Y502+Rates!AF502</f>
        <v>0.32021606947763082</v>
      </c>
      <c r="AM502" s="106">
        <f>+'Regulatory Charge'!AG502+Fuel!AG502+PCM!AH502+Interest!AG502+'O&amp;M'!AI502+'Capex &amp; Depr'!AI502+Debt!AJ502+Pat.!Z502+Rates!AG502</f>
        <v>0.33968866829721656</v>
      </c>
      <c r="AN502" s="106">
        <f>+'Regulatory Charge'!AH502+Fuel!AH502+PCM!AI502+Interest!AH502+'O&amp;M'!AJ502+'Capex &amp; Depr'!AJ502+Debt!AK502+Pat.!AA502+Rates!AH502</f>
        <v>0.29834853154815694</v>
      </c>
      <c r="AO502" s="106">
        <f>+'Regulatory Charge'!AI502+Fuel!AI502+PCM!AJ502+Interest!AI502+'O&amp;M'!AK502+'Capex &amp; Depr'!AK502+Debt!AL502+Pat.!AB502+Rates!AI502</f>
        <v>0.35319201161215635</v>
      </c>
      <c r="AP502" s="106">
        <f>+'Regulatory Charge'!AJ502+Fuel!AJ502+PCM!AK502+Interest!AJ502+'O&amp;M'!AL502+'Capex &amp; Depr'!AL502+Debt!AM502+Pat.!AC502+Rates!AJ502</f>
        <v>0.293961053143037</v>
      </c>
      <c r="AQ502" s="106">
        <f>+'Regulatory Charge'!AK502+Fuel!AK502+PCM!AL502+Interest!AK502+'O&amp;M'!AM502+'Capex &amp; Depr'!AM502+Debt!AN502+Pat.!AD502+Rates!AK502</f>
        <v>0.30665438751355939</v>
      </c>
      <c r="AR502" s="224">
        <f t="shared" si="7"/>
        <v>3.9425494013473514</v>
      </c>
      <c r="AS502" s="106">
        <f>+'Regulatory Charge'!AM502+Fuel!AM502+PCM!AN502+Interest!AM502+'O&amp;M'!AO502+'Capex &amp; Depr'!AO502+Debt!AP502+Pat.!AF502+Rates!AM502</f>
        <v>4.0232758586236281</v>
      </c>
      <c r="AT502" s="106">
        <f>+'Regulatory Charge'!AN502+Fuel!AN502+PCM!AO502+Interest!AN502+'O&amp;M'!AP502+'Capex &amp; Depr'!AP502+Debt!AQ502+Pat.!AG502+Rates!AN502</f>
        <v>4.1369850104280772</v>
      </c>
      <c r="AU502" s="106">
        <f>+'Regulatory Charge'!AO502+Fuel!AO502+PCM!AP502+Interest!AO502+'O&amp;M'!AQ502+'Capex &amp; Depr'!AQ502+Debt!AR502+Pat.!AH502+Rates!AO502</f>
        <v>4.2610945607409194</v>
      </c>
      <c r="AV502" s="106">
        <f>+'Regulatory Charge'!AP502+Fuel!AP502+PCM!AQ502+Interest!AP502+'O&amp;M'!AR502+'Capex &amp; Depr'!AR502+Debt!AS502+Pat.!AI502+Rates!AP502</f>
        <v>4.3889273975631475</v>
      </c>
      <c r="AW502" s="106">
        <f>+'Regulatory Charge'!AQ502+Fuel!AQ502+PCM!AR502+Interest!AQ502+'O&amp;M'!AS502+'Capex &amp; Depr'!AS502+Debt!AT502+Pat.!AJ502+Rates!AQ502</f>
        <v>4.5205952194900423</v>
      </c>
      <c r="AX502" s="106">
        <f>+'Regulatory Charge'!AR502+Fuel!AR502+PCM!AS502+Interest!AR502+'O&amp;M'!AT502+'Capex &amp; Depr'!AT502+Debt!AU502+Pat.!AK502+Rates!AR502</f>
        <v>4.656213076074744</v>
      </c>
      <c r="AY502" s="106">
        <f>+'Regulatory Charge'!AS502+Fuel!AS502+PCM!AT502+Interest!AS502+'O&amp;M'!AU502+'Capex &amp; Depr'!AU502+Debt!AV502+Pat.!AL502+Rates!AS502</f>
        <v>4.7958994683569864</v>
      </c>
      <c r="AZ502" s="106">
        <f>+'Regulatory Charge'!AT502+Fuel!AT502+PCM!AU502+Interest!AT502+'O&amp;M'!AV502+'Capex &amp; Depr'!AV502+Debt!AW502+Pat.!AM502+Rates!AT502</f>
        <v>4.9397764524076964</v>
      </c>
      <c r="BA502" s="106">
        <f>+'Regulatory Charge'!AU502+Fuel!AU502+PCM!AV502+Interest!AU502+'O&amp;M'!AW502+'Capex &amp; Depr'!AW502+Debt!AX502+Pat.!AN502+Rates!AU502</f>
        <v>5.0879697459799278</v>
      </c>
      <c r="BB502" s="106">
        <f>+'Regulatory Charge'!AV502+Fuel!AV502+PCM!AW502+Interest!AV502+'O&amp;M'!AX502+'Capex &amp; Depr'!AX502+Debt!AY502+Pat.!AO502+Rates!AV502</f>
        <v>5.2406088383593259</v>
      </c>
      <c r="BC502" s="106">
        <f>+'Regulatory Charge'!AW502+Fuel!AW502+PCM!AX502+Interest!AW502+'O&amp;M'!AY502+'Capex &amp; Depr'!AY502+Debt!AZ502+Pat.!AP502+Rates!AW502</f>
        <v>5.3978271035101058</v>
      </c>
      <c r="BD502" s="106"/>
      <c r="BE502" s="106"/>
    </row>
    <row r="503" spans="1:57">
      <c r="A503" s="849">
        <v>511.1</v>
      </c>
      <c r="B503" s="846" t="s">
        <v>103</v>
      </c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224"/>
      <c r="S503" s="106">
        <f>+'Regulatory Charge'!M503+Fuel!M503+PCM!N503+Interest!M503+'O&amp;M'!O503+'Capex &amp; Depr'!O503+Debt!P503+Pat.!F503+Rates!M503</f>
        <v>8.6761873037813284E-2</v>
      </c>
      <c r="T503" s="106">
        <f>+'Regulatory Charge'!N503+Fuel!N503+PCM!O503+Interest!N503+'O&amp;M'!P503+'Capex &amp; Depr'!P503+Debt!Q503+Pat.!G503+Rates!N503</f>
        <v>8.3850400788222257E-2</v>
      </c>
      <c r="U503" s="106">
        <f>+'Regulatory Charge'!O503+Fuel!O503+PCM!P503+Interest!O503+'O&amp;M'!Q503+'Capex &amp; Depr'!Q503+Debt!R503+Pat.!H503+Rates!O503</f>
        <v>8.9122767451698934E-2</v>
      </c>
      <c r="V503" s="106">
        <f>+'Regulatory Charge'!P503+Fuel!P503+PCM!Q503+Interest!P503+'O&amp;M'!R503+'Capex &amp; Depr'!R503+Debt!S503+Pat.!I503+Rates!P503</f>
        <v>8.5097868276460945E-2</v>
      </c>
      <c r="W503" s="106">
        <f>+'Regulatory Charge'!Q503+Fuel!Q503+PCM!R503+Interest!Q503+'O&amp;M'!S503+'Capex &amp; Depr'!S503+Debt!T503+Pat.!J503+Rates!Q503</f>
        <v>9.7244902791531931E-2</v>
      </c>
      <c r="X503" s="106">
        <f>+'Regulatory Charge'!R503+Fuel!R503+PCM!S503+Interest!R503+'O&amp;M'!T503+'Capex &amp; Depr'!T503+Debt!U503+Pat.!K503+Rates!R503</f>
        <v>7.8198041118910044E-2</v>
      </c>
      <c r="Y503" s="106">
        <f>+'Regulatory Charge'!S503+Fuel!S503+PCM!T503+Interest!S503+'O&amp;M'!U503+'Capex &amp; Depr'!U503+Debt!V503+Pat.!L503+Rates!S503</f>
        <v>8.5097868276460945E-2</v>
      </c>
      <c r="Z503" s="106">
        <f>+'Regulatory Charge'!T503+Fuel!T503+PCM!U503+Interest!T503+'O&amp;M'!V503+'Capex &amp; Depr'!V503+Debt!W503+Pat.!M503+Rates!T503</f>
        <v>9.0272738644624068E-2</v>
      </c>
      <c r="AA503" s="106">
        <f>+'Regulatory Charge'!U503+Fuel!U503+PCM!V503+Interest!U503+'O&amp;M'!W503+'Capex &amp; Depr'!W503+Debt!X503+Pat.!N503+Rates!U503</f>
        <v>7.9612083882932089E-2</v>
      </c>
      <c r="AB503" s="106">
        <f>+'Regulatory Charge'!V503+Fuel!V503+PCM!W503+Interest!V503+'O&amp;M'!X503+'Capex &amp; Depr'!X503+Debt!Y503+Pat.!O503+Rates!V503</f>
        <v>9.4246658126118127E-2</v>
      </c>
      <c r="AC503" s="106">
        <f>+'Regulatory Charge'!W503+Fuel!W503+PCM!X503+Interest!W503+'O&amp;M'!Y503+'Capex &amp; Depr'!Y503+Debt!Z503+Pat.!P503+Rates!W503</f>
        <v>7.844131794347721E-2</v>
      </c>
      <c r="AD503" s="106">
        <f>+'Regulatory Charge'!X503+Fuel!X503+PCM!Y503+Interest!X503+'O&amp;M'!Z503+'Capex &amp; Depr'!Z503+Debt!AA503+Pat.!Q503+Rates!X503</f>
        <v>6.0438998773599949E-2</v>
      </c>
      <c r="AE503" s="224">
        <f t="shared" si="6"/>
        <v>1.0083855191118498</v>
      </c>
      <c r="AF503" s="106">
        <f>+'Regulatory Charge'!Z503+Fuel!Z503+PCM!AA503+Interest!Z503+'O&amp;M'!AB503+'Capex &amp; Depr'!AB503+Debt!AC503+Pat.!S503+Rates!Z503</f>
        <v>6.3387937415794141E-2</v>
      </c>
      <c r="AG503" s="106">
        <f>+'Regulatory Charge'!AA503+Fuel!AA503+PCM!AB503+Interest!AA503+'O&amp;M'!AC503+'Capex &amp; Depr'!AC503+Debt!AD503+Pat.!T503+Rates!AA503</f>
        <v>6.1260825421975536E-2</v>
      </c>
      <c r="AH503" s="106">
        <f>+'Regulatory Charge'!AB503+Fuel!AB503+PCM!AC503+Interest!AB503+'O&amp;M'!AD503+'Capex &amp; Depr'!AD503+Debt!AE503+Pat.!U503+Rates!AB503</f>
        <v>7.3104202072195562E-2</v>
      </c>
      <c r="AI503" s="106">
        <f>+'Regulatory Charge'!AC503+Fuel!AC503+PCM!AD503+Interest!AC503+'O&amp;M'!AE503+'Capex &amp; Depr'!AE503+Debt!AF503+Pat.!V503+Rates!AC503</f>
        <v>6.816875883080295E-2</v>
      </c>
      <c r="AJ503" s="106">
        <f>+'Regulatory Charge'!AD503+Fuel!AD503+PCM!AE503+Interest!AD503+'O&amp;M'!AF503+'Capex &amp; Depr'!AF503+Debt!AG503+Pat.!W503+Rates!AD503</f>
        <v>7.1816947751335986E-2</v>
      </c>
      <c r="AK503" s="106">
        <f>+'Regulatory Charge'!AE503+Fuel!AE503+PCM!AF503+Interest!AE503+'O&amp;M'!AG503+'Capex &amp; Depr'!AG503+Debt!AH503+Pat.!X503+Rates!AE503</f>
        <v>5.6840665101232327E-2</v>
      </c>
      <c r="AL503" s="106">
        <f>+'Regulatory Charge'!AF503+Fuel!AF503+PCM!AG503+Interest!AF503+'O&amp;M'!AH503+'Capex &amp; Depr'!AH503+Debt!AI503+Pat.!Y503+Rates!AF503</f>
        <v>6.1856017904282252E-2</v>
      </c>
      <c r="AM503" s="106">
        <f>+'Regulatory Charge'!AG503+Fuel!AG503+PCM!AH503+Interest!AG503+'O&amp;M'!AI503+'Capex &amp; Depr'!AI503+Debt!AJ503+Pat.!Z503+Rates!AG503</f>
        <v>6.5617532506569667E-2</v>
      </c>
      <c r="AN503" s="106">
        <f>+'Regulatory Charge'!AH503+Fuel!AH503+PCM!AI503+Interest!AH503+'O&amp;M'!AJ503+'Capex &amp; Depr'!AJ503+Debt!AK503+Pat.!AA503+Rates!AH503</f>
        <v>5.7824488787937646E-2</v>
      </c>
      <c r="AO503" s="106">
        <f>+'Regulatory Charge'!AI503+Fuel!AI503+PCM!AJ503+Interest!AI503+'O&amp;M'!AK503+'Capex &amp; Depr'!AK503+Debt!AL503+Pat.!AB503+Rates!AI503</f>
        <v>6.845399040336736E-2</v>
      </c>
      <c r="AP503" s="106">
        <f>+'Regulatory Charge'!AJ503+Fuel!AJ503+PCM!AK503+Interest!AJ503+'O&amp;M'!AL503+'Capex &amp; Depr'!AL503+Debt!AM503+Pat.!AC503+Rates!AJ503</f>
        <v>5.6974128658703271E-2</v>
      </c>
      <c r="AQ503" s="106">
        <f>+'Regulatory Charge'!AK503+Fuel!AK503+PCM!AL503+Interest!AK503+'O&amp;M'!AM503+'Capex &amp; Depr'!AM503+Debt!AN503+Pat.!AD503+Rates!AK503</f>
        <v>5.9729796721863453E-2</v>
      </c>
      <c r="AR503" s="224">
        <f t="shared" si="7"/>
        <v>0.76503529157606021</v>
      </c>
      <c r="AS503" s="106">
        <f>+'Regulatory Charge'!AM503+Fuel!AM503+PCM!AN503+Interest!AM503+'O&amp;M'!AO503+'Capex &amp; Depr'!AO503+Debt!AP503+Pat.!AF503+Rates!AM503</f>
        <v>0.78208207187081935</v>
      </c>
      <c r="AT503" s="106">
        <f>+'Regulatory Charge'!AN503+Fuel!AN503+PCM!AO503+Interest!AN503+'O&amp;M'!AP503+'Capex &amp; Depr'!AP503+Debt!AQ503+Pat.!AG503+Rates!AN503</f>
        <v>0.80512858853608815</v>
      </c>
      <c r="AU503" s="106">
        <f>+'Regulatory Charge'!AO503+Fuel!AO503+PCM!AP503+Interest!AO503+'O&amp;M'!AQ503+'Capex &amp; Depr'!AQ503+Debt!AR503+Pat.!AH503+Rates!AO503</f>
        <v>0.82928244619217084</v>
      </c>
      <c r="AV503" s="106">
        <f>+'Regulatory Charge'!AP503+Fuel!AP503+PCM!AQ503+Interest!AP503+'O&amp;M'!AR503+'Capex &amp; Depr'!AR503+Debt!AS503+Pat.!AI503+Rates!AP503</f>
        <v>0.85416091957793594</v>
      </c>
      <c r="AW503" s="106">
        <f>+'Regulatory Charge'!AQ503+Fuel!AQ503+PCM!AR503+Interest!AQ503+'O&amp;M'!AS503+'Capex &amp; Depr'!AS503+Debt!AT503+Pat.!AJ503+Rates!AQ503</f>
        <v>0.87978574716527402</v>
      </c>
      <c r="AX503" s="106">
        <f>+'Regulatory Charge'!AR503+Fuel!AR503+PCM!AS503+Interest!AR503+'O&amp;M'!AT503+'Capex &amp; Depr'!AT503+Debt!AU503+Pat.!AK503+Rates!AR503</f>
        <v>0.90617931958023223</v>
      </c>
      <c r="AY503" s="106">
        <f>+'Regulatory Charge'!AS503+Fuel!AS503+PCM!AT503+Interest!AS503+'O&amp;M'!AU503+'Capex &amp; Depr'!AU503+Debt!AV503+Pat.!AL503+Rates!AS503</f>
        <v>0.9333646991676392</v>
      </c>
      <c r="AZ503" s="106">
        <f>+'Regulatory Charge'!AT503+Fuel!AT503+PCM!AU503+Interest!AT503+'O&amp;M'!AV503+'Capex &amp; Depr'!AV503+Debt!AW503+Pat.!AM503+Rates!AT503</f>
        <v>0.96136564014266845</v>
      </c>
      <c r="BA503" s="106">
        <f>+'Regulatory Charge'!AU503+Fuel!AU503+PCM!AV503+Interest!AU503+'O&amp;M'!AW503+'Capex &amp; Depr'!AW503+Debt!AX503+Pat.!AN503+Rates!AU503</f>
        <v>0.99020660934694849</v>
      </c>
      <c r="BB503" s="106">
        <f>+'Regulatory Charge'!AV503+Fuel!AV503+PCM!AW503+Interest!AV503+'O&amp;M'!AX503+'Capex &amp; Depr'!AX503+Debt!AY503+Pat.!AO503+Rates!AV503</f>
        <v>1.0199128076273569</v>
      </c>
      <c r="BC503" s="106">
        <f>+'Regulatory Charge'!AW503+Fuel!AW503+PCM!AX503+Interest!AW503+'O&amp;M'!AY503+'Capex &amp; Depr'!AY503+Debt!AZ503+Pat.!AP503+Rates!AW503</f>
        <v>1.0505101918561777</v>
      </c>
      <c r="BD503" s="106"/>
      <c r="BE503" s="106"/>
    </row>
    <row r="504" spans="1:57">
      <c r="A504" s="849">
        <v>511.1</v>
      </c>
      <c r="B504" s="846" t="s">
        <v>104</v>
      </c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224"/>
      <c r="S504" s="106">
        <f>+'Regulatory Charge'!M504+Fuel!M504+PCM!N504+Interest!M504+'O&amp;M'!O504+'Capex &amp; Depr'!O504+Debt!P504+Pat.!F504+Rates!M504</f>
        <v>0.13211560686736415</v>
      </c>
      <c r="T504" s="106">
        <f>+'Regulatory Charge'!N504+Fuel!N504+PCM!O504+Interest!N504+'O&amp;M'!P504+'Capex &amp; Depr'!P504+Debt!Q504+Pat.!G504+Rates!N504</f>
        <v>0.19711287703754204</v>
      </c>
      <c r="U504" s="106">
        <f>+'Regulatory Charge'!O504+Fuel!O504+PCM!P504+Interest!O504+'O&amp;M'!Q504+'Capex &amp; Depr'!Q504+Debt!R504+Pat.!H504+Rates!O504</f>
        <v>0.18895580541496049</v>
      </c>
      <c r="V504" s="106">
        <f>+'Regulatory Charge'!P504+Fuel!P504+PCM!Q504+Interest!P504+'O&amp;M'!R504+'Capex &amp; Depr'!R504+Debt!S504+Pat.!I504+Rates!P504</f>
        <v>0.27334107036975375</v>
      </c>
      <c r="W504" s="106">
        <f>+'Regulatory Charge'!Q504+Fuel!Q504+PCM!R504+Interest!Q504+'O&amp;M'!S504+'Capex &amp; Depr'!S504+Debt!T504+Pat.!J504+Rates!Q504</f>
        <v>0.6522991344636675</v>
      </c>
      <c r="X504" s="106">
        <f>+'Regulatory Charge'!R504+Fuel!R504+PCM!S504+Interest!R504+'O&amp;M'!T504+'Capex &amp; Depr'!T504+Debt!U504+Pat.!K504+Rates!R504</f>
        <v>0.15373924972827446</v>
      </c>
      <c r="Y504" s="106">
        <f>+'Regulatory Charge'!S504+Fuel!S504+PCM!T504+Interest!S504+'O&amp;M'!U504+'Capex &amp; Depr'!U504+Debt!V504+Pat.!L504+Rates!S504</f>
        <v>0.2097168367388848</v>
      </c>
      <c r="Z504" s="106">
        <f>+'Regulatory Charge'!T504+Fuel!T504+PCM!U504+Interest!T504+'O&amp;M'!V504+'Capex &amp; Depr'!V504+Debt!W504+Pat.!M504+Rates!T504</f>
        <v>0.2098016661163814</v>
      </c>
      <c r="AA504" s="106">
        <f>+'Regulatory Charge'!U504+Fuel!U504+PCM!V504+Interest!U504+'O&amp;M'!W504+'Capex &amp; Depr'!W504+Debt!X504+Pat.!N504+Rates!U504</f>
        <v>0.19153921348891792</v>
      </c>
      <c r="AB504" s="106">
        <f>+'Regulatory Charge'!V504+Fuel!V504+PCM!W504+Interest!V504+'O&amp;M'!X504+'Capex &amp; Depr'!X504+Debt!Y504+Pat.!O504+Rates!V504</f>
        <v>0.23207903670263313</v>
      </c>
      <c r="AC504" s="106">
        <f>+'Regulatory Charge'!W504+Fuel!W504+PCM!X504+Interest!W504+'O&amp;M'!Y504+'Capex &amp; Depr'!Y504+Debt!Z504+Pat.!P504+Rates!W504</f>
        <v>0.13943489761935035</v>
      </c>
      <c r="AD504" s="106">
        <f>+'Regulatory Charge'!X504+Fuel!X504+PCM!Y504+Interest!X504+'O&amp;M'!Z504+'Capex &amp; Depr'!Z504+Debt!AA504+Pat.!Q504+Rates!X504</f>
        <v>0.11292492131259863</v>
      </c>
      <c r="AE504" s="224">
        <f t="shared" si="6"/>
        <v>2.6930603158603286</v>
      </c>
      <c r="AF504" s="106">
        <f>+'Regulatory Charge'!Z504+Fuel!Z504+PCM!AA504+Interest!Z504+'O&amp;M'!AB504+'Capex &amp; Depr'!AB504+Debt!AC504+Pat.!S504+Rates!Z504</f>
        <v>0.14898837806517434</v>
      </c>
      <c r="AG504" s="106">
        <f>+'Regulatory Charge'!AA504+Fuel!AA504+PCM!AB504+Interest!AA504+'O&amp;M'!AC504+'Capex &amp; Depr'!AC504+Debt!AD504+Pat.!T504+Rates!AA504</f>
        <v>0.13774157893743769</v>
      </c>
      <c r="AH504" s="106">
        <f>+'Regulatory Charge'!AB504+Fuel!AB504+PCM!AC504+Interest!AB504+'O&amp;M'!AD504+'Capex &amp; Depr'!AD504+Debt!AE504+Pat.!U504+Rates!AB504</f>
        <v>0.3963037638611861</v>
      </c>
      <c r="AI504" s="106">
        <f>+'Regulatory Charge'!AC504+Fuel!AC504+PCM!AD504+Interest!AC504+'O&amp;M'!AE504+'Capex &amp; Depr'!AE504+Debt!AF504+Pat.!V504+Rates!AC504</f>
        <v>0.88341200001403475</v>
      </c>
      <c r="AJ504" s="106">
        <f>+'Regulatory Charge'!AD504+Fuel!AD504+PCM!AE504+Interest!AD504+'O&amp;M'!AF504+'Capex &amp; Depr'!AF504+Debt!AG504+Pat.!W504+Rates!AD504</f>
        <v>0.53449469486760981</v>
      </c>
      <c r="AK504" s="106">
        <f>+'Regulatory Charge'!AE504+Fuel!AE504+PCM!AF504+Interest!AE504+'O&amp;M'!AG504+'Capex &amp; Depr'!AG504+Debt!AH504+Pat.!X504+Rates!AE504</f>
        <v>0.11496884388816715</v>
      </c>
      <c r="AL504" s="106">
        <f>+'Regulatory Charge'!AF504+Fuel!AF504+PCM!AG504+Interest!AF504+'O&amp;M'!AH504+'Capex &amp; Depr'!AH504+Debt!AI504+Pat.!Y504+Rates!AF504</f>
        <v>0.17682979916169378</v>
      </c>
      <c r="AM504" s="106">
        <f>+'Regulatory Charge'!AG504+Fuel!AG504+PCM!AH504+Interest!AG504+'O&amp;M'!AI504+'Capex &amp; Depr'!AI504+Debt!AJ504+Pat.!Z504+Rates!AG504</f>
        <v>0.18642605308133658</v>
      </c>
      <c r="AN504" s="106">
        <f>+'Regulatory Charge'!AH504+Fuel!AH504+PCM!AI504+Interest!AH504+'O&amp;M'!AJ504+'Capex &amp; Depr'!AJ504+Debt!AK504+Pat.!AA504+Rates!AH504</f>
        <v>0.18100933197001104</v>
      </c>
      <c r="AO504" s="106">
        <f>+'Regulatory Charge'!AI504+Fuel!AI504+PCM!AJ504+Interest!AI504+'O&amp;M'!AK504+'Capex &amp; Depr'!AK504+Debt!AL504+Pat.!AB504+Rates!AI504</f>
        <v>0.2775430618421838</v>
      </c>
      <c r="AP504" s="106">
        <f>+'Regulatory Charge'!AJ504+Fuel!AJ504+PCM!AK504+Interest!AJ504+'O&amp;M'!AL504+'Capex &amp; Depr'!AL504+Debt!AM504+Pat.!AC504+Rates!AJ504</f>
        <v>0.14800980558540486</v>
      </c>
      <c r="AQ504" s="106">
        <f>+'Regulatory Charge'!AK504+Fuel!AK504+PCM!AL504+Interest!AK504+'O&amp;M'!AM504+'Capex &amp; Depr'!AM504+Debt!AN504+Pat.!AD504+Rates!AK504</f>
        <v>0.12142955429501107</v>
      </c>
      <c r="AR504" s="224">
        <f t="shared" si="7"/>
        <v>3.3071568655692509</v>
      </c>
      <c r="AS504" s="106">
        <f>+'Regulatory Charge'!AM504+Fuel!AM504+PCM!AN504+Interest!AM504+'O&amp;M'!AO504+'Capex &amp; Depr'!AO504+Debt!AP504+Pat.!AF504+Rates!AM504</f>
        <v>2.7459707789452183</v>
      </c>
      <c r="AT504" s="106">
        <f>+'Regulatory Charge'!AN504+Fuel!AN504+PCM!AO504+Interest!AN504+'O&amp;M'!AP504+'Capex &amp; Depr'!AP504+Debt!AQ504+Pat.!AG504+Rates!AN504</f>
        <v>3.3759248723602706</v>
      </c>
      <c r="AU504" s="106">
        <f>+'Regulatory Charge'!AO504+Fuel!AO504+PCM!AP504+Interest!AO504+'O&amp;M'!AQ504+'Capex &amp; Depr'!AQ504+Debt!AR504+Pat.!AH504+Rates!AO504</f>
        <v>3.4772026185310789</v>
      </c>
      <c r="AV504" s="106">
        <f>+'Regulatory Charge'!AP504+Fuel!AP504+PCM!AQ504+Interest!AP504+'O&amp;M'!AR504+'Capex &amp; Depr'!AR504+Debt!AS504+Pat.!AI504+Rates!AP504</f>
        <v>3.5815186970870112</v>
      </c>
      <c r="AW504" s="106">
        <f>+'Regulatory Charge'!AQ504+Fuel!AQ504+PCM!AR504+Interest!AQ504+'O&amp;M'!AS504+'Capex &amp; Depr'!AS504+Debt!AT504+Pat.!AJ504+Rates!AQ504</f>
        <v>3.6889642579996216</v>
      </c>
      <c r="AX504" s="106">
        <f>+'Regulatory Charge'!AR504+Fuel!AR504+PCM!AS504+Interest!AR504+'O&amp;M'!AT504+'Capex &amp; Depr'!AT504+Debt!AU504+Pat.!AK504+Rates!AR504</f>
        <v>3.7996331857396104</v>
      </c>
      <c r="AY504" s="106">
        <f>+'Regulatory Charge'!AS504+Fuel!AS504+PCM!AT504+Interest!AS504+'O&amp;M'!AU504+'Capex &amp; Depr'!AU504+Debt!AV504+Pat.!AL504+Rates!AS504</f>
        <v>3.9136221813117986</v>
      </c>
      <c r="AZ504" s="106">
        <f>+'Regulatory Charge'!AT504+Fuel!AT504+PCM!AU504+Interest!AT504+'O&amp;M'!AV504+'Capex &amp; Depr'!AV504+Debt!AW504+Pat.!AM504+Rates!AT504</f>
        <v>4.0310308467511531</v>
      </c>
      <c r="BA504" s="106">
        <f>+'Regulatory Charge'!AU504+Fuel!AU504+PCM!AV504+Interest!AU504+'O&amp;M'!AW504+'Capex &amp; Depr'!AW504+Debt!AX504+Pat.!AN504+Rates!AU504</f>
        <v>4.1519617721536877</v>
      </c>
      <c r="BB504" s="106">
        <f>+'Regulatory Charge'!AV504+Fuel!AV504+PCM!AW504+Interest!AV504+'O&amp;M'!AX504+'Capex &amp; Depr'!AX504+Debt!AY504+Pat.!AO504+Rates!AV504</f>
        <v>4.2765206253182981</v>
      </c>
      <c r="BC504" s="106">
        <f>+'Regulatory Charge'!AW504+Fuel!AW504+PCM!AX504+Interest!AW504+'O&amp;M'!AY504+'Capex &amp; Depr'!AY504+Debt!AZ504+Pat.!AP504+Rates!AW504</f>
        <v>4.4048162440778471</v>
      </c>
      <c r="BD504" s="106"/>
      <c r="BE504" s="106"/>
    </row>
    <row r="505" spans="1:57">
      <c r="A505" s="849" t="s">
        <v>737</v>
      </c>
      <c r="B505" s="846" t="s">
        <v>976</v>
      </c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224"/>
      <c r="S505" s="106">
        <f>+'Regulatory Charge'!M505+Fuel!M505+PCM!N505+Interest!M505+'O&amp;M'!O505+'Capex &amp; Depr'!O505+Debt!P505+Pat.!F505+Rates!M505</f>
        <v>0.45457515609497928</v>
      </c>
      <c r="T505" s="106">
        <f>+'Regulatory Charge'!N505+Fuel!N505+PCM!O505+Interest!N505+'O&amp;M'!P505+'Capex &amp; Depr'!P505+Debt!Q505+Pat.!G505+Rates!N505</f>
        <v>0.43778474817232893</v>
      </c>
      <c r="U505" s="106">
        <f>+'Regulatory Charge'!O505+Fuel!O505+PCM!P505+Interest!O505+'O&amp;M'!Q505+'Capex &amp; Depr'!Q505+Debt!R505+Pat.!H505+Rates!O505</f>
        <v>0.46905928417404136</v>
      </c>
      <c r="V505" s="106">
        <f>+'Regulatory Charge'!P505+Fuel!P505+PCM!Q505+Interest!P505+'O&amp;M'!R505+'Capex &amp; Depr'!R505+Debt!S505+Pat.!I505+Rates!P505</f>
        <v>0.44580852295327833</v>
      </c>
      <c r="W505" s="106">
        <f>+'Regulatory Charge'!Q505+Fuel!Q505+PCM!R505+Interest!Q505+'O&amp;M'!S505+'Capex &amp; Depr'!S505+Debt!T505+Pat.!J505+Rates!Q505</f>
        <v>0.50940115218526671</v>
      </c>
      <c r="X505" s="106">
        <f>+'Regulatory Charge'!R505+Fuel!R505+PCM!S505+Interest!R505+'O&amp;M'!T505+'Capex &amp; Depr'!T505+Debt!U505+Pat.!K505+Rates!R505</f>
        <v>0.40595007514625575</v>
      </c>
      <c r="Y505" s="106">
        <f>+'Regulatory Charge'!S505+Fuel!S505+PCM!T505+Interest!S505+'O&amp;M'!U505+'Capex &amp; Depr'!U505+Debt!V505+Pat.!L505+Rates!S505</f>
        <v>0.44580852295327833</v>
      </c>
      <c r="Z505" s="106">
        <f>+'Regulatory Charge'!T505+Fuel!T505+PCM!U505+Interest!T505+'O&amp;M'!V505+'Capex &amp; Depr'!V505+Debt!W505+Pat.!M505+Rates!T505</f>
        <v>0.47570235880854533</v>
      </c>
      <c r="AA505" s="106">
        <f>+'Regulatory Charge'!U505+Fuel!U505+PCM!V505+Interest!U505+'O&amp;M'!W505+'Capex &amp; Depr'!W505+Debt!X505+Pat.!N505+Rates!U505</f>
        <v>0.48960008373440878</v>
      </c>
      <c r="AB505" s="106">
        <f>+'Regulatory Charge'!V505+Fuel!V505+PCM!W505+Interest!V505+'O&amp;M'!X505+'Capex &amp; Depr'!X505+Debt!Y505+Pat.!O505+Rates!V505</f>
        <v>0.57392221922480235</v>
      </c>
      <c r="AC505" s="106">
        <f>+'Regulatory Charge'!W505+Fuel!W505+PCM!X505+Interest!W505+'O&amp;M'!Y505+'Capex &amp; Depr'!Y505+Debt!Z505+Pat.!P505+Rates!W505</f>
        <v>0.48252998197397012</v>
      </c>
      <c r="AD505" s="106">
        <f>+'Regulatory Charge'!X505+Fuel!X505+PCM!Y505+Interest!X505+'O&amp;M'!Z505+'Capex &amp; Depr'!Z505+Debt!AA505+Pat.!Q505+Rates!X505</f>
        <v>0.37612840435576333</v>
      </c>
      <c r="AE505" s="224">
        <f t="shared" si="6"/>
        <v>5.5662705097769187</v>
      </c>
      <c r="AF505" s="106">
        <f>+'Regulatory Charge'!Z505+Fuel!Z505+PCM!AA505+Interest!Z505+'O&amp;M'!AB505+'Capex &amp; Depr'!AB505+Debt!AC505+Pat.!S505+Rates!Z505</f>
        <v>0.40384600353493383</v>
      </c>
      <c r="AG505" s="106">
        <f>+'Regulatory Charge'!AA505+Fuel!AA505+PCM!AB505+Interest!AA505+'O&amp;M'!AC505+'Capex &amp; Depr'!AC505+Debt!AD505+Pat.!T505+Rates!AA505</f>
        <v>0.39168874390848196</v>
      </c>
      <c r="AH505" s="106">
        <f>+'Regulatory Charge'!AB505+Fuel!AB505+PCM!AC505+Interest!AB505+'O&amp;M'!AD505+'Capex &amp; Depr'!AD505+Debt!AE505+Pat.!U505+Rates!AB505</f>
        <v>0.45425336640577163</v>
      </c>
      <c r="AI505" s="106">
        <f>+'Regulatory Charge'!AC505+Fuel!AC505+PCM!AD505+Interest!AC505+'O&amp;M'!AE505+'Capex &amp; Depr'!AE505+Debt!AF505+Pat.!V505+Rates!AC505</f>
        <v>0.42647176488633459</v>
      </c>
      <c r="AJ505" s="106">
        <f>+'Regulatory Charge'!AD505+Fuel!AD505+PCM!AE505+Interest!AD505+'O&amp;M'!AF505+'Capex &amp; Depr'!AF505+Debt!AG505+Pat.!W505+Rates!AD505</f>
        <v>0.44739253879028962</v>
      </c>
      <c r="AK505" s="106">
        <f>+'Regulatory Charge'!AE505+Fuel!AE505+PCM!AF505+Interest!AE505+'O&amp;M'!AG505+'Capex &amp; Depr'!AG505+Debt!AH505+Pat.!X505+Rates!AE505</f>
        <v>0.36715322285299151</v>
      </c>
      <c r="AL505" s="106">
        <f>+'Regulatory Charge'!AF505+Fuel!AF505+PCM!AG505+Interest!AF505+'O&amp;M'!AH505+'Capex &amp; Depr'!AH505+Debt!AI505+Pat.!Y505+Rates!AF505</f>
        <v>0.39588206604590259</v>
      </c>
      <c r="AM505" s="106">
        <f>+'Regulatory Charge'!AG505+Fuel!AG505+PCM!AH505+Interest!AG505+'O&amp;M'!AI505+'Capex &amp; Depr'!AI505+Debt!AJ505+Pat.!Z505+Rates!AG505</f>
        <v>0.41742869844058583</v>
      </c>
      <c r="AN505" s="106">
        <f>+'Regulatory Charge'!AH505+Fuel!AH505+PCM!AI505+Interest!AH505+'O&amp;M'!AJ505+'Capex &amp; Depr'!AJ505+Debt!AK505+Pat.!AA505+Rates!AH505</f>
        <v>0.37266773836254391</v>
      </c>
      <c r="AO505" s="106">
        <f>+'Regulatory Charge'!AI505+Fuel!AI505+PCM!AJ505+Interest!AI505+'O&amp;M'!AK505+'Capex &amp; Depr'!AK505+Debt!AL505+Pat.!AB505+Rates!AI505</f>
        <v>0.43353319271840374</v>
      </c>
      <c r="AP505" s="106">
        <f>+'Regulatory Charge'!AJ505+Fuel!AJ505+PCM!AK505+Interest!AJ505+'O&amp;M'!AL505+'Capex &amp; Depr'!AL505+Debt!AM505+Pat.!AC505+Rates!AJ505</f>
        <v>0.3677985020140751</v>
      </c>
      <c r="AQ505" s="106">
        <f>+'Regulatory Charge'!AK505+Fuel!AK505+PCM!AL505+Interest!AK505+'O&amp;M'!AM505+'Capex &amp; Depr'!AM505+Debt!AN505+Pat.!AD505+Rates!AK505</f>
        <v>0.38281171373446987</v>
      </c>
      <c r="AR505" s="224">
        <f t="shared" si="7"/>
        <v>4.8609275516947843</v>
      </c>
      <c r="AS505" s="106">
        <f>+'Regulatory Charge'!AM505+Fuel!AM505+PCM!AN505+Interest!AM505+'O&amp;M'!AO505+'Capex &amp; Depr'!AO505+Debt!AP505+Pat.!AF505+Rates!AM505</f>
        <v>4.9503749075724315</v>
      </c>
      <c r="AT505" s="106">
        <f>+'Regulatory Charge'!AN505+Fuel!AN505+PCM!AO505+Interest!AN505+'O&amp;M'!AP505+'Capex &amp; Depr'!AP505+Debt!AQ505+Pat.!AG505+Rates!AN505</f>
        <v>5.0692563703303453</v>
      </c>
      <c r="AU505" s="106">
        <f>+'Regulatory Charge'!AO505+Fuel!AO505+PCM!AP505+Interest!AO505+'O&amp;M'!AQ505+'Capex &amp; Depr'!AQ505+Debt!AR505+Pat.!AH505+Rates!AO505</f>
        <v>5.1937340614402556</v>
      </c>
      <c r="AV505" s="106">
        <f>+'Regulatory Charge'!AP505+Fuel!AP505+PCM!AQ505+Interest!AP505+'O&amp;M'!AR505+'Capex &amp; Depr'!AR505+Debt!AS505+Pat.!AI505+Rates!AP505</f>
        <v>5.0152794166167967</v>
      </c>
      <c r="AW505" s="106">
        <f>+'Regulatory Charge'!AQ505+Fuel!AQ505+PCM!AR505+Interest!AQ505+'O&amp;M'!AS505+'Capex &amp; Depr'!AS505+Debt!AT505+Pat.!AJ505+Rates!AQ505</f>
        <v>4.5340044657819671</v>
      </c>
      <c r="AX505" s="106">
        <f>+'Regulatory Charge'!AR505+Fuel!AR505+PCM!AS505+Interest!AR505+'O&amp;M'!AT505+'Capex &amp; Depr'!AT505+Debt!AU505+Pat.!AK505+Rates!AR505</f>
        <v>4.6700245997554264</v>
      </c>
      <c r="AY505" s="106">
        <f>+'Regulatory Charge'!AS505+Fuel!AS505+PCM!AT505+Interest!AS505+'O&amp;M'!AU505+'Capex &amp; Depr'!AU505+Debt!AV505+Pat.!AL505+Rates!AS505</f>
        <v>4.8101253377480893</v>
      </c>
      <c r="AZ505" s="106">
        <f>+'Regulatory Charge'!AT505+Fuel!AT505+PCM!AU505+Interest!AT505+'O&amp;M'!AV505+'Capex &amp; Depr'!AV505+Debt!AW505+Pat.!AM505+Rates!AT505</f>
        <v>4.9544290978805323</v>
      </c>
      <c r="BA505" s="106">
        <f>+'Regulatory Charge'!AU505+Fuel!AU505+PCM!AV505+Interest!AU505+'O&amp;M'!AW505+'Capex &amp; Depr'!AW505+Debt!AX505+Pat.!AN505+Rates!AU505</f>
        <v>5.103061970816948</v>
      </c>
      <c r="BB505" s="106">
        <f>+'Regulatory Charge'!AV505+Fuel!AV505+PCM!AW505+Interest!AV505+'O&amp;M'!AX505+'Capex &amp; Depr'!AX505+Debt!AY505+Pat.!AO505+Rates!AV505</f>
        <v>5.2561538299414563</v>
      </c>
      <c r="BC505" s="106">
        <f>+'Regulatory Charge'!AW505+Fuel!AW505+PCM!AX505+Interest!AW505+'O&amp;M'!AY505+'Capex &amp; Depr'!AY505+Debt!AZ505+Pat.!AP505+Rates!AW505</f>
        <v>5.4138384448397003</v>
      </c>
      <c r="BD505" s="106"/>
      <c r="BE505" s="106"/>
    </row>
    <row r="506" spans="1:57">
      <c r="A506" s="849" t="s">
        <v>737</v>
      </c>
      <c r="B506" s="846" t="s">
        <v>976</v>
      </c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224"/>
      <c r="S506" s="106">
        <f>+'Regulatory Charge'!M506+Fuel!M506+PCM!N506+Interest!M506+'O&amp;M'!O506+'Capex &amp; Depr'!O506+Debt!P506+Pat.!F506+Rates!M506</f>
        <v>0.25272634199926264</v>
      </c>
      <c r="T506" s="106">
        <f>+'Regulatory Charge'!N506+Fuel!N506+PCM!O506+Interest!N506+'O&amp;M'!P506+'Capex &amp; Depr'!P506+Debt!Q506+Pat.!G506+Rates!N506</f>
        <v>0.24424559226774381</v>
      </c>
      <c r="U506" s="106">
        <f>+'Regulatory Charge'!O506+Fuel!O506+PCM!P506+Interest!O506+'O&amp;M'!Q506+'Capex &amp; Depr'!Q506+Debt!R506+Pat.!H506+Rates!O506</f>
        <v>0.25999014151405314</v>
      </c>
      <c r="V506" s="106">
        <f>+'Regulatory Charge'!P506+Fuel!P506+PCM!Q506+Interest!P506+'O&amp;M'!R506+'Capex &amp; Depr'!R506+Debt!S506+Pat.!I506+Rates!P506</f>
        <v>0.24824865125212817</v>
      </c>
      <c r="W506" s="106">
        <f>+'Regulatory Charge'!Q506+Fuel!Q506+PCM!R506+Interest!Q506+'O&amp;M'!S506+'Capex &amp; Depr'!S506+Debt!T506+Pat.!J506+Rates!Q506</f>
        <v>0.26799296244873216</v>
      </c>
      <c r="X506" s="106">
        <f>+'Regulatory Charge'!R506+Fuel!R506+PCM!S506+Interest!R506+'O&amp;M'!T506+'Capex &amp; Depr'!T506+Debt!U506+Pat.!K506+Rates!R506</f>
        <v>0.22812038223168532</v>
      </c>
      <c r="Y506" s="106">
        <f>+'Regulatory Charge'!S506+Fuel!S506+PCM!T506+Interest!S506+'O&amp;M'!U506+'Capex &amp; Depr'!U506+Debt!V506+Pat.!L506+Rates!S506</f>
        <v>0.24824865125212817</v>
      </c>
      <c r="Z506" s="106">
        <f>+'Regulatory Charge'!T506+Fuel!T506+PCM!U506+Interest!T506+'O&amp;M'!V506+'Capex &amp; Depr'!V506+Debt!W506+Pat.!M506+Rates!T506</f>
        <v>0.2633448530174603</v>
      </c>
      <c r="AA506" s="106">
        <f>+'Regulatory Charge'!U506+Fuel!U506+PCM!V506+Interest!U506+'O&amp;M'!W506+'Capex &amp; Depr'!W506+Debt!X506+Pat.!N506+Rates!U506</f>
        <v>0.23290055736848023</v>
      </c>
      <c r="AB506" s="106">
        <f>+'Regulatory Charge'!V506+Fuel!V506+PCM!W506+Interest!V506+'O&amp;M'!X506+'Capex &amp; Depr'!X506+Debt!Y506+Pat.!O506+Rates!V506</f>
        <v>0.27571315982592148</v>
      </c>
      <c r="AC506" s="106">
        <f>+'Regulatory Charge'!W506+Fuel!W506+PCM!X506+Interest!W506+'O&amp;M'!Y506+'Capex &amp; Depr'!Y506+Debt!Z506+Pat.!P506+Rates!W506</f>
        <v>0.22947554917188492</v>
      </c>
      <c r="AD506" s="106">
        <f>+'Regulatory Charge'!X506+Fuel!X506+PCM!Y506+Interest!X506+'O&amp;M'!Z506+'Capex &amp; Depr'!Z506+Debt!AA506+Pat.!Q506+Rates!X506</f>
        <v>0.16328100384474351</v>
      </c>
      <c r="AE506" s="224">
        <f t="shared" si="6"/>
        <v>2.9142878461942239</v>
      </c>
      <c r="AF506" s="106">
        <f>+'Regulatory Charge'!Z506+Fuel!Z506+PCM!AA506+Interest!Z506+'O&amp;M'!AB506+'Capex &amp; Depr'!AB506+Debt!AC506+Pat.!S506+Rates!Z506</f>
        <v>0.17098184891354884</v>
      </c>
      <c r="AG506" s="106">
        <f>+'Regulatory Charge'!AA506+Fuel!AA506+PCM!AB506+Interest!AA506+'O&amp;M'!AC506+'Capex &amp; Depr'!AC506+Debt!AD506+Pat.!T506+Rates!AA506</f>
        <v>0.16524420297685255</v>
      </c>
      <c r="AH506" s="106">
        <f>+'Regulatory Charge'!AB506+Fuel!AB506+PCM!AC506+Interest!AB506+'O&amp;M'!AD506+'Capex &amp; Depr'!AD506+Debt!AE506+Pat.!U506+Rates!AB506</f>
        <v>0.19628804471597638</v>
      </c>
      <c r="AI506" s="106">
        <f>+'Regulatory Charge'!AC506+Fuel!AC506+PCM!AD506+Interest!AC506+'O&amp;M'!AE506+'Capex &amp; Depr'!AE506+Debt!AF506+Pat.!V506+Rates!AC506</f>
        <v>0.17209030905109488</v>
      </c>
      <c r="AJ506" s="106">
        <f>+'Regulatory Charge'!AD506+Fuel!AD506+PCM!AE506+Interest!AD506+'O&amp;M'!AF506+'Capex &amp; Depr'!AF506+Debt!AG506+Pat.!W506+Rates!AD506</f>
        <v>0.18127672393905717</v>
      </c>
      <c r="AK506" s="106">
        <f>+'Regulatory Charge'!AE506+Fuel!AE506+PCM!AF506+Interest!AE506+'O&amp;M'!AG506+'Capex &amp; Depr'!AG506+Debt!AH506+Pat.!X506+Rates!AE506</f>
        <v>0.1534493894279382</v>
      </c>
      <c r="AL506" s="106">
        <f>+'Regulatory Charge'!AF506+Fuel!AF506+PCM!AG506+Interest!AF506+'O&amp;M'!AH506+'Capex &amp; Depr'!AH506+Debt!AI506+Pat.!Y506+Rates!AF506</f>
        <v>0.16698904143628571</v>
      </c>
      <c r="AM506" s="106">
        <f>+'Regulatory Charge'!AG506+Fuel!AG506+PCM!AH506+Interest!AG506+'O&amp;M'!AI506+'Capex &amp; Depr'!AI506+Debt!AJ506+Pat.!Z506+Rates!AG506</f>
        <v>0.17714378044254633</v>
      </c>
      <c r="AN506" s="106">
        <f>+'Regulatory Charge'!AH506+Fuel!AH506+PCM!AI506+Interest!AH506+'O&amp;M'!AJ506+'Capex &amp; Depr'!AJ506+Debt!AK506+Pat.!AA506+Rates!AH506</f>
        <v>0.15616964072175826</v>
      </c>
      <c r="AO506" s="106">
        <f>+'Regulatory Charge'!AI506+Fuel!AI506+PCM!AJ506+Interest!AI506+'O&amp;M'!AK506+'Capex &amp; Depr'!AK506+Debt!AL506+Pat.!AB506+Rates!AI506</f>
        <v>0.18487729526619917</v>
      </c>
      <c r="AP506" s="106">
        <f>+'Regulatory Charge'!AJ506+Fuel!AJ506+PCM!AK506+Interest!AJ506+'O&amp;M'!AL506+'Capex &amp; Depr'!AL506+Debt!AM506+Pat.!AC506+Rates!AJ506</f>
        <v>0.15387302835820305</v>
      </c>
      <c r="AQ506" s="106">
        <f>+'Regulatory Charge'!AK506+Fuel!AK506+PCM!AL506+Interest!AK506+'O&amp;M'!AM506+'Capex &amp; Depr'!AM506+Debt!AN506+Pat.!AD506+Rates!AK506</f>
        <v>0.16117897601166298</v>
      </c>
      <c r="AR506" s="224">
        <f t="shared" si="7"/>
        <v>2.0395622812611238</v>
      </c>
      <c r="AS506" s="106">
        <f>+'Regulatory Charge'!AM506+Fuel!AM506+PCM!AN506+Interest!AM506+'O&amp;M'!AO506+'Capex &amp; Depr'!AO506+Debt!AP506+Pat.!AF506+Rates!AM506</f>
        <v>2.0929142748974461</v>
      </c>
      <c r="AT506" s="106">
        <f>+'Regulatory Charge'!AN506+Fuel!AN506+PCM!AO506+Interest!AN506+'O&amp;M'!AP506+'Capex &amp; Depr'!AP506+Debt!AQ506+Pat.!AG506+Rates!AN506</f>
        <v>2.1535439199803368</v>
      </c>
      <c r="AU506" s="106">
        <f>+'Regulatory Charge'!AO506+Fuel!AO506+PCM!AP506+Interest!AO506+'O&amp;M'!AQ506+'Capex &amp; Depr'!AQ506+Debt!AR506+Pat.!AH506+Rates!AO506</f>
        <v>2.2181502375797471</v>
      </c>
      <c r="AV506" s="106">
        <f>+'Regulatory Charge'!AP506+Fuel!AP506+PCM!AQ506+Interest!AP506+'O&amp;M'!AR506+'Capex &amp; Depr'!AR506+Debt!AS506+Pat.!AI506+Rates!AP506</f>
        <v>2.2846947447071395</v>
      </c>
      <c r="AW506" s="106">
        <f>+'Regulatory Charge'!AQ506+Fuel!AQ506+PCM!AR506+Interest!AQ506+'O&amp;M'!AS506+'Capex &amp; Depr'!AS506+Debt!AT506+Pat.!AJ506+Rates!AQ506</f>
        <v>2.3532355870483537</v>
      </c>
      <c r="AX506" s="106">
        <f>+'Regulatory Charge'!AR506+Fuel!AR506+PCM!AS506+Interest!AR506+'O&amp;M'!AT506+'Capex &amp; Depr'!AT506+Debt!AU506+Pat.!AK506+Rates!AR506</f>
        <v>2.4238326546598041</v>
      </c>
      <c r="AY506" s="106">
        <f>+'Regulatory Charge'!AS506+Fuel!AS506+PCM!AT506+Interest!AS506+'O&amp;M'!AU506+'Capex &amp; Depr'!AU506+Debt!AV506+Pat.!AL506+Rates!AS506</f>
        <v>2.4965476342995983</v>
      </c>
      <c r="AZ506" s="106">
        <f>+'Regulatory Charge'!AT506+Fuel!AT506+PCM!AU506+Interest!AT506+'O&amp;M'!AV506+'Capex &amp; Depr'!AV506+Debt!AW506+Pat.!AM506+Rates!AT506</f>
        <v>2.5714440633285864</v>
      </c>
      <c r="BA506" s="106">
        <f>+'Regulatory Charge'!AU506+Fuel!AU506+PCM!AV506+Interest!AU506+'O&amp;M'!AW506+'Capex &amp; Depr'!AW506+Debt!AX506+Pat.!AN506+Rates!AU506</f>
        <v>2.6485873852284443</v>
      </c>
      <c r="BB506" s="106">
        <f>+'Regulatory Charge'!AV506+Fuel!AV506+PCM!AW506+Interest!AV506+'O&amp;M'!AX506+'Capex &amp; Depr'!AX506+Debt!AY506+Pat.!AO506+Rates!AV506</f>
        <v>2.7280450067852975</v>
      </c>
      <c r="BC506" s="106">
        <f>+'Regulatory Charge'!AW506+Fuel!AW506+PCM!AX506+Interest!AW506+'O&amp;M'!AY506+'Capex &amp; Depr'!AY506+Debt!AZ506+Pat.!AP506+Rates!AW506</f>
        <v>2.8098863569888564</v>
      </c>
      <c r="BD506" s="106"/>
      <c r="BE506" s="106"/>
    </row>
    <row r="507" spans="1:57">
      <c r="A507" s="849" t="s">
        <v>737</v>
      </c>
      <c r="B507" s="846" t="s">
        <v>976</v>
      </c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224"/>
      <c r="S507" s="106">
        <f>+'Regulatory Charge'!M507+Fuel!M507+PCM!N507+Interest!M507+'O&amp;M'!O507+'Capex &amp; Depr'!O507+Debt!P507+Pat.!F507+Rates!M507</f>
        <v>0.67585289020641814</v>
      </c>
      <c r="T507" s="106">
        <f>+'Regulatory Charge'!N507+Fuel!N507+PCM!O507+Interest!N507+'O&amp;M'!P507+'Capex &amp; Depr'!P507+Debt!Q507+Pat.!G507+Rates!N507</f>
        <v>0.94230510319196314</v>
      </c>
      <c r="U507" s="106">
        <f>+'Regulatory Charge'!O507+Fuel!O507+PCM!P507+Interest!O507+'O&amp;M'!Q507+'Capex &amp; Depr'!Q507+Debt!R507+Pat.!H507+Rates!O507</f>
        <v>1.0324907628509015</v>
      </c>
      <c r="V507" s="106">
        <f>+'Regulatory Charge'!P507+Fuel!P507+PCM!Q507+Interest!P507+'O&amp;M'!R507+'Capex &amp; Depr'!R507+Debt!S507+Pat.!I507+Rates!P507</f>
        <v>1.3125105770293328</v>
      </c>
      <c r="W507" s="106">
        <f>+'Regulatory Charge'!Q507+Fuel!Q507+PCM!R507+Interest!Q507+'O&amp;M'!S507+'Capex &amp; Depr'!S507+Debt!T507+Pat.!J507+Rates!Q507</f>
        <v>2.5868456671967093</v>
      </c>
      <c r="X507" s="106">
        <f>+'Regulatory Charge'!R507+Fuel!R507+PCM!S507+Interest!R507+'O&amp;M'!T507+'Capex &amp; Depr'!T507+Debt!U507+Pat.!K507+Rates!R507</f>
        <v>0.73920740051233957</v>
      </c>
      <c r="Y507" s="106">
        <f>+'Regulatory Charge'!S507+Fuel!S507+PCM!T507+Interest!S507+'O&amp;M'!U507+'Capex &amp; Depr'!U507+Debt!V507+Pat.!L507+Rates!S507</f>
        <v>1.0674232852456347</v>
      </c>
      <c r="Z507" s="106">
        <f>+'Regulatory Charge'!T507+Fuel!T507+PCM!U507+Interest!T507+'O&amp;M'!V507+'Capex &amp; Depr'!V507+Debt!W507+Pat.!M507+Rates!T507</f>
        <v>0.99419978026429956</v>
      </c>
      <c r="AA507" s="106">
        <f>+'Regulatory Charge'!U507+Fuel!U507+PCM!V507+Interest!U507+'O&amp;M'!W507+'Capex &amp; Depr'!W507+Debt!X507+Pat.!N507+Rates!U507</f>
        <v>0.88119833680663462</v>
      </c>
      <c r="AB507" s="106">
        <f>+'Regulatory Charge'!V507+Fuel!V507+PCM!W507+Interest!V507+'O&amp;M'!X507+'Capex &amp; Depr'!X507+Debt!Y507+Pat.!O507+Rates!V507</f>
        <v>1.0945051557951684</v>
      </c>
      <c r="AC507" s="106">
        <f>+'Regulatory Charge'!W507+Fuel!W507+PCM!X507+Interest!W507+'O&amp;M'!Y507+'Capex &amp; Depr'!Y507+Debt!Z507+Pat.!P507+Rates!W507</f>
        <v>0.66220786120454844</v>
      </c>
      <c r="AD507" s="106">
        <f>+'Regulatory Charge'!X507+Fuel!X507+PCM!Y507+Interest!X507+'O&amp;M'!Z507+'Capex &amp; Depr'!Z507+Debt!AA507+Pat.!Q507+Rates!X507</f>
        <v>0.54896959993791217</v>
      </c>
      <c r="AE507" s="224">
        <f t="shared" si="6"/>
        <v>12.537716420241862</v>
      </c>
      <c r="AF507" s="106">
        <f>+'Regulatory Charge'!Z507+Fuel!Z507+PCM!AA507+Interest!Z507+'O&amp;M'!AB507+'Capex &amp; Depr'!AB507+Debt!AC507+Pat.!S507+Rates!Z507</f>
        <v>0.75234170187174843</v>
      </c>
      <c r="AG507" s="106">
        <f>+'Regulatory Charge'!AA507+Fuel!AA507+PCM!AB507+Interest!AA507+'O&amp;M'!AC507+'Capex &amp; Depr'!AC507+Debt!AD507+Pat.!T507+Rates!AA507</f>
        <v>0.67235367773475863</v>
      </c>
      <c r="AH507" s="106">
        <f>+'Regulatory Charge'!AB507+Fuel!AB507+PCM!AC507+Interest!AB507+'O&amp;M'!AD507+'Capex &amp; Depr'!AD507+Debt!AE507+Pat.!U507+Rates!AB507</f>
        <v>2.0547792758164234</v>
      </c>
      <c r="AI507" s="106">
        <f>+'Regulatory Charge'!AC507+Fuel!AC507+PCM!AD507+Interest!AC507+'O&amp;M'!AE507+'Capex &amp; Depr'!AE507+Debt!AF507+Pat.!V507+Rates!AC507</f>
        <v>3.8660682285057999</v>
      </c>
      <c r="AJ507" s="106">
        <f>+'Regulatory Charge'!AD507+Fuel!AD507+PCM!AE507+Interest!AD507+'O&amp;M'!AF507+'Capex &amp; Depr'!AF507+Debt!AG507+Pat.!W507+Rates!AD507</f>
        <v>2.1276052589051142</v>
      </c>
      <c r="AK507" s="106">
        <f>+'Regulatory Charge'!AE507+Fuel!AE507+PCM!AF507+Interest!AE507+'O&amp;M'!AG507+'Capex &amp; Depr'!AG507+Debt!AH507+Pat.!X507+Rates!AE507</f>
        <v>0.58375078699501981</v>
      </c>
      <c r="AL507" s="106">
        <f>+'Regulatory Charge'!AF507+Fuel!AF507+PCM!AG507+Interest!AF507+'O&amp;M'!AH507+'Capex &amp; Depr'!AH507+Debt!AI507+Pat.!Y507+Rates!AF507</f>
        <v>0.86643102389790039</v>
      </c>
      <c r="AM507" s="106">
        <f>+'Regulatory Charge'!AG507+Fuel!AG507+PCM!AH507+Interest!AG507+'O&amp;M'!AI507+'Capex &amp; Depr'!AI507+Debt!AJ507+Pat.!Z507+Rates!AG507</f>
        <v>0.92573800656517646</v>
      </c>
      <c r="AN507" s="106">
        <f>+'Regulatory Charge'!AH507+Fuel!AH507+PCM!AI507+Interest!AH507+'O&amp;M'!AJ507+'Capex &amp; Depr'!AJ507+Debt!AK507+Pat.!AA507+Rates!AH507</f>
        <v>1.1772479609611366</v>
      </c>
      <c r="AO507" s="106">
        <f>+'Regulatory Charge'!AI507+Fuel!AI507+PCM!AJ507+Interest!AI507+'O&amp;M'!AK507+'Capex &amp; Depr'!AK507+Debt!AL507+Pat.!AB507+Rates!AI507</f>
        <v>1.4831299480311542</v>
      </c>
      <c r="AP507" s="106">
        <f>+'Regulatory Charge'!AJ507+Fuel!AJ507+PCM!AK507+Interest!AJ507+'O&amp;M'!AL507+'Capex &amp; Depr'!AL507+Debt!AM507+Pat.!AC507+Rates!AJ507</f>
        <v>0.73936311037304669</v>
      </c>
      <c r="AQ507" s="106">
        <f>+'Regulatory Charge'!AK507+Fuel!AK507+PCM!AL507+Interest!AK507+'O&amp;M'!AM507+'Capex &amp; Depr'!AM507+Debt!AN507+Pat.!AD507+Rates!AK507</f>
        <v>0.58374703378103288</v>
      </c>
      <c r="AR507" s="224">
        <f t="shared" si="7"/>
        <v>15.83255601343831</v>
      </c>
      <c r="AS507" s="106">
        <f>+'Regulatory Charge'!AM507+Fuel!AM507+PCM!AN507+Interest!AM507+'O&amp;M'!AO507+'Capex &amp; Depr'!AO507+Debt!AP507+Pat.!AF507+Rates!AM507</f>
        <v>13.475508800587582</v>
      </c>
      <c r="AT507" s="106">
        <f>+'Regulatory Charge'!AN507+Fuel!AN507+PCM!AO507+Interest!AN507+'O&amp;M'!AP507+'Capex &amp; Depr'!AP507+Debt!AQ507+Pat.!AG507+Rates!AN507</f>
        <v>16.684372065203583</v>
      </c>
      <c r="AU507" s="106">
        <f>+'Regulatory Charge'!AO507+Fuel!AO507+PCM!AP507+Interest!AO507+'O&amp;M'!AQ507+'Capex &amp; Depr'!AQ507+Debt!AR507+Pat.!AH507+Rates!AO507</f>
        <v>17.18490322715969</v>
      </c>
      <c r="AV507" s="106">
        <f>+'Regulatory Charge'!AP507+Fuel!AP507+PCM!AQ507+Interest!AP507+'O&amp;M'!AR507+'Capex &amp; Depr'!AR507+Debt!AS507+Pat.!AI507+Rates!AP507</f>
        <v>17.700450323974483</v>
      </c>
      <c r="AW507" s="106">
        <f>+'Regulatory Charge'!AQ507+Fuel!AQ507+PCM!AR507+Interest!AQ507+'O&amp;M'!AS507+'Capex &amp; Depr'!AS507+Debt!AT507+Pat.!AJ507+Rates!AQ507</f>
        <v>32.399478077154612</v>
      </c>
      <c r="AX507" s="106">
        <f>+'Regulatory Charge'!AR507+Fuel!AR507+PCM!AS507+Interest!AR507+'O&amp;M'!AT507+'Capex &amp; Depr'!AT507+Debt!AU507+Pat.!AK507+Rates!AR507</f>
        <v>33.371462419469253</v>
      </c>
      <c r="AY507" s="106">
        <f>+'Regulatory Charge'!AS507+Fuel!AS507+PCM!AT507+Interest!AS507+'O&amp;M'!AU507+'Capex &amp; Depr'!AU507+Debt!AV507+Pat.!AL507+Rates!AS507</f>
        <v>34.372606292053334</v>
      </c>
      <c r="AZ507" s="106">
        <f>+'Regulatory Charge'!AT507+Fuel!AT507+PCM!AU507+Interest!AT507+'O&amp;M'!AV507+'Capex &amp; Depr'!AV507+Debt!AW507+Pat.!AM507+Rates!AT507</f>
        <v>35.403784480814934</v>
      </c>
      <c r="BA507" s="106">
        <f>+'Regulatory Charge'!AU507+Fuel!AU507+PCM!AV507+Interest!AU507+'O&amp;M'!AW507+'Capex &amp; Depr'!AW507+Debt!AX507+Pat.!AN507+Rates!AU507</f>
        <v>36.465898015239382</v>
      </c>
      <c r="BB507" s="106">
        <f>+'Regulatory Charge'!AV507+Fuel!AV507+PCM!AW507+Interest!AV507+'O&amp;M'!AX507+'Capex &amp; Depr'!AX507+Debt!AY507+Pat.!AO507+Rates!AV507</f>
        <v>37.559874955696564</v>
      </c>
      <c r="BC507" s="106">
        <f>+'Regulatory Charge'!AW507+Fuel!AW507+PCM!AX507+Interest!AW507+'O&amp;M'!AY507+'Capex &amp; Depr'!AY507+Debt!AZ507+Pat.!AP507+Rates!AW507</f>
        <v>38.686671204367464</v>
      </c>
      <c r="BD507" s="106"/>
      <c r="BE507" s="106"/>
    </row>
    <row r="508" spans="1:57">
      <c r="A508" s="849">
        <v>512.11</v>
      </c>
      <c r="B508" s="847" t="s">
        <v>976</v>
      </c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224"/>
      <c r="S508" s="106">
        <f>+'Regulatory Charge'!M508+Fuel!M508+PCM!N508+Interest!M508+'O&amp;M'!O508+'Capex &amp; Depr'!O508+Debt!P508+Pat.!F508+Rates!M508</f>
        <v>0.17805219434249997</v>
      </c>
      <c r="T508" s="106">
        <f>+'Regulatory Charge'!N508+Fuel!N508+PCM!O508+Interest!N508+'O&amp;M'!P508+'Capex &amp; Depr'!P508+Debt!Q508+Pat.!G508+Rates!N508</f>
        <v>0.27232290059249997</v>
      </c>
      <c r="U508" s="106">
        <f>+'Regulatory Charge'!O508+Fuel!O508+PCM!P508+Interest!O508+'O&amp;M'!Q508+'Capex &amp; Depr'!Q508+Debt!R508+Pat.!H508+Rates!O508</f>
        <v>0.34184352734250006</v>
      </c>
      <c r="V508" s="106">
        <f>+'Regulatory Charge'!P508+Fuel!P508+PCM!Q508+Interest!P508+'O&amp;M'!R508+'Capex &amp; Depr'!R508+Debt!S508+Pat.!I508+Rates!P508</f>
        <v>0.34751239641750004</v>
      </c>
      <c r="W508" s="106">
        <f>+'Regulatory Charge'!Q508+Fuel!Q508+PCM!R508+Interest!Q508+'O&amp;M'!S508+'Capex &amp; Depr'!S508+Debt!T508+Pat.!J508+Rates!Q508</f>
        <v>1.3248337802174999</v>
      </c>
      <c r="X508" s="106">
        <f>+'Regulatory Charge'!R508+Fuel!R508+PCM!S508+Interest!R508+'O&amp;M'!T508+'Capex &amp; Depr'!T508+Debt!U508+Pat.!K508+Rates!R508</f>
        <v>0.49002156194500002</v>
      </c>
      <c r="Y508" s="106">
        <f>+'Regulatory Charge'!S508+Fuel!S508+PCM!T508+Interest!S508+'O&amp;M'!U508+'Capex &amp; Depr'!U508+Debt!V508+Pat.!L508+Rates!S508</f>
        <v>0.18793259052000003</v>
      </c>
      <c r="Z508" s="106">
        <f>+'Regulatory Charge'!T508+Fuel!T508+PCM!U508+Interest!T508+'O&amp;M'!V508+'Capex &amp; Depr'!V508+Debt!W508+Pat.!M508+Rates!T508</f>
        <v>0.14077010742250001</v>
      </c>
      <c r="AA508" s="106">
        <f>+'Regulatory Charge'!U508+Fuel!U508+PCM!V508+Interest!U508+'O&amp;M'!W508+'Capex &amp; Depr'!W508+Debt!X508+Pat.!N508+Rates!U508</f>
        <v>0.31064968104750001</v>
      </c>
      <c r="AB508" s="106">
        <f>+'Regulatory Charge'!V508+Fuel!V508+PCM!W508+Interest!V508+'O&amp;M'!X508+'Capex &amp; Depr'!X508+Debt!Y508+Pat.!O508+Rates!V508</f>
        <v>0.20428206842249999</v>
      </c>
      <c r="AC508" s="106">
        <f>+'Regulatory Charge'!W508+Fuel!W508+PCM!X508+Interest!W508+'O&amp;M'!Y508+'Capex &amp; Depr'!Y508+Debt!Z508+Pat.!P508+Rates!W508</f>
        <v>9.1428415047500003E-2</v>
      </c>
      <c r="AD508" s="106">
        <f>+'Regulatory Charge'!X508+Fuel!X508+PCM!Y508+Interest!X508+'O&amp;M'!Z508+'Capex &amp; Depr'!Z508+Debt!AA508+Pat.!Q508+Rates!X508</f>
        <v>6.7787300847500009E-2</v>
      </c>
      <c r="AE508" s="224">
        <f t="shared" si="6"/>
        <v>3.9574365241649998</v>
      </c>
      <c r="AF508" s="106">
        <f>+'Regulatory Charge'!Z508+Fuel!Z508+PCM!AA508+Interest!Z508+'O&amp;M'!AB508+'Capex &amp; Depr'!AB508+Debt!AC508+Pat.!S508+Rates!Z508</f>
        <v>6.8260988207612491E-2</v>
      </c>
      <c r="AG508" s="106">
        <f>+'Regulatory Charge'!AA508+Fuel!AA508+PCM!AB508+Interest!AA508+'O&amp;M'!AC508+'Capex &amp; Depr'!AC508+Debt!AD508+Pat.!T508+Rates!AA508</f>
        <v>0.1245427544576125</v>
      </c>
      <c r="AH508" s="106">
        <f>+'Regulatory Charge'!AB508+Fuel!AB508+PCM!AC508+Interest!AB508+'O&amp;M'!AD508+'Capex &amp; Depr'!AD508+Debt!AE508+Pat.!U508+Rates!AB508</f>
        <v>0.17201272120761249</v>
      </c>
      <c r="AI508" s="106">
        <f>+'Regulatory Charge'!AC508+Fuel!AC508+PCM!AD508+Interest!AC508+'O&amp;M'!AE508+'Capex &amp; Depr'!AE508+Debt!AF508+Pat.!V508+Rates!AC508</f>
        <v>6.0661370282612495E-2</v>
      </c>
      <c r="AJ508" s="106">
        <f>+'Regulatory Charge'!AD508+Fuel!AD508+PCM!AE508+Interest!AD508+'O&amp;M'!AF508+'Capex &amp; Depr'!AF508+Debt!AG508+Pat.!W508+Rates!AD508</f>
        <v>0.19859715408261244</v>
      </c>
      <c r="AK508" s="106">
        <f>+'Regulatory Charge'!AE508+Fuel!AE508+PCM!AF508+Interest!AE508+'O&amp;M'!AG508+'Capex &amp; Depr'!AG508+Debt!AH508+Pat.!X508+Rates!AE508</f>
        <v>0.26016629955370002</v>
      </c>
      <c r="AL508" s="106">
        <f>+'Regulatory Charge'!AF508+Fuel!AF508+PCM!AG508+Interest!AF508+'O&amp;M'!AH508+'Capex &amp; Depr'!AH508+Debt!AI508+Pat.!Y508+Rates!AF508</f>
        <v>5.4999868128699995E-2</v>
      </c>
      <c r="AM508" s="106">
        <f>+'Regulatory Charge'!AG508+Fuel!AG508+PCM!AH508+Interest!AG508+'O&amp;M'!AI508+'Capex &amp; Depr'!AI508+Debt!AJ508+Pat.!Z508+Rates!AG508</f>
        <v>5.05327487747875E-2</v>
      </c>
      <c r="AN508" s="106">
        <f>+'Regulatory Charge'!AH508+Fuel!AH508+PCM!AI508+Interest!AH508+'O&amp;M'!AJ508+'Capex &amp; Depr'!AJ508+Debt!AK508+Pat.!AA508+Rates!AH508</f>
        <v>9.64792723997875E-2</v>
      </c>
      <c r="AO508" s="106">
        <f>+'Regulatory Charge'!AI508+Fuel!AI508+PCM!AJ508+Interest!AI508+'O&amp;M'!AK508+'Capex &amp; Depr'!AK508+Debt!AL508+Pat.!AB508+Rates!AI508</f>
        <v>6.2689399774787491E-2</v>
      </c>
      <c r="AP508" s="106">
        <f>+'Regulatory Charge'!AJ508+Fuel!AJ508+PCM!AK508+Interest!AJ508+'O&amp;M'!AL508+'Capex &amp; Depr'!AL508+Debt!AM508+Pat.!AC508+Rates!AJ508</f>
        <v>6.9539546399787502E-2</v>
      </c>
      <c r="AQ508" s="106">
        <f>+'Regulatory Charge'!AK508+Fuel!AK508+PCM!AL508+Interest!AK508+'O&amp;M'!AM508+'Capex &amp; Depr'!AM508+Debt!AN508+Pat.!AD508+Rates!AK508</f>
        <v>7.16333321997875E-2</v>
      </c>
      <c r="AR508" s="224">
        <f t="shared" si="7"/>
        <v>1.2901154554693999</v>
      </c>
      <c r="AS508" s="106">
        <f>+'Regulatory Charge'!AM508+Fuel!AM508+PCM!AN508+Interest!AM508+'O&amp;M'!AO508+'Capex &amp; Depr'!AO508+Debt!AP508+Pat.!AF508+Rates!AM508</f>
        <v>2.1509034614608287</v>
      </c>
      <c r="AT508" s="106">
        <f>+'Regulatory Charge'!AN508+Fuel!AN508+PCM!AO508+Interest!AN508+'O&amp;M'!AP508+'Capex &amp; Depr'!AP508+Debt!AQ508+Pat.!AG508+Rates!AN508</f>
        <v>1.3664023294046539</v>
      </c>
      <c r="AU508" s="106">
        <f>+'Regulatory Charge'!AO508+Fuel!AO508+PCM!AP508+Interest!AO508+'O&amp;M'!AQ508+'Capex &amp; Depr'!AQ508+Debt!AR508+Pat.!AH508+Rates!AO508</f>
        <v>1.4073943992867934</v>
      </c>
      <c r="AV508" s="106">
        <f>+'Regulatory Charge'!AP508+Fuel!AP508+PCM!AQ508+Interest!AP508+'O&amp;M'!AR508+'Capex &amp; Depr'!AR508+Debt!AS508+Pat.!AI508+Rates!AP508</f>
        <v>1.4496162312653973</v>
      </c>
      <c r="AW508" s="106">
        <f>+'Regulatory Charge'!AQ508+Fuel!AQ508+PCM!AR508+Interest!AQ508+'O&amp;M'!AS508+'Capex &amp; Depr'!AS508+Debt!AT508+Pat.!AJ508+Rates!AQ508</f>
        <v>1.4931047182033592</v>
      </c>
      <c r="AX508" s="106">
        <f>+'Regulatory Charge'!AR508+Fuel!AR508+PCM!AS508+Interest!AR508+'O&amp;M'!AT508+'Capex &amp; Depr'!AT508+Debt!AU508+Pat.!AK508+Rates!AR508</f>
        <v>1.5378978597494601</v>
      </c>
      <c r="AY508" s="106">
        <f>+'Regulatory Charge'!AS508+Fuel!AS508+PCM!AT508+Interest!AS508+'O&amp;M'!AU508+'Capex &amp; Depr'!AU508+Debt!AV508+Pat.!AL508+Rates!AS508</f>
        <v>1.584034795541944</v>
      </c>
      <c r="AZ508" s="106">
        <f>+'Regulatory Charge'!AT508+Fuel!AT508+PCM!AU508+Interest!AT508+'O&amp;M'!AV508+'Capex &amp; Depr'!AV508+Debt!AW508+Pat.!AM508+Rates!AT508</f>
        <v>1.6315558394082024</v>
      </c>
      <c r="BA508" s="106">
        <f>+'Regulatory Charge'!AU508+Fuel!AU508+PCM!AV508+Interest!AU508+'O&amp;M'!AW508+'Capex &amp; Depr'!AW508+Debt!AX508+Pat.!AN508+Rates!AU508</f>
        <v>1.6805025145904484</v>
      </c>
      <c r="BB508" s="106">
        <f>+'Regulatory Charge'!AV508+Fuel!AV508+PCM!AW508+Interest!AV508+'O&amp;M'!AX508+'Capex &amp; Depr'!AX508+Debt!AY508+Pat.!AO508+Rates!AV508</f>
        <v>1.7309175900281619</v>
      </c>
      <c r="BC508" s="106">
        <f>+'Regulatory Charge'!AW508+Fuel!AW508+PCM!AX508+Interest!AW508+'O&amp;M'!AY508+'Capex &amp; Depr'!AY508+Debt!AZ508+Pat.!AP508+Rates!AW508</f>
        <v>1.7828451177290068</v>
      </c>
      <c r="BD508" s="106"/>
      <c r="BE508" s="106"/>
    </row>
    <row r="509" spans="1:57">
      <c r="A509" s="849" t="s">
        <v>741</v>
      </c>
      <c r="B509" s="846" t="s">
        <v>977</v>
      </c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224"/>
      <c r="S509" s="106">
        <f>+'Regulatory Charge'!M509+Fuel!M509+PCM!N509+Interest!M509+'O&amp;M'!O509+'Capex &amp; Depr'!O509+Debt!P509+Pat.!F509+Rates!M509</f>
        <v>0.14602875479137273</v>
      </c>
      <c r="T509" s="106">
        <f>+'Regulatory Charge'!N509+Fuel!N509+PCM!O509+Interest!N509+'O&amp;M'!P509+'Capex &amp; Depr'!P509+Debt!Q509+Pat.!G509+Rates!N509</f>
        <v>0.14112846100642731</v>
      </c>
      <c r="U509" s="106">
        <f>+'Regulatory Charge'!O509+Fuel!O509+PCM!P509+Interest!O509+'O&amp;M'!Q509+'Capex &amp; Depr'!Q509+Debt!R509+Pat.!H509+Rates!O509</f>
        <v>0.15045255725179107</v>
      </c>
      <c r="V509" s="106">
        <f>+'Regulatory Charge'!P509+Fuel!P509+PCM!Q509+Interest!P509+'O&amp;M'!R509+'Capex &amp; Depr'!R509+Debt!S509+Pat.!I509+Rates!P509</f>
        <v>0.14365792563396826</v>
      </c>
      <c r="W509" s="106">
        <f>+'Regulatory Charge'!Q509+Fuel!Q509+PCM!R509+Interest!Q509+'O&amp;M'!S509+'Capex &amp; Depr'!S509+Debt!T509+Pat.!J509+Rates!Q509</f>
        <v>0.16285212679153085</v>
      </c>
      <c r="X509" s="106">
        <f>+'Regulatory Charge'!R509+Fuel!R509+PCM!S509+Interest!R509+'O&amp;M'!T509+'Capex &amp; Depr'!T509+Debt!U509+Pat.!K509+Rates!R509</f>
        <v>0.13200998571770053</v>
      </c>
      <c r="Y509" s="106">
        <f>+'Regulatory Charge'!S509+Fuel!S509+PCM!T509+Interest!S509+'O&amp;M'!U509+'Capex &amp; Depr'!U509+Debt!V509+Pat.!L509+Rates!S509</f>
        <v>0.14365792563396826</v>
      </c>
      <c r="Z509" s="106">
        <f>+'Regulatory Charge'!T509+Fuel!T509+PCM!U509+Interest!T509+'O&amp;M'!V509+'Capex &amp; Depr'!V509+Debt!W509+Pat.!M509+Rates!T509</f>
        <v>0.15239388057116904</v>
      </c>
      <c r="AA509" s="106">
        <f>+'Regulatory Charge'!U509+Fuel!U509+PCM!V509+Interest!U509+'O&amp;M'!W509+'Capex &amp; Depr'!W509+Debt!X509+Pat.!N509+Rates!U509</f>
        <v>0.13431349845714613</v>
      </c>
      <c r="AB509" s="106">
        <f>+'Regulatory Charge'!V509+Fuel!V509+PCM!W509+Interest!V509+'O&amp;M'!X509+'Capex &amp; Depr'!X509+Debt!Y509+Pat.!O509+Rates!V509</f>
        <v>0.15900347979118037</v>
      </c>
      <c r="AC509" s="106">
        <f>+'Regulatory Charge'!W509+Fuel!W509+PCM!X509+Interest!W509+'O&amp;M'!Y509+'Capex &amp; Depr'!Y509+Debt!Z509+Pat.!P509+Rates!W509</f>
        <v>0.1323382999504234</v>
      </c>
      <c r="AD509" s="106">
        <f>+'Regulatory Charge'!X509+Fuel!X509+PCM!Y509+Interest!X509+'O&amp;M'!Z509+'Capex &amp; Depr'!Z509+Debt!AA509+Pat.!Q509+Rates!X509</f>
        <v>8.6855492197870351E-2</v>
      </c>
      <c r="AE509" s="224">
        <f t="shared" ref="AE509:AE537" si="8">SUM(S509:AD509)</f>
        <v>1.6846923877945483</v>
      </c>
      <c r="AF509" s="106">
        <f>+'Regulatory Charge'!Z509+Fuel!Z509+PCM!AA509+Interest!Z509+'O&amp;M'!AB509+'Capex &amp; Depr'!AB509+Debt!AC509+Pat.!S509+Rates!Z509</f>
        <v>9.1127927936151751E-2</v>
      </c>
      <c r="AG509" s="106">
        <f>+'Regulatory Charge'!AA509+Fuel!AA509+PCM!AB509+Interest!AA509+'O&amp;M'!AC509+'Capex &amp; Depr'!AC509+Debt!AD509+Pat.!T509+Rates!AA509</f>
        <v>8.8069943777220494E-2</v>
      </c>
      <c r="AH509" s="106">
        <f>+'Regulatory Charge'!AB509+Fuel!AB509+PCM!AC509+Interest!AB509+'O&amp;M'!AD509+'Capex &amp; Depr'!AD509+Debt!AE509+Pat.!U509+Rates!AB509</f>
        <v>0.10400801926606527</v>
      </c>
      <c r="AI509" s="106">
        <f>+'Regulatory Charge'!AC509+Fuel!AC509+PCM!AD509+Interest!AC509+'O&amp;M'!AE509+'Capex &amp; Depr'!AE509+Debt!AF509+Pat.!V509+Rates!AC509</f>
        <v>9.846236631200761E-2</v>
      </c>
      <c r="AJ509" s="106">
        <f>+'Regulatory Charge'!AD509+Fuel!AD509+PCM!AE509+Interest!AD509+'O&amp;M'!AF509+'Capex &amp; Depr'!AF509+Debt!AG509+Pat.!W509+Rates!AD509</f>
        <v>0.10381067447273298</v>
      </c>
      <c r="AK509" s="106">
        <f>+'Regulatory Charge'!AE509+Fuel!AE509+PCM!AF509+Interest!AE509+'O&amp;M'!AG509+'Capex &amp; Depr'!AG509+Debt!AH509+Pat.!X509+Rates!AE509</f>
        <v>8.1869879097830306E-2</v>
      </c>
      <c r="AL509" s="106">
        <f>+'Regulatory Charge'!AF509+Fuel!AF509+PCM!AG509+Interest!AF509+'O&amp;M'!AH509+'Capex &amp; Depr'!AH509+Debt!AI509+Pat.!Y509+Rates!AF509</f>
        <v>8.9093691959403559E-2</v>
      </c>
      <c r="AM509" s="106">
        <f>+'Regulatory Charge'!AG509+Fuel!AG509+PCM!AH509+Interest!AG509+'O&amp;M'!AI509+'Capex &amp; Depr'!AI509+Debt!AJ509+Pat.!Z509+Rates!AG509</f>
        <v>9.4511551605583499E-2</v>
      </c>
      <c r="AN509" s="106">
        <f>+'Regulatory Charge'!AH509+Fuel!AH509+PCM!AI509+Interest!AH509+'O&amp;M'!AJ509+'Capex &amp; Depr'!AJ509+Debt!AK509+Pat.!AA509+Rates!AH509</f>
        <v>8.3251987334570496E-2</v>
      </c>
      <c r="AO509" s="106">
        <f>+'Regulatory Charge'!AI509+Fuel!AI509+PCM!AJ509+Interest!AI509+'O&amp;M'!AK509+'Capex &amp; Depr'!AK509+Debt!AL509+Pat.!AB509+Rates!AI509</f>
        <v>9.8555661476954784E-2</v>
      </c>
      <c r="AP509" s="106">
        <f>+'Regulatory Charge'!AJ509+Fuel!AJ509+PCM!AK509+Interest!AJ509+'O&amp;M'!AL509+'Capex &amp; Depr'!AL509+Debt!AM509+Pat.!AC509+Rates!AJ509</f>
        <v>8.2027693403179766E-2</v>
      </c>
      <c r="AQ509" s="106">
        <f>+'Regulatory Charge'!AK509+Fuel!AK509+PCM!AL509+Interest!AK509+'O&amp;M'!AM509+'Capex &amp; Depr'!AM509+Debt!AN509+Pat.!AD509+Rates!AK509</f>
        <v>8.5832642729135933E-2</v>
      </c>
      <c r="AR509" s="224">
        <f t="shared" ref="AR509:AR537" si="9">SUM(AF509:AQ509)</f>
        <v>1.1006220393708364</v>
      </c>
      <c r="AS509" s="106">
        <f>+'Regulatory Charge'!AM509+Fuel!AM509+PCM!AN509+Interest!AM509+'O&amp;M'!AO509+'Capex &amp; Depr'!AO509+Debt!AP509+Pat.!AF509+Rates!AM509</f>
        <v>1.1242674697796078</v>
      </c>
      <c r="AT509" s="106">
        <f>+'Regulatory Charge'!AN509+Fuel!AN509+PCM!AO509+Interest!AN509+'O&amp;M'!AP509+'Capex &amp; Depr'!AP509+Debt!AQ509+Pat.!AG509+Rates!AN509</f>
        <v>1.156854430370982</v>
      </c>
      <c r="AU509" s="106">
        <f>+'Regulatory Charge'!AO509+Fuel!AO509+PCM!AP509+Interest!AO509+'O&amp;M'!AQ509+'Capex &amp; Depr'!AQ509+Debt!AR509+Pat.!AH509+Rates!AO509</f>
        <v>1.1915600632821115</v>
      </c>
      <c r="AV509" s="106">
        <f>+'Regulatory Charge'!AP509+Fuel!AP509+PCM!AQ509+Interest!AP509+'O&amp;M'!AR509+'Capex &amp; Depr'!AR509+Debt!AS509+Pat.!AI509+Rates!AP509</f>
        <v>1.227306865180575</v>
      </c>
      <c r="AW509" s="106">
        <f>+'Regulatory Charge'!AQ509+Fuel!AQ509+PCM!AR509+Interest!AQ509+'O&amp;M'!AS509+'Capex &amp; Depr'!AS509+Debt!AT509+Pat.!AJ509+Rates!AQ509</f>
        <v>1.2641260711359923</v>
      </c>
      <c r="AX509" s="106">
        <f>+'Regulatory Charge'!AR509+Fuel!AR509+PCM!AS509+Interest!AR509+'O&amp;M'!AT509+'Capex &amp; Depr'!AT509+Debt!AU509+Pat.!AK509+Rates!AR509</f>
        <v>1.3020498532700722</v>
      </c>
      <c r="AY509" s="106">
        <f>+'Regulatory Charge'!AS509+Fuel!AS509+PCM!AT509+Interest!AS509+'O&amp;M'!AU509+'Capex &amp; Depr'!AU509+Debt!AV509+Pat.!AL509+Rates!AS509</f>
        <v>1.3411113488681743</v>
      </c>
      <c r="AZ509" s="106">
        <f>+'Regulatory Charge'!AT509+Fuel!AT509+PCM!AU509+Interest!AT509+'O&amp;M'!AV509+'Capex &amp; Depr'!AV509+Debt!AW509+Pat.!AM509+Rates!AT509</f>
        <v>1.3813446893342196</v>
      </c>
      <c r="BA509" s="106">
        <f>+'Regulatory Charge'!AU509+Fuel!AU509+PCM!AV509+Interest!AU509+'O&amp;M'!AW509+'Capex &amp; Depr'!AW509+Debt!AX509+Pat.!AN509+Rates!AU509</f>
        <v>1.4227850300142462</v>
      </c>
      <c r="BB509" s="106">
        <f>+'Regulatory Charge'!AV509+Fuel!AV509+PCM!AW509+Interest!AV509+'O&amp;M'!AX509+'Capex &amp; Depr'!AX509+Debt!AY509+Pat.!AO509+Rates!AV509</f>
        <v>1.4654685809146737</v>
      </c>
      <c r="BC509" s="106">
        <f>+'Regulatory Charge'!AW509+Fuel!AW509+PCM!AX509+Interest!AW509+'O&amp;M'!AY509+'Capex &amp; Depr'!AY509+Debt!AZ509+Pat.!AP509+Rates!AW509</f>
        <v>1.5094326383421139</v>
      </c>
      <c r="BD509" s="106"/>
      <c r="BE509" s="106"/>
    </row>
    <row r="510" spans="1:57">
      <c r="A510" s="849">
        <v>513.1</v>
      </c>
      <c r="B510" s="846" t="s">
        <v>977</v>
      </c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224"/>
      <c r="S510" s="106">
        <f>+'Regulatory Charge'!M510+Fuel!M510+PCM!N510+Interest!M510+'O&amp;M'!O510+'Capex &amp; Depr'!O510+Debt!P510+Pat.!F510+Rates!M510</f>
        <v>0.16298555852386984</v>
      </c>
      <c r="T510" s="106">
        <f>+'Regulatory Charge'!N510+Fuel!N510+PCM!O510+Interest!N510+'O&amp;M'!P510+'Capex &amp; Depr'!P510+Debt!Q510+Pat.!G510+Rates!N510</f>
        <v>0.20844244939489268</v>
      </c>
      <c r="U510" s="106">
        <f>+'Regulatory Charge'!O510+Fuel!O510+PCM!P510+Interest!O510+'O&amp;M'!Q510+'Capex &amp; Depr'!Q510+Debt!R510+Pat.!H510+Rates!O510</f>
        <v>0.24724324683001844</v>
      </c>
      <c r="V510" s="106">
        <f>+'Regulatory Charge'!P510+Fuel!P510+PCM!Q510+Interest!P510+'O&amp;M'!R510+'Capex &amp; Depr'!R510+Debt!S510+Pat.!I510+Rates!P510</f>
        <v>0.36391942782860692</v>
      </c>
      <c r="W510" s="106">
        <f>+'Regulatory Charge'!Q510+Fuel!Q510+PCM!R510+Interest!Q510+'O&amp;M'!S510+'Capex &amp; Depr'!S510+Debt!T510+Pat.!J510+Rates!Q510</f>
        <v>0.51653216227068022</v>
      </c>
      <c r="X510" s="106">
        <f>+'Regulatory Charge'!R510+Fuel!R510+PCM!S510+Interest!R510+'O&amp;M'!T510+'Capex &amp; Depr'!T510+Debt!U510+Pat.!K510+Rates!R510</f>
        <v>0.19216107828510259</v>
      </c>
      <c r="Y510" s="106">
        <f>+'Regulatory Charge'!S510+Fuel!S510+PCM!T510+Interest!S510+'O&amp;M'!U510+'Capex &amp; Depr'!U510+Debt!V510+Pat.!L510+Rates!S510</f>
        <v>0.23043925652174052</v>
      </c>
      <c r="Z510" s="106">
        <f>+'Regulatory Charge'!T510+Fuel!T510+PCM!U510+Interest!T510+'O&amp;M'!V510+'Capex &amp; Depr'!V510+Debt!W510+Pat.!M510+Rates!T510</f>
        <v>0.2255007302392793</v>
      </c>
      <c r="AA510" s="106">
        <f>+'Regulatory Charge'!U510+Fuel!U510+PCM!V510+Interest!U510+'O&amp;M'!W510+'Capex &amp; Depr'!W510+Debt!X510+Pat.!N510+Rates!U510</f>
        <v>0.21638120611241854</v>
      </c>
      <c r="AB510" s="106">
        <f>+'Regulatory Charge'!V510+Fuel!V510+PCM!W510+Interest!V510+'O&amp;M'!X510+'Capex &amp; Depr'!X510+Debt!Y510+Pat.!O510+Rates!V510</f>
        <v>0.3037655356878311</v>
      </c>
      <c r="AC510" s="106">
        <f>+'Regulatory Charge'!W510+Fuel!W510+PCM!X510+Interest!W510+'O&amp;M'!Y510+'Capex &amp; Depr'!Y510+Debt!Z510+Pat.!P510+Rates!W510</f>
        <v>0.18261122693770607</v>
      </c>
      <c r="AD510" s="106">
        <f>+'Regulatory Charge'!X510+Fuel!X510+PCM!Y510+Interest!X510+'O&amp;M'!Z510+'Capex &amp; Depr'!Z510+Debt!AA510+Pat.!Q510+Rates!X510</f>
        <v>0.12795571895682675</v>
      </c>
      <c r="AE510" s="224">
        <f t="shared" si="8"/>
        <v>2.9779375975889728</v>
      </c>
      <c r="AF510" s="106">
        <f>+'Regulatory Charge'!Z510+Fuel!Z510+PCM!AA510+Interest!Z510+'O&amp;M'!AB510+'Capex &amp; Depr'!AB510+Debt!AC510+Pat.!S510+Rates!Z510</f>
        <v>0.15953823605857326</v>
      </c>
      <c r="AG510" s="106">
        <f>+'Regulatory Charge'!AA510+Fuel!AA510+PCM!AB510+Interest!AA510+'O&amp;M'!AC510+'Capex &amp; Depr'!AC510+Debt!AD510+Pat.!T510+Rates!AA510</f>
        <v>0.16025465481126777</v>
      </c>
      <c r="AH510" s="106">
        <f>+'Regulatory Charge'!AB510+Fuel!AB510+PCM!AC510+Interest!AB510+'O&amp;M'!AD510+'Capex &amp; Depr'!AD510+Debt!AE510+Pat.!U510+Rates!AB510</f>
        <v>0.63513391910461414</v>
      </c>
      <c r="AI510" s="106">
        <f>+'Regulatory Charge'!AC510+Fuel!AC510+PCM!AD510+Interest!AC510+'O&amp;M'!AE510+'Capex &amp; Depr'!AE510+Debt!AF510+Pat.!V510+Rates!AC510</f>
        <v>0.94352115699121153</v>
      </c>
      <c r="AJ510" s="106">
        <f>+'Regulatory Charge'!AD510+Fuel!AD510+PCM!AE510+Interest!AD510+'O&amp;M'!AF510+'Capex &amp; Depr'!AF510+Debt!AG510+Pat.!W510+Rates!AD510</f>
        <v>0.43220541559767384</v>
      </c>
      <c r="AK510" s="106">
        <f>+'Regulatory Charge'!AE510+Fuel!AE510+PCM!AF510+Interest!AE510+'O&amp;M'!AG510+'Capex &amp; Depr'!AG510+Debt!AH510+Pat.!X510+Rates!AE510</f>
        <v>0.1500749135457522</v>
      </c>
      <c r="AL510" s="106">
        <f>+'Regulatory Charge'!AF510+Fuel!AF510+PCM!AG510+Interest!AF510+'O&amp;M'!AH510+'Capex &amp; Depr'!AH510+Debt!AI510+Pat.!Y510+Rates!AF510</f>
        <v>0.19191532519085702</v>
      </c>
      <c r="AM510" s="106">
        <f>+'Regulatory Charge'!AG510+Fuel!AG510+PCM!AH510+Interest!AG510+'O&amp;M'!AI510+'Capex &amp; Depr'!AI510+Debt!AJ510+Pat.!Z510+Rates!AG510</f>
        <v>0.20779598121705517</v>
      </c>
      <c r="AN510" s="106">
        <f>+'Regulatory Charge'!AH510+Fuel!AH510+PCM!AI510+Interest!AH510+'O&amp;M'!AJ510+'Capex &amp; Depr'!AJ510+Debt!AK510+Pat.!AA510+Rates!AH510</f>
        <v>0.23025177817205361</v>
      </c>
      <c r="AO510" s="106">
        <f>+'Regulatory Charge'!AI510+Fuel!AI510+PCM!AJ510+Interest!AI510+'O&amp;M'!AK510+'Capex &amp; Depr'!AK510+Debt!AL510+Pat.!AB510+Rates!AI510</f>
        <v>0.29497008027129307</v>
      </c>
      <c r="AP510" s="106">
        <f>+'Regulatory Charge'!AJ510+Fuel!AJ510+PCM!AK510+Interest!AJ510+'O&amp;M'!AL510+'Capex &amp; Depr'!AL510+Debt!AM510+Pat.!AC510+Rates!AJ510</f>
        <v>0.21298455813516878</v>
      </c>
      <c r="AQ510" s="106">
        <f>+'Regulatory Charge'!AK510+Fuel!AK510+PCM!AL510+Interest!AK510+'O&amp;M'!AM510+'Capex &amp; Depr'!AM510+Debt!AN510+Pat.!AD510+Rates!AK510</f>
        <v>0.13543072639071363</v>
      </c>
      <c r="AR510" s="224">
        <f t="shared" si="9"/>
        <v>3.754076745486234</v>
      </c>
      <c r="AS510" s="106">
        <f>+'Regulatory Charge'!AM510+Fuel!AM510+PCM!AN510+Interest!AM510+'O&amp;M'!AO510+'Capex &amp; Depr'!AO510+Debt!AP510+Pat.!AF510+Rates!AM510</f>
        <v>3.3488333570544819</v>
      </c>
      <c r="AT510" s="106">
        <f>+'Regulatory Charge'!AN510+Fuel!AN510+PCM!AO510+Interest!AN510+'O&amp;M'!AP510+'Capex &amp; Depr'!AP510+Debt!AQ510+Pat.!AG510+Rates!AN510</f>
        <v>4.3939622707959698</v>
      </c>
      <c r="AU510" s="106">
        <f>+'Regulatory Charge'!AO510+Fuel!AO510+PCM!AP510+Interest!AO510+'O&amp;M'!AQ510+'Capex &amp; Depr'!AQ510+Debt!AR510+Pat.!AH510+Rates!AO510</f>
        <v>4.5257811389198492</v>
      </c>
      <c r="AV510" s="106">
        <f>+'Regulatory Charge'!AP510+Fuel!AP510+PCM!AQ510+Interest!AP510+'O&amp;M'!AR510+'Capex &amp; Depr'!AR510+Debt!AS510+Pat.!AI510+Rates!AP510</f>
        <v>4.6615545730874448</v>
      </c>
      <c r="AW510" s="106">
        <f>+'Regulatory Charge'!AQ510+Fuel!AQ510+PCM!AR510+Interest!AQ510+'O&amp;M'!AS510+'Capex &amp; Depr'!AS510+Debt!AT510+Pat.!AJ510+Rates!AQ510</f>
        <v>4.8014012102800683</v>
      </c>
      <c r="AX510" s="106">
        <f>+'Regulatory Charge'!AR510+Fuel!AR510+PCM!AS510+Interest!AR510+'O&amp;M'!AT510+'Capex &amp; Depr'!AT510+Debt!AU510+Pat.!AK510+Rates!AR510</f>
        <v>4.9454432465884706</v>
      </c>
      <c r="AY510" s="106">
        <f>+'Regulatory Charge'!AS510+Fuel!AS510+PCM!AT510+Interest!AS510+'O&amp;M'!AU510+'Capex &amp; Depr'!AU510+Debt!AV510+Pat.!AL510+Rates!AS510</f>
        <v>5.0938065439861244</v>
      </c>
      <c r="AZ510" s="106">
        <f>+'Regulatory Charge'!AT510+Fuel!AT510+PCM!AU510+Interest!AT510+'O&amp;M'!AV510+'Capex &amp; Depr'!AV510+Debt!AW510+Pat.!AM510+Rates!AT510</f>
        <v>5.2466207403057084</v>
      </c>
      <c r="BA510" s="106">
        <f>+'Regulatory Charge'!AU510+Fuel!AU510+PCM!AV510+Interest!AU510+'O&amp;M'!AW510+'Capex &amp; Depr'!AW510+Debt!AX510+Pat.!AN510+Rates!AU510</f>
        <v>5.4040193625148794</v>
      </c>
      <c r="BB510" s="106">
        <f>+'Regulatory Charge'!AV510+Fuel!AV510+PCM!AW510+Interest!AV510+'O&amp;M'!AX510+'Capex &amp; Depr'!AX510+Debt!AY510+Pat.!AO510+Rates!AV510</f>
        <v>5.5661399433903256</v>
      </c>
      <c r="BC510" s="106">
        <f>+'Regulatory Charge'!AW510+Fuel!AW510+PCM!AX510+Interest!AW510+'O&amp;M'!AY510+'Capex &amp; Depr'!AY510+Debt!AZ510+Pat.!AP510+Rates!AW510</f>
        <v>5.7331241416920351</v>
      </c>
      <c r="BD510" s="106"/>
      <c r="BE510" s="106"/>
    </row>
    <row r="511" spans="1:57">
      <c r="A511" s="849">
        <v>514.1</v>
      </c>
      <c r="B511" s="846" t="s">
        <v>978</v>
      </c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224"/>
      <c r="S511" s="106">
        <f>+'Regulatory Charge'!M511+Fuel!M511+PCM!N511+Interest!M511+'O&amp;M'!O511+'Capex &amp; Depr'!O511+Debt!P511+Pat.!F511+Rates!M511</f>
        <v>7.5289400000000015E-4</v>
      </c>
      <c r="T511" s="106">
        <f>+'Regulatory Charge'!N511+Fuel!N511+PCM!O511+Interest!N511+'O&amp;M'!P511+'Capex &amp; Depr'!P511+Debt!Q511+Pat.!G511+Rates!N511</f>
        <v>7.5289400000000015E-4</v>
      </c>
      <c r="U511" s="106">
        <f>+'Regulatory Charge'!O511+Fuel!O511+PCM!P511+Interest!O511+'O&amp;M'!Q511+'Capex &amp; Depr'!Q511+Debt!R511+Pat.!H511+Rates!O511</f>
        <v>7.7098200000000013E-4</v>
      </c>
      <c r="V511" s="106">
        <f>+'Regulatory Charge'!P511+Fuel!P511+PCM!Q511+Interest!P511+'O&amp;M'!R511+'Capex &amp; Depr'!R511+Debt!S511+Pat.!I511+Rates!P511</f>
        <v>7.7991200000000012E-4</v>
      </c>
      <c r="W511" s="106">
        <f>+'Regulatory Charge'!Q511+Fuel!Q511+PCM!R511+Interest!Q511+'O&amp;M'!S511+'Capex &amp; Depr'!S511+Debt!T511+Pat.!J511+Rates!Q511</f>
        <v>7.3070200000000007E-4</v>
      </c>
      <c r="X511" s="106">
        <f>+'Regulatory Charge'!R511+Fuel!R511+PCM!S511+Interest!R511+'O&amp;M'!T511+'Capex &amp; Depr'!T511+Debt!U511+Pat.!K511+Rates!R511</f>
        <v>7.5084200000000005E-4</v>
      </c>
      <c r="Y511" s="106">
        <f>+'Regulatory Charge'!S511+Fuel!S511+PCM!T511+Interest!S511+'O&amp;M'!U511+'Capex &amp; Depr'!U511+Debt!V511+Pat.!L511+Rates!S511</f>
        <v>7.5084200000000005E-4</v>
      </c>
      <c r="Z511" s="106">
        <f>+'Regulatory Charge'!T511+Fuel!T511+PCM!U511+Interest!T511+'O&amp;M'!V511+'Capex &amp; Depr'!V511+Debt!W511+Pat.!M511+Rates!T511</f>
        <v>7.3070200000000007E-4</v>
      </c>
      <c r="AA511" s="106">
        <f>+'Regulatory Charge'!U511+Fuel!U511+PCM!V511+Interest!U511+'O&amp;M'!W511+'Capex &amp; Depr'!W511+Debt!X511+Pat.!N511+Rates!U511</f>
        <v>7.7098200000000013E-4</v>
      </c>
      <c r="AB511" s="106">
        <f>+'Regulatory Charge'!V511+Fuel!V511+PCM!W511+Interest!V511+'O&amp;M'!X511+'Capex &amp; Depr'!X511+Debt!Y511+Pat.!O511+Rates!V511</f>
        <v>7.3070200000000007E-4</v>
      </c>
      <c r="AC511" s="106">
        <f>+'Regulatory Charge'!W511+Fuel!W511+PCM!X511+Interest!W511+'O&amp;M'!Y511+'Capex &amp; Depr'!Y511+Debt!Z511+Pat.!P511+Rates!W511</f>
        <v>7.3070200000000007E-4</v>
      </c>
      <c r="AD511" s="106">
        <f>+'Regulatory Charge'!X511+Fuel!X511+PCM!Y511+Interest!X511+'O&amp;M'!Z511+'Capex &amp; Depr'!Z511+Debt!AA511+Pat.!Q511+Rates!X511</f>
        <v>7.51032E-4</v>
      </c>
      <c r="AE511" s="224">
        <f t="shared" si="8"/>
        <v>9.0031880000000005E-3</v>
      </c>
      <c r="AF511" s="106">
        <f>+'Regulatory Charge'!Z511+Fuel!Z511+PCM!AA511+Interest!Z511+'O&amp;M'!AB511+'Capex &amp; Depr'!AB511+Debt!AC511+Pat.!S511+Rates!Z511</f>
        <v>7.802540000000003E-4</v>
      </c>
      <c r="AG511" s="106">
        <f>+'Regulatory Charge'!AA511+Fuel!AA511+PCM!AB511+Interest!AA511+'O&amp;M'!AC511+'Capex &amp; Depr'!AC511+Debt!AD511+Pat.!T511+Rates!AA511</f>
        <v>7.802540000000003E-4</v>
      </c>
      <c r="AH511" s="106">
        <f>+'Regulatory Charge'!AB511+Fuel!AB511+PCM!AC511+Interest!AB511+'O&amp;M'!AD511+'Capex &amp; Depr'!AD511+Debt!AE511+Pat.!U511+Rates!AB511</f>
        <v>7.9887400000000042E-4</v>
      </c>
      <c r="AI511" s="106">
        <f>+'Regulatory Charge'!AC511+Fuel!AC511+PCM!AD511+Interest!AC511+'O&amp;M'!AE511+'Capex &amp; Depr'!AE511+Debt!AF511+Pat.!V511+Rates!AC511</f>
        <v>8.0807000000000025E-4</v>
      </c>
      <c r="AJ511" s="106">
        <f>+'Regulatory Charge'!AD511+Fuel!AD511+PCM!AE511+Interest!AD511+'O&amp;M'!AF511+'Capex &amp; Depr'!AF511+Debt!AG511+Pat.!W511+Rates!AD511</f>
        <v>7.5737800000000028E-4</v>
      </c>
      <c r="AK511" s="106">
        <f>+'Regulatory Charge'!AE511+Fuel!AE511+PCM!AF511+Interest!AE511+'O&amp;M'!AG511+'Capex &amp; Depr'!AG511+Debt!AH511+Pat.!X511+Rates!AE511</f>
        <v>7.7812600000000029E-4</v>
      </c>
      <c r="AL511" s="106">
        <f>+'Regulatory Charge'!AF511+Fuel!AF511+PCM!AG511+Interest!AF511+'O&amp;M'!AH511+'Capex &amp; Depr'!AH511+Debt!AI511+Pat.!Y511+Rates!AF511</f>
        <v>7.7812600000000029E-4</v>
      </c>
      <c r="AM511" s="106">
        <f>+'Regulatory Charge'!AG511+Fuel!AG511+PCM!AH511+Interest!AG511+'O&amp;M'!AI511+'Capex &amp; Depr'!AI511+Debt!AJ511+Pat.!Z511+Rates!AG511</f>
        <v>7.5737800000000028E-4</v>
      </c>
      <c r="AN511" s="106">
        <f>+'Regulatory Charge'!AH511+Fuel!AH511+PCM!AI511+Interest!AH511+'O&amp;M'!AJ511+'Capex &amp; Depr'!AJ511+Debt!AK511+Pat.!AA511+Rates!AH511</f>
        <v>7.9887400000000042E-4</v>
      </c>
      <c r="AO511" s="106">
        <f>+'Regulatory Charge'!AI511+Fuel!AI511+PCM!AJ511+Interest!AI511+'O&amp;M'!AK511+'Capex &amp; Depr'!AK511+Debt!AL511+Pat.!AB511+Rates!AI511</f>
        <v>7.5737800000000028E-4</v>
      </c>
      <c r="AP511" s="106">
        <f>+'Regulatory Charge'!AJ511+Fuel!AJ511+PCM!AK511+Interest!AJ511+'O&amp;M'!AL511+'Capex &amp; Depr'!AL511+Debt!AM511+Pat.!AC511+Rates!AJ511</f>
        <v>7.5737800000000028E-4</v>
      </c>
      <c r="AQ511" s="106">
        <f>+'Regulatory Charge'!AK511+Fuel!AK511+PCM!AL511+Interest!AK511+'O&amp;M'!AM511+'Capex &amp; Depr'!AM511+Debt!AN511+Pat.!AD511+Rates!AK511</f>
        <v>7.7831600000000036E-4</v>
      </c>
      <c r="AR511" s="224">
        <f t="shared" si="9"/>
        <v>9.3304060000000046E-3</v>
      </c>
      <c r="AS511" s="106">
        <f>+'Regulatory Charge'!AM511+Fuel!AM511+PCM!AN511+Interest!AM511+'O&amp;M'!AO511+'Capex &amp; Depr'!AO511+Debt!AP511+Pat.!AF511+Rates!AM511</f>
        <v>9.6654139999999989E-3</v>
      </c>
      <c r="AT511" s="106">
        <f>+'Regulatory Charge'!AN511+Fuel!AN511+PCM!AO511+Interest!AN511+'O&amp;M'!AP511+'Capex &amp; Depr'!AP511+Debt!AQ511+Pat.!AG511+Rates!AN511</f>
        <v>9.9903140000000019E-3</v>
      </c>
      <c r="AU511" s="106">
        <f>+'Regulatory Charge'!AO511+Fuel!AO511+PCM!AP511+Interest!AO511+'O&amp;M'!AQ511+'Capex &amp; Depr'!AQ511+Debt!AR511+Pat.!AH511+Rates!AO511</f>
        <v>1.0290023420000002E-2</v>
      </c>
      <c r="AV511" s="106">
        <f>+'Regulatory Charge'!AP511+Fuel!AP511+PCM!AQ511+Interest!AP511+'O&amp;M'!AR511+'Capex &amp; Depr'!AR511+Debt!AS511+Pat.!AI511+Rates!AP511</f>
        <v>1.0598724122600003E-2</v>
      </c>
      <c r="AW511" s="106">
        <f>+'Regulatory Charge'!AQ511+Fuel!AQ511+PCM!AR511+Interest!AQ511+'O&amp;M'!AS511+'Capex &amp; Depr'!AS511+Debt!AT511+Pat.!AJ511+Rates!AQ511</f>
        <v>1.0916685846278003E-2</v>
      </c>
      <c r="AX511" s="106">
        <f>+'Regulatory Charge'!AR511+Fuel!AR511+PCM!AS511+Interest!AR511+'O&amp;M'!AT511+'Capex &amp; Depr'!AT511+Debt!AU511+Pat.!AK511+Rates!AR511</f>
        <v>1.1244186421666344E-2</v>
      </c>
      <c r="AY511" s="106">
        <f>+'Regulatory Charge'!AS511+Fuel!AS511+PCM!AT511+Interest!AS511+'O&amp;M'!AU511+'Capex &amp; Depr'!AU511+Debt!AV511+Pat.!AL511+Rates!AS511</f>
        <v>1.1581512014316335E-2</v>
      </c>
      <c r="AZ511" s="106">
        <f>+'Regulatory Charge'!AT511+Fuel!AT511+PCM!AU511+Interest!AT511+'O&amp;M'!AV511+'Capex &amp; Depr'!AV511+Debt!AW511+Pat.!AM511+Rates!AT511</f>
        <v>1.1928957374745825E-2</v>
      </c>
      <c r="BA511" s="106">
        <f>+'Regulatory Charge'!AU511+Fuel!AU511+PCM!AV511+Interest!AU511+'O&amp;M'!AW511+'Capex &amp; Depr'!AW511+Debt!AX511+Pat.!AN511+Rates!AU511</f>
        <v>1.2286826095988201E-2</v>
      </c>
      <c r="BB511" s="106">
        <f>+'Regulatory Charge'!AV511+Fuel!AV511+PCM!AW511+Interest!AV511+'O&amp;M'!AX511+'Capex &amp; Depr'!AX511+Debt!AY511+Pat.!AO511+Rates!AV511</f>
        <v>1.2655430878867847E-2</v>
      </c>
      <c r="BC511" s="106">
        <f>+'Regulatory Charge'!AW511+Fuel!AW511+PCM!AX511+Interest!AW511+'O&amp;M'!AY511+'Capex &amp; Depr'!AY511+Debt!AZ511+Pat.!AP511+Rates!AW511</f>
        <v>1.3035093805233882E-2</v>
      </c>
      <c r="BD511" s="106"/>
      <c r="BE511" s="106"/>
    </row>
    <row r="512" spans="1:57">
      <c r="A512" s="849">
        <v>514.1</v>
      </c>
      <c r="B512" s="846" t="s">
        <v>978</v>
      </c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224"/>
      <c r="S512" s="106">
        <f>+'Regulatory Charge'!M512+Fuel!M512+PCM!N512+Interest!M512+'O&amp;M'!O512+'Capex &amp; Depr'!O512+Debt!P512+Pat.!F512+Rates!M512</f>
        <v>0.11220480926914954</v>
      </c>
      <c r="T512" s="106">
        <f>+'Regulatory Charge'!N512+Fuel!N512+PCM!O512+Interest!N512+'O&amp;M'!P512+'Capex &amp; Depr'!P512+Debt!Q512+Pat.!G512+Rates!N512</f>
        <v>0.10843954721313782</v>
      </c>
      <c r="U512" s="106">
        <f>+'Regulatory Charge'!O512+Fuel!O512+PCM!P512+Interest!O512+'O&amp;M'!Q512+'Capex &amp; Depr'!Q512+Debt!R512+Pat.!H512+Rates!O512</f>
        <v>0.11591392924663245</v>
      </c>
      <c r="V512" s="106">
        <f>+'Regulatory Charge'!P512+Fuel!P512+PCM!Q512+Interest!P512+'O&amp;M'!R512+'Capex &amp; Depr'!R512+Debt!S512+Pat.!I512+Rates!P512</f>
        <v>0.1106791066354942</v>
      </c>
      <c r="W512" s="106">
        <f>+'Regulatory Charge'!Q512+Fuel!Q512+PCM!R512+Interest!Q512+'O&amp;M'!S512+'Capex &amp; Depr'!S512+Debt!T512+Pat.!J512+Rates!Q512</f>
        <v>0.13948811264835637</v>
      </c>
      <c r="X512" s="106">
        <f>+'Regulatory Charge'!R512+Fuel!R512+PCM!S512+Interest!R512+'O&amp;M'!T512+'Capex &amp; Depr'!T512+Debt!U512+Pat.!K512+Rates!R512</f>
        <v>0.10170512501640007</v>
      </c>
      <c r="Y512" s="106">
        <f>+'Regulatory Charge'!S512+Fuel!S512+PCM!T512+Interest!S512+'O&amp;M'!U512+'Capex &amp; Depr'!U512+Debt!V512+Pat.!L512+Rates!S512</f>
        <v>0.1106791066354942</v>
      </c>
      <c r="Z512" s="106">
        <f>+'Regulatory Charge'!T512+Fuel!T512+PCM!U512+Interest!T512+'O&amp;M'!V512+'Capex &amp; Depr'!V512+Debt!W512+Pat.!M512+Rates!T512</f>
        <v>0.1174095928498148</v>
      </c>
      <c r="AA512" s="106">
        <f>+'Regulatory Charge'!U512+Fuel!U512+PCM!V512+Interest!U512+'O&amp;M'!W512+'Capex &amp; Depr'!W512+Debt!X512+Pat.!N512+Rates!U512</f>
        <v>0.10339508954068745</v>
      </c>
      <c r="AB512" s="106">
        <f>+'Regulatory Charge'!V512+Fuel!V512+PCM!W512+Interest!V512+'O&amp;M'!X512+'Capex &amp; Depr'!X512+Debt!Y512+Pat.!O512+Rates!V512</f>
        <v>0.12240153982390206</v>
      </c>
      <c r="AC512" s="106">
        <f>+'Regulatory Charge'!W512+Fuel!W512+PCM!X512+Interest!W512+'O&amp;M'!Y512+'Capex &amp; Depr'!Y512+Debt!Z512+Pat.!P512+Rates!W512</f>
        <v>0.10187457351803028</v>
      </c>
      <c r="AD512" s="106">
        <f>+'Regulatory Charge'!X512+Fuel!X512+PCM!Y512+Interest!X512+'O&amp;M'!Z512+'Capex &amp; Depr'!Z512+Debt!AA512+Pat.!Q512+Rates!X512</f>
        <v>9.8528356875353329E-2</v>
      </c>
      <c r="AE512" s="224">
        <f t="shared" si="8"/>
        <v>1.3427188892724526</v>
      </c>
      <c r="AF512" s="106">
        <f>+'Regulatory Charge'!Z512+Fuel!Z512+PCM!AA512+Interest!Z512+'O&amp;M'!AB512+'Capex &amp; Depr'!AB512+Debt!AC512+Pat.!S512+Rates!Z512</f>
        <v>0.10346412507495502</v>
      </c>
      <c r="AG512" s="106">
        <f>+'Regulatory Charge'!AA512+Fuel!AA512+PCM!AB512+Interest!AA512+'O&amp;M'!AC512+'Capex &amp; Depr'!AC512+Debt!AD512+Pat.!T512+Rates!AA512</f>
        <v>9.9992174569084047E-2</v>
      </c>
      <c r="AH512" s="106">
        <f>+'Regulatory Charge'!AB512+Fuel!AB512+PCM!AC512+Interest!AB512+'O&amp;M'!AD512+'Capex &amp; Depr'!AD512+Debt!AE512+Pat.!U512+Rates!AB512</f>
        <v>0.11274741587044243</v>
      </c>
      <c r="AI512" s="106">
        <f>+'Regulatory Charge'!AC512+Fuel!AC512+PCM!AD512+Interest!AC512+'O&amp;M'!AE512+'Capex &amp; Depr'!AE512+Debt!AF512+Pat.!V512+Rates!AC512</f>
        <v>0.12082028006842539</v>
      </c>
      <c r="AJ512" s="106">
        <f>+'Regulatory Charge'!AD512+Fuel!AD512+PCM!AE512+Interest!AD512+'O&amp;M'!AF512+'Capex &amp; Depr'!AF512+Debt!AG512+Pat.!W512+Rates!AD512</f>
        <v>0.12781231027896509</v>
      </c>
      <c r="AK512" s="106">
        <f>+'Regulatory Charge'!AE512+Fuel!AE512+PCM!AF512+Interest!AE512+'O&amp;M'!AG512+'Capex &amp; Depr'!AG512+Debt!AH512+Pat.!X512+Rates!AE512</f>
        <v>9.3710781523523717E-2</v>
      </c>
      <c r="AL512" s="106">
        <f>+'Regulatory Charge'!AF512+Fuel!AF512+PCM!AG512+Interest!AF512+'O&amp;M'!AH512+'Capex &amp; Depr'!AH512+Debt!AI512+Pat.!Y512+Rates!AF512</f>
        <v>0.10197937989324643</v>
      </c>
      <c r="AM512" s="106">
        <f>+'Regulatory Charge'!AG512+Fuel!AG512+PCM!AH512+Interest!AG512+'O&amp;M'!AI512+'Capex &amp; Depr'!AI512+Debt!AJ512+Pat.!Z512+Rates!AG512</f>
        <v>0.10818082867053842</v>
      </c>
      <c r="AN512" s="106">
        <f>+'Regulatory Charge'!AH512+Fuel!AH512+PCM!AI512+Interest!AH512+'O&amp;M'!AJ512+'Capex &amp; Depr'!AJ512+Debt!AK512+Pat.!AA512+Rates!AH512</f>
        <v>9.5222240938878752E-2</v>
      </c>
      <c r="AO512" s="106">
        <f>+'Regulatory Charge'!AI512+Fuel!AI512+PCM!AJ512+Interest!AI512+'O&amp;M'!AK512+'Capex &amp; Depr'!AK512+Debt!AL512+Pat.!AB512+Rates!AI512</f>
        <v>0.11272632934676087</v>
      </c>
      <c r="AP512" s="106">
        <f>+'Regulatory Charge'!AJ512+Fuel!AJ512+PCM!AK512+Interest!AJ512+'O&amp;M'!AL512+'Capex &amp; Depr'!AL512+Debt!AM512+Pat.!AC512+Rates!AJ512</f>
        <v>9.3821913866248191E-2</v>
      </c>
      <c r="AQ512" s="106">
        <f>+'Regulatory Charge'!AK512+Fuel!AK512+PCM!AL512+Interest!AK512+'O&amp;M'!AM512+'Capex &amp; Depr'!AM512+Debt!AN512+Pat.!AD512+Rates!AK512</f>
        <v>9.7376102157717498E-2</v>
      </c>
      <c r="AR512" s="224">
        <f t="shared" si="9"/>
        <v>1.2678538822587859</v>
      </c>
      <c r="AS512" s="106">
        <f>+'Regulatory Charge'!AM512+Fuel!AM512+PCM!AN512+Interest!AM512+'O&amp;M'!AO512+'Capex &amp; Depr'!AO512+Debt!AP512+Pat.!AF512+Rates!AM512</f>
        <v>1.2849027713269727</v>
      </c>
      <c r="AT512" s="106">
        <f>+'Regulatory Charge'!AN512+Fuel!AN512+PCM!AO512+Interest!AN512+'O&amp;M'!AP512+'Capex &amp; Depr'!AP512+Debt!AQ512+Pat.!AG512+Rates!AN512</f>
        <v>1.319613149666597</v>
      </c>
      <c r="AU512" s="106">
        <f>+'Regulatory Charge'!AO512+Fuel!AO512+PCM!AP512+Interest!AO512+'O&amp;M'!AQ512+'Capex &amp; Depr'!AQ512+Debt!AR512+Pat.!AH512+Rates!AO512</f>
        <v>1.359201544156595</v>
      </c>
      <c r="AV512" s="106">
        <f>+'Regulatory Charge'!AP512+Fuel!AP512+PCM!AQ512+Interest!AP512+'O&amp;M'!AR512+'Capex &amp; Depr'!AR512+Debt!AS512+Pat.!AI512+Rates!AP512</f>
        <v>1.3999775904812928</v>
      </c>
      <c r="AW512" s="106">
        <f>+'Regulatory Charge'!AQ512+Fuel!AQ512+PCM!AR512+Interest!AQ512+'O&amp;M'!AS512+'Capex &amp; Depr'!AS512+Debt!AT512+Pat.!AJ512+Rates!AQ512</f>
        <v>1.4419769181957316</v>
      </c>
      <c r="AX512" s="106">
        <f>+'Regulatory Charge'!AR512+Fuel!AR512+PCM!AS512+Interest!AR512+'O&amp;M'!AT512+'Capex &amp; Depr'!AT512+Debt!AU512+Pat.!AK512+Rates!AR512</f>
        <v>1.4852362257416036</v>
      </c>
      <c r="AY512" s="106">
        <f>+'Regulatory Charge'!AS512+Fuel!AS512+PCM!AT512+Interest!AS512+'O&amp;M'!AU512+'Capex &amp; Depr'!AU512+Debt!AV512+Pat.!AL512+Rates!AS512</f>
        <v>1.5297933125138519</v>
      </c>
      <c r="AZ512" s="106">
        <f>+'Regulatory Charge'!AT512+Fuel!AT512+PCM!AU512+Interest!AT512+'O&amp;M'!AV512+'Capex &amp; Depr'!AV512+Debt!AW512+Pat.!AM512+Rates!AT512</f>
        <v>1.5756871118892675</v>
      </c>
      <c r="BA512" s="106">
        <f>+'Regulatory Charge'!AU512+Fuel!AU512+PCM!AV512+Interest!AU512+'O&amp;M'!AW512+'Capex &amp; Depr'!AW512+Debt!AX512+Pat.!AN512+Rates!AU512</f>
        <v>1.6229577252459455</v>
      </c>
      <c r="BB512" s="106">
        <f>+'Regulatory Charge'!AV512+Fuel!AV512+PCM!AW512+Interest!AV512+'O&amp;M'!AX512+'Capex &amp; Depr'!AX512+Debt!AY512+Pat.!AO512+Rates!AV512</f>
        <v>1.6716464570033238</v>
      </c>
      <c r="BC512" s="106">
        <f>+'Regulatory Charge'!AW512+Fuel!AW512+PCM!AX512+Interest!AW512+'O&amp;M'!AY512+'Capex &amp; Depr'!AY512+Debt!AZ512+Pat.!AP512+Rates!AW512</f>
        <v>1.7217958507134237</v>
      </c>
      <c r="BD512" s="106"/>
      <c r="BE512" s="106"/>
    </row>
    <row r="513" spans="1:57">
      <c r="A513" s="849">
        <v>514.1</v>
      </c>
      <c r="B513" s="846" t="s">
        <v>978</v>
      </c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224"/>
      <c r="S513" s="106">
        <f>+'Regulatory Charge'!M513+Fuel!M513+PCM!N513+Interest!M513+'O&amp;M'!O513+'Capex &amp; Depr'!O513+Debt!P513+Pat.!F513+Rates!M513</f>
        <v>8.8450399603046112E-2</v>
      </c>
      <c r="T513" s="106">
        <f>+'Regulatory Charge'!N513+Fuel!N513+PCM!O513+Interest!N513+'O&amp;M'!P513+'Capex &amp; Depr'!P513+Debt!Q513+Pat.!G513+Rates!N513</f>
        <v>0.14677203293992519</v>
      </c>
      <c r="U513" s="106">
        <f>+'Regulatory Charge'!O513+Fuel!O513+PCM!P513+Interest!O513+'O&amp;M'!Q513+'Capex &amp; Depr'!Q513+Debt!R513+Pat.!H513+Rates!O513</f>
        <v>0.12154400368468277</v>
      </c>
      <c r="V513" s="106">
        <f>+'Regulatory Charge'!P513+Fuel!P513+PCM!Q513+Interest!P513+'O&amp;M'!R513+'Capex &amp; Depr'!R513+Debt!S513+Pat.!I513+Rates!P513</f>
        <v>0.16736588174635861</v>
      </c>
      <c r="W513" s="106">
        <f>+'Regulatory Charge'!Q513+Fuel!Q513+PCM!R513+Interest!Q513+'O&amp;M'!S513+'Capex &amp; Depr'!S513+Debt!T513+Pat.!J513+Rates!Q513</f>
        <v>0.533568876470503</v>
      </c>
      <c r="X513" s="106">
        <f>+'Regulatory Charge'!R513+Fuel!R513+PCM!S513+Interest!R513+'O&amp;M'!T513+'Capex &amp; Depr'!T513+Debt!U513+Pat.!K513+Rates!R513</f>
        <v>9.2536043089033182E-2</v>
      </c>
      <c r="Y513" s="106">
        <f>+'Regulatory Charge'!S513+Fuel!S513+PCM!T513+Interest!S513+'O&amp;M'!U513+'Capex &amp; Depr'!U513+Debt!V513+Pat.!L513+Rates!S513</f>
        <v>0.14601062244157628</v>
      </c>
      <c r="Z513" s="106">
        <f>+'Regulatory Charge'!T513+Fuel!T513+PCM!U513+Interest!T513+'O&amp;M'!V513+'Capex &amp; Depr'!V513+Debt!W513+Pat.!M513+Rates!T513</f>
        <v>0.13619813936409139</v>
      </c>
      <c r="AA513" s="106">
        <f>+'Regulatory Charge'!U513+Fuel!U513+PCM!V513+Interest!U513+'O&amp;M'!W513+'Capex &amp; Depr'!W513+Debt!X513+Pat.!N513+Rates!U513</f>
        <v>0.13305988710000707</v>
      </c>
      <c r="AB513" s="106">
        <f>+'Regulatory Charge'!V513+Fuel!V513+PCM!W513+Interest!V513+'O&amp;M'!X513+'Capex &amp; Depr'!X513+Debt!Y513+Pat.!O513+Rates!V513</f>
        <v>0.13985316636622933</v>
      </c>
      <c r="AC513" s="106">
        <f>+'Regulatory Charge'!W513+Fuel!W513+PCM!X513+Interest!W513+'O&amp;M'!Y513+'Capex &amp; Depr'!Y513+Debt!Z513+Pat.!P513+Rates!W513</f>
        <v>7.4817816347593533E-2</v>
      </c>
      <c r="AD513" s="106">
        <f>+'Regulatory Charge'!X513+Fuel!X513+PCM!Y513+Interest!X513+'O&amp;M'!Z513+'Capex &amp; Depr'!Z513+Debt!AA513+Pat.!Q513+Rates!X513</f>
        <v>7.4453145871102147E-2</v>
      </c>
      <c r="AE513" s="224">
        <f t="shared" si="8"/>
        <v>1.8546300150241486</v>
      </c>
      <c r="AF513" s="106">
        <f>+'Regulatory Charge'!Z513+Fuel!Z513+PCM!AA513+Interest!Z513+'O&amp;M'!AB513+'Capex &amp; Depr'!AB513+Debt!AC513+Pat.!S513+Rates!Z513</f>
        <v>0.10946829031169691</v>
      </c>
      <c r="AG513" s="106">
        <f>+'Regulatory Charge'!AA513+Fuel!AA513+PCM!AB513+Interest!AA513+'O&amp;M'!AC513+'Capex &amp; Depr'!AC513+Debt!AD513+Pat.!T513+Rates!AA513</f>
        <v>9.4311453238028295E-2</v>
      </c>
      <c r="AH513" s="106">
        <f>+'Regulatory Charge'!AB513+Fuel!AB513+PCM!AC513+Interest!AB513+'O&amp;M'!AD513+'Capex &amp; Depr'!AD513+Debt!AE513+Pat.!U513+Rates!AB513</f>
        <v>0.21465107231867936</v>
      </c>
      <c r="AI513" s="106">
        <f>+'Regulatory Charge'!AC513+Fuel!AC513+PCM!AD513+Interest!AC513+'O&amp;M'!AE513+'Capex &amp; Depr'!AE513+Debt!AF513+Pat.!V513+Rates!AC513</f>
        <v>0.66062570133872978</v>
      </c>
      <c r="AJ513" s="106">
        <f>+'Regulatory Charge'!AD513+Fuel!AD513+PCM!AE513+Interest!AD513+'O&amp;M'!AF513+'Capex &amp; Depr'!AF513+Debt!AG513+Pat.!W513+Rates!AD513</f>
        <v>0.42595686468743038</v>
      </c>
      <c r="AK513" s="106">
        <f>+'Regulatory Charge'!AE513+Fuel!AE513+PCM!AF513+Interest!AE513+'O&amp;M'!AG513+'Capex &amp; Depr'!AG513+Debt!AH513+Pat.!X513+Rates!AE513</f>
        <v>6.1821539835548091E-2</v>
      </c>
      <c r="AL513" s="106">
        <f>+'Regulatory Charge'!AF513+Fuel!AF513+PCM!AG513+Interest!AF513+'O&amp;M'!AH513+'Capex &amp; Depr'!AH513+Debt!AI513+Pat.!Y513+Rates!AF513</f>
        <v>0.11791842233313293</v>
      </c>
      <c r="AM513" s="106">
        <f>+'Regulatory Charge'!AG513+Fuel!AG513+PCM!AH513+Interest!AG513+'O&amp;M'!AI513+'Capex &amp; Depr'!AI513+Debt!AJ513+Pat.!Z513+Rates!AG513</f>
        <v>0.12549918437454041</v>
      </c>
      <c r="AN513" s="106">
        <f>+'Regulatory Charge'!AH513+Fuel!AH513+PCM!AI513+Interest!AH513+'O&amp;M'!AJ513+'Capex &amp; Depr'!AJ513+Debt!AK513+Pat.!AA513+Rates!AH513</f>
        <v>9.8052249575169115E-2</v>
      </c>
      <c r="AO513" s="106">
        <f>+'Regulatory Charge'!AI513+Fuel!AI513+PCM!AJ513+Interest!AI513+'O&amp;M'!AK513+'Capex &amp; Depr'!AK513+Debt!AL513+Pat.!AB513+Rates!AI513</f>
        <v>0.17373187212698354</v>
      </c>
      <c r="AP513" s="106">
        <f>+'Regulatory Charge'!AJ513+Fuel!AJ513+PCM!AK513+Interest!AJ513+'O&amp;M'!AL513+'Capex &amp; Depr'!AL513+Debt!AM513+Pat.!AC513+Rates!AJ513</f>
        <v>7.3327024687372913E-2</v>
      </c>
      <c r="AQ513" s="106">
        <f>+'Regulatory Charge'!AK513+Fuel!AK513+PCM!AL513+Interest!AK513+'O&amp;M'!AM513+'Capex &amp; Depr'!AM513+Debt!AN513+Pat.!AD513+Rates!AK513</f>
        <v>8.1324563329328095E-2</v>
      </c>
      <c r="AR513" s="224">
        <f t="shared" si="9"/>
        <v>2.2366882381566398</v>
      </c>
      <c r="AS513" s="106">
        <f>+'Regulatory Charge'!AM513+Fuel!AM513+PCM!AN513+Interest!AM513+'O&amp;M'!AO513+'Capex &amp; Depr'!AO513+Debt!AP513+Pat.!AF513+Rates!AM513</f>
        <v>1.7589639429574564</v>
      </c>
      <c r="AT513" s="106">
        <f>+'Regulatory Charge'!AN513+Fuel!AN513+PCM!AO513+Interest!AN513+'O&amp;M'!AP513+'Capex &amp; Depr'!AP513+Debt!AQ513+Pat.!AG513+Rates!AN513</f>
        <v>2.1163660504453503</v>
      </c>
      <c r="AU513" s="106">
        <f>+'Regulatory Charge'!AO513+Fuel!AO513+PCM!AP513+Interest!AO513+'O&amp;M'!AQ513+'Capex &amp; Depr'!AQ513+Debt!AR513+Pat.!AH513+Rates!AO513</f>
        <v>2.1798570319587109</v>
      </c>
      <c r="AV513" s="106">
        <f>+'Regulatory Charge'!AP513+Fuel!AP513+PCM!AQ513+Interest!AP513+'O&amp;M'!AR513+'Capex &amp; Depr'!AR513+Debt!AS513+Pat.!AI513+Rates!AP513</f>
        <v>2.2452527429174722</v>
      </c>
      <c r="AW513" s="106">
        <f>+'Regulatory Charge'!AQ513+Fuel!AQ513+PCM!AR513+Interest!AQ513+'O&amp;M'!AS513+'Capex &amp; Depr'!AS513+Debt!AT513+Pat.!AJ513+Rates!AQ513</f>
        <v>2.3126103252049965</v>
      </c>
      <c r="AX513" s="106">
        <f>+'Regulatory Charge'!AR513+Fuel!AR513+PCM!AS513+Interest!AR513+'O&amp;M'!AT513+'Capex &amp; Depr'!AT513+Debt!AU513+Pat.!AK513+Rates!AR513</f>
        <v>2.3819886349611465</v>
      </c>
      <c r="AY513" s="106">
        <f>+'Regulatory Charge'!AS513+Fuel!AS513+PCM!AT513+Interest!AS513+'O&amp;M'!AU513+'Capex &amp; Depr'!AU513+Debt!AV513+Pat.!AL513+Rates!AS513</f>
        <v>2.4534482940099811</v>
      </c>
      <c r="AZ513" s="106">
        <f>+'Regulatory Charge'!AT513+Fuel!AT513+PCM!AU513+Interest!AT513+'O&amp;M'!AV513+'Capex &amp; Depr'!AV513+Debt!AW513+Pat.!AM513+Rates!AT513</f>
        <v>2.5270517428302806</v>
      </c>
      <c r="BA513" s="106">
        <f>+'Regulatory Charge'!AU513+Fuel!AU513+PCM!AV513+Interest!AU513+'O&amp;M'!AW513+'Capex &amp; Depr'!AW513+Debt!AX513+Pat.!AN513+Rates!AU513</f>
        <v>2.6028632951151889</v>
      </c>
      <c r="BB513" s="106">
        <f>+'Regulatory Charge'!AV513+Fuel!AV513+PCM!AW513+Interest!AV513+'O&amp;M'!AX513+'Capex &amp; Depr'!AX513+Debt!AY513+Pat.!AO513+Rates!AV513</f>
        <v>2.6809491939686447</v>
      </c>
      <c r="BC513" s="106">
        <f>+'Regulatory Charge'!AW513+Fuel!AW513+PCM!AX513+Interest!AW513+'O&amp;M'!AY513+'Capex &amp; Depr'!AY513+Debt!AZ513+Pat.!AP513+Rates!AW513</f>
        <v>2.7613776697877039</v>
      </c>
      <c r="BD513" s="106"/>
      <c r="BE513" s="106"/>
    </row>
    <row r="514" spans="1:57">
      <c r="A514" s="849">
        <v>548.1</v>
      </c>
      <c r="B514" s="846" t="s">
        <v>979</v>
      </c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224"/>
      <c r="S514" s="106">
        <f>+'Regulatory Charge'!M514+Fuel!M514+PCM!N514+Interest!M514+'O&amp;M'!O514+'Capex &amp; Depr'!O514+Debt!P514+Pat.!F514+Rates!M514</f>
        <v>2.8400000000000001E-3</v>
      </c>
      <c r="T514" s="106">
        <f>+'Regulatory Charge'!N514+Fuel!N514+PCM!O514+Interest!N514+'O&amp;M'!P514+'Capex &amp; Depr'!P514+Debt!Q514+Pat.!G514+Rates!N514</f>
        <v>2.8370000000000001E-3</v>
      </c>
      <c r="U514" s="106">
        <f>+'Regulatory Charge'!O514+Fuel!O514+PCM!P514+Interest!O514+'O&amp;M'!Q514+'Capex &amp; Depr'!Q514+Debt!R514+Pat.!H514+Rates!O514</f>
        <v>2.8370000000000001E-3</v>
      </c>
      <c r="V514" s="106">
        <f>+'Regulatory Charge'!P514+Fuel!P514+PCM!Q514+Interest!P514+'O&amp;M'!R514+'Capex &amp; Depr'!R514+Debt!S514+Pat.!I514+Rates!P514</f>
        <v>2.8370000000000001E-3</v>
      </c>
      <c r="W514" s="106">
        <f>+'Regulatory Charge'!Q514+Fuel!Q514+PCM!R514+Interest!Q514+'O&amp;M'!S514+'Capex &amp; Depr'!S514+Debt!T514+Pat.!J514+Rates!Q514</f>
        <v>2.8370000000000001E-3</v>
      </c>
      <c r="X514" s="106">
        <f>+'Regulatory Charge'!R514+Fuel!R514+PCM!S514+Interest!R514+'O&amp;M'!T514+'Capex &amp; Depr'!T514+Debt!U514+Pat.!K514+Rates!R514</f>
        <v>2.8370000000000001E-3</v>
      </c>
      <c r="Y514" s="106">
        <f>+'Regulatory Charge'!S514+Fuel!S514+PCM!T514+Interest!S514+'O&amp;M'!U514+'Capex &amp; Depr'!U514+Debt!V514+Pat.!L514+Rates!S514</f>
        <v>2.8370000000000001E-3</v>
      </c>
      <c r="Z514" s="106">
        <f>+'Regulatory Charge'!T514+Fuel!T514+PCM!U514+Interest!T514+'O&amp;M'!V514+'Capex &amp; Depr'!V514+Debt!W514+Pat.!M514+Rates!T514</f>
        <v>2.8370000000000001E-3</v>
      </c>
      <c r="AA514" s="106">
        <f>+'Regulatory Charge'!U514+Fuel!U514+PCM!V514+Interest!U514+'O&amp;M'!W514+'Capex &amp; Depr'!W514+Debt!X514+Pat.!N514+Rates!U514</f>
        <v>2.8370000000000001E-3</v>
      </c>
      <c r="AB514" s="106">
        <f>+'Regulatory Charge'!V514+Fuel!V514+PCM!W514+Interest!V514+'O&amp;M'!X514+'Capex &amp; Depr'!X514+Debt!Y514+Pat.!O514+Rates!V514</f>
        <v>2.8370000000000001E-3</v>
      </c>
      <c r="AC514" s="106">
        <f>+'Regulatory Charge'!W514+Fuel!W514+PCM!X514+Interest!W514+'O&amp;M'!Y514+'Capex &amp; Depr'!Y514+Debt!Z514+Pat.!P514+Rates!W514</f>
        <v>2.8370000000000001E-3</v>
      </c>
      <c r="AD514" s="106">
        <f>+'Regulatory Charge'!X514+Fuel!X514+PCM!Y514+Interest!X514+'O&amp;M'!Z514+'Capex &amp; Depr'!Z514+Debt!AA514+Pat.!Q514+Rates!X514</f>
        <v>2.8370000000000001E-3</v>
      </c>
      <c r="AE514" s="224">
        <f t="shared" si="8"/>
        <v>3.4046999999999994E-2</v>
      </c>
      <c r="AF514" s="106">
        <f>+'Regulatory Charge'!Z514+Fuel!Z514+PCM!AA514+Interest!Z514+'O&amp;M'!AB514+'Capex &amp; Depr'!AB514+Debt!AC514+Pat.!S514+Rates!Z514</f>
        <v>3.0630000000000002E-3</v>
      </c>
      <c r="AG514" s="106">
        <f>+'Regulatory Charge'!AA514+Fuel!AA514+PCM!AB514+Interest!AA514+'O&amp;M'!AC514+'Capex &amp; Depr'!AC514+Debt!AD514+Pat.!T514+Rates!AA514</f>
        <v>3.0590000000000001E-3</v>
      </c>
      <c r="AH514" s="106">
        <f>+'Regulatory Charge'!AB514+Fuel!AB514+PCM!AC514+Interest!AB514+'O&amp;M'!AD514+'Capex &amp; Depr'!AD514+Debt!AE514+Pat.!U514+Rates!AB514</f>
        <v>3.0590000000000001E-3</v>
      </c>
      <c r="AI514" s="106">
        <f>+'Regulatory Charge'!AC514+Fuel!AC514+PCM!AD514+Interest!AC514+'O&amp;M'!AE514+'Capex &amp; Depr'!AE514+Debt!AF514+Pat.!V514+Rates!AC514</f>
        <v>3.0590000000000001E-3</v>
      </c>
      <c r="AJ514" s="106">
        <f>+'Regulatory Charge'!AD514+Fuel!AD514+PCM!AE514+Interest!AD514+'O&amp;M'!AF514+'Capex &amp; Depr'!AF514+Debt!AG514+Pat.!W514+Rates!AD514</f>
        <v>3.0590000000000001E-3</v>
      </c>
      <c r="AK514" s="106">
        <f>+'Regulatory Charge'!AE514+Fuel!AE514+PCM!AF514+Interest!AE514+'O&amp;M'!AG514+'Capex &amp; Depr'!AG514+Debt!AH514+Pat.!X514+Rates!AE514</f>
        <v>3.0590000000000001E-3</v>
      </c>
      <c r="AL514" s="106">
        <f>+'Regulatory Charge'!AF514+Fuel!AF514+PCM!AG514+Interest!AF514+'O&amp;M'!AH514+'Capex &amp; Depr'!AH514+Debt!AI514+Pat.!Y514+Rates!AF514</f>
        <v>3.0590000000000001E-3</v>
      </c>
      <c r="AM514" s="106">
        <f>+'Regulatory Charge'!AG514+Fuel!AG514+PCM!AH514+Interest!AG514+'O&amp;M'!AI514+'Capex &amp; Depr'!AI514+Debt!AJ514+Pat.!Z514+Rates!AG514</f>
        <v>3.0590000000000001E-3</v>
      </c>
      <c r="AN514" s="106">
        <f>+'Regulatory Charge'!AH514+Fuel!AH514+PCM!AI514+Interest!AH514+'O&amp;M'!AJ514+'Capex &amp; Depr'!AJ514+Debt!AK514+Pat.!AA514+Rates!AH514</f>
        <v>3.0590000000000001E-3</v>
      </c>
      <c r="AO514" s="106">
        <f>+'Regulatory Charge'!AI514+Fuel!AI514+PCM!AJ514+Interest!AI514+'O&amp;M'!AK514+'Capex &amp; Depr'!AK514+Debt!AL514+Pat.!AB514+Rates!AI514</f>
        <v>3.0590000000000001E-3</v>
      </c>
      <c r="AP514" s="106">
        <f>+'Regulatory Charge'!AJ514+Fuel!AJ514+PCM!AK514+Interest!AJ514+'O&amp;M'!AL514+'Capex &amp; Depr'!AL514+Debt!AM514+Pat.!AC514+Rates!AJ514</f>
        <v>3.0590000000000001E-3</v>
      </c>
      <c r="AQ514" s="106">
        <f>+'Regulatory Charge'!AK514+Fuel!AK514+PCM!AL514+Interest!AK514+'O&amp;M'!AM514+'Capex &amp; Depr'!AM514+Debt!AN514+Pat.!AD514+Rates!AK514</f>
        <v>3.0590000000000001E-3</v>
      </c>
      <c r="AR514" s="224">
        <f t="shared" si="9"/>
        <v>3.6711999999999995E-2</v>
      </c>
      <c r="AS514" s="106">
        <f>+'Regulatory Charge'!AM514+Fuel!AM514+PCM!AN514+Interest!AM514+'O&amp;M'!AO514+'Capex &amp; Depr'!AO514+Debt!AP514+Pat.!AF514+Rates!AM514</f>
        <v>3.8223000000000007E-2</v>
      </c>
      <c r="AT514" s="106">
        <f>+'Regulatory Charge'!AN514+Fuel!AN514+PCM!AO514+Interest!AN514+'O&amp;M'!AP514+'Capex &amp; Depr'!AP514+Debt!AQ514+Pat.!AG514+Rates!AN514</f>
        <v>3.9807000000000009E-2</v>
      </c>
      <c r="AU514" s="106">
        <f>+'Regulatory Charge'!AO514+Fuel!AO514+PCM!AP514+Interest!AO514+'O&amp;M'!AQ514+'Capex &amp; Depr'!AQ514+Debt!AR514+Pat.!AH514+Rates!AO514</f>
        <v>4.100121000000001E-2</v>
      </c>
      <c r="AV514" s="106">
        <f>+'Regulatory Charge'!AP514+Fuel!AP514+PCM!AQ514+Interest!AP514+'O&amp;M'!AR514+'Capex &amp; Depr'!AR514+Debt!AS514+Pat.!AI514+Rates!AP514</f>
        <v>4.2231246300000011E-2</v>
      </c>
      <c r="AW514" s="106">
        <f>+'Regulatory Charge'!AQ514+Fuel!AQ514+PCM!AR514+Interest!AQ514+'O&amp;M'!AS514+'Capex &amp; Depr'!AS514+Debt!AT514+Pat.!AJ514+Rates!AQ514</f>
        <v>4.3498183689000006E-2</v>
      </c>
      <c r="AX514" s="106">
        <f>+'Regulatory Charge'!AR514+Fuel!AR514+PCM!AS514+Interest!AR514+'O&amp;M'!AT514+'Capex &amp; Depr'!AT514+Debt!AU514+Pat.!AK514+Rates!AR514</f>
        <v>4.4803129199670007E-2</v>
      </c>
      <c r="AY514" s="106">
        <f>+'Regulatory Charge'!AS514+Fuel!AS514+PCM!AT514+Interest!AS514+'O&amp;M'!AU514+'Capex &amp; Depr'!AU514+Debt!AV514+Pat.!AL514+Rates!AS514</f>
        <v>4.6147223075660111E-2</v>
      </c>
      <c r="AZ514" s="106">
        <f>+'Regulatory Charge'!AT514+Fuel!AT514+PCM!AU514+Interest!AT514+'O&amp;M'!AV514+'Capex &amp; Depr'!AV514+Debt!AW514+Pat.!AM514+Rates!AT514</f>
        <v>4.7531639767929915E-2</v>
      </c>
      <c r="BA514" s="106">
        <f>+'Regulatory Charge'!AU514+Fuel!AU514+PCM!AV514+Interest!AU514+'O&amp;M'!AW514+'Capex &amp; Depr'!AW514+Debt!AX514+Pat.!AN514+Rates!AU514</f>
        <v>4.8957588960967816E-2</v>
      </c>
      <c r="BB514" s="106">
        <f>+'Regulatory Charge'!AV514+Fuel!AV514+PCM!AW514+Interest!AV514+'O&amp;M'!AX514+'Capex &amp; Depr'!AX514+Debt!AY514+Pat.!AO514+Rates!AV514</f>
        <v>5.0426316629796852E-2</v>
      </c>
      <c r="BC514" s="106">
        <f>+'Regulatory Charge'!AW514+Fuel!AW514+PCM!AX514+Interest!AW514+'O&amp;M'!AY514+'Capex &amp; Depr'!AY514+Debt!AZ514+Pat.!AP514+Rates!AW514</f>
        <v>5.1939106128690758E-2</v>
      </c>
      <c r="BD514" s="106"/>
      <c r="BE514" s="106"/>
    </row>
    <row r="515" spans="1:57">
      <c r="A515" s="849" t="s">
        <v>83</v>
      </c>
      <c r="B515" s="846" t="s">
        <v>84</v>
      </c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224"/>
      <c r="S515" s="106">
        <f>+'Regulatory Charge'!M515+Fuel!M515+PCM!N515+Interest!M515+'O&amp;M'!O515+'Capex &amp; Depr'!O515+Debt!P515+Pat.!F515+Rates!M515</f>
        <v>0.88063521120000021</v>
      </c>
      <c r="T515" s="106">
        <f>+'Regulatory Charge'!N515+Fuel!N515+PCM!O515+Interest!N515+'O&amp;M'!P515+'Capex &amp; Depr'!P515+Debt!Q515+Pat.!G515+Rates!N515</f>
        <v>0.8216226095000001</v>
      </c>
      <c r="U515" s="106">
        <f>+'Regulatory Charge'!O515+Fuel!O515+PCM!P515+Interest!O515+'O&amp;M'!Q515+'Capex &amp; Depr'!Q515+Debt!R515+Pat.!H515+Rates!O515</f>
        <v>0.8798948847000001</v>
      </c>
      <c r="V515" s="106">
        <f>+'Regulatory Charge'!P515+Fuel!P515+PCM!Q515+Interest!P515+'O&amp;M'!R515+'Capex &amp; Depr'!R515+Debt!S515+Pat.!I515+Rates!P515</f>
        <v>0.86164446549999996</v>
      </c>
      <c r="W515" s="106">
        <f>+'Regulatory Charge'!Q515+Fuel!Q515+PCM!R515+Interest!Q515+'O&amp;M'!S515+'Capex &amp; Depr'!S515+Debt!T515+Pat.!J515+Rates!Q515</f>
        <v>0.87437931959999982</v>
      </c>
      <c r="X515" s="106">
        <f>+'Regulatory Charge'!R515+Fuel!R515+PCM!S515+Interest!R515+'O&amp;M'!T515+'Capex &amp; Depr'!T515+Debt!U515+Pat.!K515+Rates!R515</f>
        <v>0.40397904569999998</v>
      </c>
      <c r="Y515" s="106">
        <f>+'Regulatory Charge'!S515+Fuel!S515+PCM!T515+Interest!S515+'O&amp;M'!U515+'Capex &amp; Depr'!U515+Debt!V515+Pat.!L515+Rates!S515</f>
        <v>0.40915283999999996</v>
      </c>
      <c r="Z515" s="106">
        <f>+'Regulatory Charge'!T515+Fuel!T515+PCM!U515+Interest!T515+'O&amp;M'!V515+'Capex &amp; Depr'!V515+Debt!W515+Pat.!M515+Rates!T515</f>
        <v>0.40722250719999997</v>
      </c>
      <c r="AA515" s="106">
        <f>+'Regulatory Charge'!U515+Fuel!U515+PCM!V515+Interest!U515+'O&amp;M'!W515+'Capex &amp; Depr'!W515+Debt!X515+Pat.!N515+Rates!U515</f>
        <v>0.40396330159999999</v>
      </c>
      <c r="AB515" s="106">
        <f>+'Regulatory Charge'!V515+Fuel!V515+PCM!W515+Interest!V515+'O&amp;M'!X515+'Capex &amp; Depr'!X515+Debt!Y515+Pat.!O515+Rates!V515</f>
        <v>0.8799035528000001</v>
      </c>
      <c r="AC515" s="106">
        <f>+'Regulatory Charge'!W515+Fuel!W515+PCM!X515+Interest!W515+'O&amp;M'!Y515+'Capex &amp; Depr'!Y515+Debt!Z515+Pat.!P515+Rates!W515</f>
        <v>0.85969980379999988</v>
      </c>
      <c r="AD515" s="106">
        <f>+'Regulatory Charge'!X515+Fuel!X515+PCM!Y515+Interest!X515+'O&amp;M'!Z515+'Capex &amp; Depr'!Z515+Debt!AA515+Pat.!Q515+Rates!X515</f>
        <v>0.88420098450000006</v>
      </c>
      <c r="AE515" s="224">
        <f t="shared" si="8"/>
        <v>8.5662985261000006</v>
      </c>
      <c r="AF515" s="106">
        <f>+'Regulatory Charge'!Z515+Fuel!Z515+PCM!AA515+Interest!Z515+'O&amp;M'!AB515+'Capex &amp; Depr'!AB515+Debt!AC515+Pat.!S515+Rates!Z515</f>
        <v>0.88869821120000014</v>
      </c>
      <c r="AG515" s="106">
        <f>+'Regulatory Charge'!AA515+Fuel!AA515+PCM!AB515+Interest!AA515+'O&amp;M'!AC515+'Capex &amp; Depr'!AC515+Debt!AD515+Pat.!T515+Rates!AA515</f>
        <v>0.82968560950000003</v>
      </c>
      <c r="AH515" s="106">
        <f>+'Regulatory Charge'!AB515+Fuel!AB515+PCM!AC515+Interest!AB515+'O&amp;M'!AD515+'Capex &amp; Depr'!AD515+Debt!AE515+Pat.!U515+Rates!AB515</f>
        <v>0.88795788470000003</v>
      </c>
      <c r="AI515" s="106">
        <f>+'Regulatory Charge'!AC515+Fuel!AC515+PCM!AD515+Interest!AC515+'O&amp;M'!AE515+'Capex &amp; Depr'!AE515+Debt!AF515+Pat.!V515+Rates!AC515</f>
        <v>0.86970746550000011</v>
      </c>
      <c r="AJ515" s="106">
        <f>+'Regulatory Charge'!AD515+Fuel!AD515+PCM!AE515+Interest!AD515+'O&amp;M'!AF515+'Capex &amp; Depr'!AF515+Debt!AG515+Pat.!W515+Rates!AD515</f>
        <v>0.88244231959999997</v>
      </c>
      <c r="AK515" s="106">
        <f>+'Regulatory Charge'!AE515+Fuel!AE515+PCM!AF515+Interest!AE515+'O&amp;M'!AG515+'Capex &amp; Depr'!AG515+Debt!AH515+Pat.!X515+Rates!AE515</f>
        <v>0.41204204570000003</v>
      </c>
      <c r="AL515" s="106">
        <f>+'Regulatory Charge'!AF515+Fuel!AF515+PCM!AG515+Interest!AF515+'O&amp;M'!AH515+'Capex &amp; Depr'!AH515+Debt!AI515+Pat.!Y515+Rates!AF515</f>
        <v>0.41721584</v>
      </c>
      <c r="AM515" s="106">
        <f>+'Regulatory Charge'!AG515+Fuel!AG515+PCM!AH515+Interest!AG515+'O&amp;M'!AI515+'Capex &amp; Depr'!AI515+Debt!AJ515+Pat.!Z515+Rates!AG515</f>
        <v>0.41528550720000001</v>
      </c>
      <c r="AN515" s="106">
        <f>+'Regulatory Charge'!AH515+Fuel!AH515+PCM!AI515+Interest!AH515+'O&amp;M'!AJ515+'Capex &amp; Depr'!AJ515+Debt!AK515+Pat.!AA515+Rates!AH515</f>
        <v>0.41202630160000003</v>
      </c>
      <c r="AO515" s="106">
        <f>+'Regulatory Charge'!AI515+Fuel!AI515+PCM!AJ515+Interest!AI515+'O&amp;M'!AK515+'Capex &amp; Depr'!AK515+Debt!AL515+Pat.!AB515+Rates!AI515</f>
        <v>0.88796655280000003</v>
      </c>
      <c r="AP515" s="106">
        <f>+'Regulatory Charge'!AJ515+Fuel!AJ515+PCM!AK515+Interest!AJ515+'O&amp;M'!AL515+'Capex &amp; Depr'!AL515+Debt!AM515+Pat.!AC515+Rates!AJ515</f>
        <v>0.86776280380000004</v>
      </c>
      <c r="AQ515" s="106">
        <f>+'Regulatory Charge'!AK515+Fuel!AK515+PCM!AL515+Interest!AK515+'O&amp;M'!AM515+'Capex &amp; Depr'!AM515+Debt!AN515+Pat.!AD515+Rates!AK515</f>
        <v>0.89226398450000022</v>
      </c>
      <c r="AR515" s="224">
        <f t="shared" si="9"/>
        <v>8.6630545260999998</v>
      </c>
      <c r="AS515" s="106">
        <f>+'Regulatory Charge'!AM515+Fuel!AM515+PCM!AN515+Interest!AM515+'O&amp;M'!AO515+'Capex &amp; Depr'!AO515+Debt!AP515+Pat.!AF515+Rates!AM515</f>
        <v>12.422228399999998</v>
      </c>
      <c r="AT515" s="106">
        <f>+'Regulatory Charge'!AN515+Fuel!AN515+PCM!AO515+Interest!AN515+'O&amp;M'!AP515+'Capex &amp; Depr'!AP515+Debt!AQ515+Pat.!AG515+Rates!AN515</f>
        <v>12.422228399999998</v>
      </c>
      <c r="AU515" s="106">
        <f>+'Regulatory Charge'!AO515+Fuel!AO515+PCM!AP515+Interest!AO515+'O&amp;M'!AQ515+'Capex &amp; Depr'!AQ515+Debt!AR515+Pat.!AH515+Rates!AO515</f>
        <v>12.4222284</v>
      </c>
      <c r="AV515" s="106">
        <f>+'Regulatory Charge'!AP515+Fuel!AP515+PCM!AQ515+Interest!AP515+'O&amp;M'!AR515+'Capex &amp; Depr'!AR515+Debt!AS515+Pat.!AI515+Rates!AP515</f>
        <v>13.04333982</v>
      </c>
      <c r="AW515" s="106">
        <f>+'Regulatory Charge'!AQ515+Fuel!AQ515+PCM!AR515+Interest!AQ515+'O&amp;M'!AS515+'Capex &amp; Depr'!AS515+Debt!AT515+Pat.!AJ515+Rates!AQ515</f>
        <v>13.04333982</v>
      </c>
      <c r="AX515" s="106">
        <f>+'Regulatory Charge'!AR515+Fuel!AR515+PCM!AS515+Interest!AR515+'O&amp;M'!AT515+'Capex &amp; Depr'!AT515+Debt!AU515+Pat.!AK515+Rates!AR515</f>
        <v>13.04333982</v>
      </c>
      <c r="AY515" s="106">
        <f>+'Regulatory Charge'!AS515+Fuel!AS515+PCM!AT515+Interest!AS515+'O&amp;M'!AU515+'Capex &amp; Depr'!AU515+Debt!AV515+Pat.!AL515+Rates!AS515</f>
        <v>13.695506811000001</v>
      </c>
      <c r="AZ515" s="106">
        <f>+'Regulatory Charge'!AT515+Fuel!AT515+PCM!AU515+Interest!AT515+'O&amp;M'!AV515+'Capex &amp; Depr'!AV515+Debt!AW515+Pat.!AM515+Rates!AT515</f>
        <v>13.695506811000001</v>
      </c>
      <c r="BA515" s="106">
        <f>+'Regulatory Charge'!AU515+Fuel!AU515+PCM!AV515+Interest!AU515+'O&amp;M'!AW515+'Capex &amp; Depr'!AW515+Debt!AX515+Pat.!AN515+Rates!AU515</f>
        <v>13.695506811000001</v>
      </c>
      <c r="BB515" s="106">
        <f>+'Regulatory Charge'!AV515+Fuel!AV515+PCM!AW515+Interest!AV515+'O&amp;M'!AX515+'Capex &amp; Depr'!AX515+Debt!AY515+Pat.!AO515+Rates!AV515</f>
        <v>14.38028215155</v>
      </c>
      <c r="BC515" s="106">
        <f>+'Regulatory Charge'!AW515+Fuel!AW515+PCM!AX515+Interest!AW515+'O&amp;M'!AY515+'Capex &amp; Depr'!AY515+Debt!AZ515+Pat.!AP515+Rates!AW515</f>
        <v>14.38028215155</v>
      </c>
      <c r="BD515" s="106"/>
      <c r="BE515" s="106"/>
    </row>
    <row r="516" spans="1:57">
      <c r="A516" s="849" t="s">
        <v>546</v>
      </c>
      <c r="B516" s="846" t="s">
        <v>89</v>
      </c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224"/>
      <c r="S516" s="106">
        <f>+'Regulatory Charge'!M516+Fuel!M516+PCM!N516+Interest!M516+'O&amp;M'!O516+'Capex &amp; Depr'!O516+Debt!P516+Pat.!F516+Rates!M516</f>
        <v>5.0424246788160856</v>
      </c>
      <c r="T516" s="106">
        <f>+'Regulatory Charge'!N516+Fuel!N516+PCM!O516+Interest!N516+'O&amp;M'!P516+'Capex &amp; Depr'!P516+Debt!Q516+Pat.!G516+Rates!N516</f>
        <v>4.6560002228690092</v>
      </c>
      <c r="U516" s="106">
        <f>+'Regulatory Charge'!O516+Fuel!O516+PCM!P516+Interest!O516+'O&amp;M'!Q516+'Capex &amp; Depr'!Q516+Debt!R516+Pat.!H516+Rates!O516</f>
        <v>5.9283493431404448</v>
      </c>
      <c r="V516" s="106">
        <f>+'Regulatory Charge'!P516+Fuel!P516+PCM!Q516+Interest!P516+'O&amp;M'!R516+'Capex &amp; Depr'!R516+Debt!S516+Pat.!I516+Rates!P516</f>
        <v>5.293725247221774</v>
      </c>
      <c r="W516" s="106">
        <f>+'Regulatory Charge'!Q516+Fuel!Q516+PCM!R516+Interest!Q516+'O&amp;M'!S516+'Capex &amp; Depr'!S516+Debt!T516+Pat.!J516+Rates!Q516</f>
        <v>5.007373161218907</v>
      </c>
      <c r="X516" s="106">
        <f>+'Regulatory Charge'!R516+Fuel!R516+PCM!S516+Interest!R516+'O&amp;M'!T516+'Capex &amp; Depr'!T516+Debt!U516+Pat.!K516+Rates!R516</f>
        <v>4.8843078298957971</v>
      </c>
      <c r="Y516" s="106">
        <f>+'Regulatory Charge'!S516+Fuel!S516+PCM!T516+Interest!S516+'O&amp;M'!U516+'Capex &amp; Depr'!U516+Debt!V516+Pat.!L516+Rates!S516</f>
        <v>5.0450274898558938</v>
      </c>
      <c r="Z516" s="106">
        <f>+'Regulatory Charge'!T516+Fuel!T516+PCM!U516+Interest!T516+'O&amp;M'!V516+'Capex &amp; Depr'!V516+Debt!W516+Pat.!M516+Rates!T516</f>
        <v>4.9220355853202706</v>
      </c>
      <c r="AA516" s="106">
        <f>+'Regulatory Charge'!U516+Fuel!U516+PCM!V516+Interest!U516+'O&amp;M'!W516+'Capex &amp; Depr'!W516+Debt!X516+Pat.!N516+Rates!U516</f>
        <v>4.848782831439749</v>
      </c>
      <c r="AB516" s="106">
        <f>+'Regulatory Charge'!V516+Fuel!V516+PCM!W516+Interest!V516+'O&amp;M'!X516+'Capex &amp; Depr'!X516+Debt!Y516+Pat.!O516+Rates!V516</f>
        <v>5.2921041977651049</v>
      </c>
      <c r="AC516" s="106">
        <f>+'Regulatory Charge'!W516+Fuel!W516+PCM!X516+Interest!W516+'O&amp;M'!Y516+'Capex &amp; Depr'!Y516+Debt!Z516+Pat.!P516+Rates!W516</f>
        <v>5.0012161416027148</v>
      </c>
      <c r="AD516" s="106">
        <f>+'Regulatory Charge'!X516+Fuel!X516+PCM!Y516+Interest!X516+'O&amp;M'!Z516+'Capex &amp; Depr'!Z516+Debt!AA516+Pat.!Q516+Rates!X516</f>
        <v>5.0072833884688013</v>
      </c>
      <c r="AE516" s="224">
        <f t="shared" si="8"/>
        <v>60.928630117614553</v>
      </c>
      <c r="AF516" s="106">
        <f>+'Regulatory Charge'!Z516+Fuel!Z516+PCM!AA516+Interest!Z516+'O&amp;M'!AB516+'Capex &amp; Depr'!AB516+Debt!AC516+Pat.!S516+Rates!Z516</f>
        <v>4.9713718505821145</v>
      </c>
      <c r="AG516" s="106">
        <f>+'Regulatory Charge'!AA516+Fuel!AA516+PCM!AB516+Interest!AA516+'O&amp;M'!AC516+'Capex &amp; Depr'!AC516+Debt!AD516+Pat.!T516+Rates!AA516</f>
        <v>4.6071974365752411</v>
      </c>
      <c r="AH516" s="106">
        <f>+'Regulatory Charge'!AB516+Fuel!AB516+PCM!AC516+Interest!AB516+'O&amp;M'!AD516+'Capex &amp; Depr'!AD516+Debt!AE516+Pat.!U516+Rates!AB516</f>
        <v>5.2404730537193807</v>
      </c>
      <c r="AI516" s="106">
        <f>+'Regulatory Charge'!AC516+Fuel!AC516+PCM!AD516+Interest!AC516+'O&amp;M'!AE516+'Capex &amp; Depr'!AE516+Debt!AF516+Pat.!V516+Rates!AC516</f>
        <v>5.3295835772283784</v>
      </c>
      <c r="AJ516" s="106">
        <f>+'Regulatory Charge'!AD516+Fuel!AD516+PCM!AE516+Interest!AD516+'O&amp;M'!AF516+'Capex &amp; Depr'!AF516+Debt!AG516+Pat.!W516+Rates!AD516</f>
        <v>5.228090719855353</v>
      </c>
      <c r="AK516" s="106">
        <f>+'Regulatory Charge'!AE516+Fuel!AE516+PCM!AF516+Interest!AE516+'O&amp;M'!AG516+'Capex &amp; Depr'!AG516+Debt!AH516+Pat.!X516+Rates!AE516</f>
        <v>4.8646735828683916</v>
      </c>
      <c r="AL516" s="106">
        <f>+'Regulatory Charge'!AF516+Fuel!AF516+PCM!AG516+Interest!AF516+'O&amp;M'!AH516+'Capex &amp; Depr'!AH516+Debt!AI516+Pat.!Y516+Rates!AF516</f>
        <v>5.0229912717198042</v>
      </c>
      <c r="AM516" s="106">
        <f>+'Regulatory Charge'!AG516+Fuel!AG516+PCM!AH516+Interest!AG516+'O&amp;M'!AI516+'Capex &amp; Depr'!AI516+Debt!AJ516+Pat.!Z516+Rates!AG516</f>
        <v>4.9577903893651998</v>
      </c>
      <c r="AN516" s="106">
        <f>+'Regulatory Charge'!AH516+Fuel!AH516+PCM!AI516+Interest!AH516+'O&amp;M'!AJ516+'Capex &amp; Depr'!AJ516+Debt!AK516+Pat.!AA516+Rates!AH516</f>
        <v>4.8594759733085198</v>
      </c>
      <c r="AO516" s="106">
        <f>+'Regulatory Charge'!AI516+Fuel!AI516+PCM!AJ516+Interest!AI516+'O&amp;M'!AK516+'Capex &amp; Depr'!AK516+Debt!AL516+Pat.!AB516+Rates!AI516</f>
        <v>5.2941540159782514</v>
      </c>
      <c r="AP516" s="106">
        <f>+'Regulatory Charge'!AJ516+Fuel!AJ516+PCM!AK516+Interest!AJ516+'O&amp;M'!AL516+'Capex &amp; Depr'!AL516+Debt!AM516+Pat.!AC516+Rates!AJ516</f>
        <v>4.9746071860301173</v>
      </c>
      <c r="AQ516" s="106">
        <f>+'Regulatory Charge'!AK516+Fuel!AK516+PCM!AL516+Interest!AK516+'O&amp;M'!AM516+'Capex &amp; Depr'!AM516+Debt!AN516+Pat.!AD516+Rates!AK516</f>
        <v>4.9723651573173582</v>
      </c>
      <c r="AR516" s="224">
        <f t="shared" si="9"/>
        <v>60.322774214548112</v>
      </c>
      <c r="AS516" s="106">
        <f>+'Regulatory Charge'!AM516+Fuel!AM516+PCM!AN516+Interest!AM516+'O&amp;M'!AO516+'Capex &amp; Depr'!AO516+Debt!AP516+Pat.!AF516+Rates!AM516</f>
        <v>63.236336685294987</v>
      </c>
      <c r="AT516" s="106">
        <f>+'Regulatory Charge'!AN516+Fuel!AN516+PCM!AO516+Interest!AN516+'O&amp;M'!AP516+'Capex &amp; Depr'!AP516+Debt!AQ516+Pat.!AG516+Rates!AN516</f>
        <v>64.668310185363254</v>
      </c>
      <c r="AU516" s="106">
        <f>+'Regulatory Charge'!AO516+Fuel!AO516+PCM!AP516+Interest!AO516+'O&amp;M'!AQ516+'Capex &amp; Depr'!AQ516+Debt!AR516+Pat.!AH516+Rates!AO516</f>
        <v>67.350304492243296</v>
      </c>
      <c r="AV516" s="106">
        <f>+'Regulatory Charge'!AP516+Fuel!AP516+PCM!AQ516+Interest!AP516+'O&amp;M'!AR516+'Capex &amp; Depr'!AR516+Debt!AS516+Pat.!AI516+Rates!AP516</f>
        <v>67.460528355818994</v>
      </c>
      <c r="AW516" s="106">
        <f>+'Regulatory Charge'!AQ516+Fuel!AQ516+PCM!AR516+Interest!AQ516+'O&amp;M'!AS516+'Capex &amp; Depr'!AS516+Debt!AT516+Pat.!AJ516+Rates!AQ516</f>
        <v>73.269523088465277</v>
      </c>
      <c r="AX516" s="106">
        <f>+'Regulatory Charge'!AR516+Fuel!AR516+PCM!AS516+Interest!AR516+'O&amp;M'!AT516+'Capex &amp; Depr'!AT516+Debt!AU516+Pat.!AK516+Rates!AR516</f>
        <v>78.322311781291091</v>
      </c>
      <c r="AY516" s="106">
        <f>+'Regulatory Charge'!AS516+Fuel!AS516+PCM!AT516+Interest!AS516+'O&amp;M'!AU516+'Capex &amp; Depr'!AU516+Debt!AV516+Pat.!AL516+Rates!AS516</f>
        <v>74.255813774374076</v>
      </c>
      <c r="AZ516" s="106">
        <f>+'Regulatory Charge'!AT516+Fuel!AT516+PCM!AU516+Interest!AT516+'O&amp;M'!AV516+'Capex &amp; Depr'!AV516+Debt!AW516+Pat.!AM516+Rates!AT516</f>
        <v>82.968697125924152</v>
      </c>
      <c r="BA516" s="106">
        <f>+'Regulatory Charge'!AU516+Fuel!AU516+PCM!AV516+Interest!AU516+'O&amp;M'!AW516+'Capex &amp; Depr'!AW516+Debt!AX516+Pat.!AN516+Rates!AU516</f>
        <v>86.308222211559567</v>
      </c>
      <c r="BB516" s="106">
        <f>+'Regulatory Charge'!AV516+Fuel!AV516+PCM!AW516+Interest!AV516+'O&amp;M'!AX516+'Capex &amp; Depr'!AX516+Debt!AY516+Pat.!AO516+Rates!AV516</f>
        <v>88.823263561530169</v>
      </c>
      <c r="BC516" s="106">
        <f>+'Regulatory Charge'!AW516+Fuel!AW516+PCM!AX516+Interest!AW516+'O&amp;M'!AY516+'Capex &amp; Depr'!AY516+Debt!AZ516+Pat.!AP516+Rates!AW516</f>
        <v>93.947484741128847</v>
      </c>
      <c r="BD516" s="106"/>
      <c r="BE516" s="106"/>
    </row>
    <row r="517" spans="1:57">
      <c r="A517" s="849" t="s">
        <v>548</v>
      </c>
      <c r="B517" s="846" t="s">
        <v>90</v>
      </c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224"/>
      <c r="S517" s="106">
        <f>+'Regulatory Charge'!M517+Fuel!M517+PCM!N517+Interest!M517+'O&amp;M'!O517+'Capex &amp; Depr'!O517+Debt!P517+Pat.!F517+Rates!M517</f>
        <v>0.79199190939456465</v>
      </c>
      <c r="T517" s="106">
        <f>+'Regulatory Charge'!N517+Fuel!N517+PCM!O517+Interest!N517+'O&amp;M'!P517+'Capex &amp; Depr'!P517+Debt!Q517+Pat.!G517+Rates!N517</f>
        <v>0.73808418000357756</v>
      </c>
      <c r="U517" s="106">
        <f>+'Regulatory Charge'!O517+Fuel!O517+PCM!P517+Interest!O517+'O&amp;M'!Q517+'Capex &amp; Depr'!Q517+Debt!R517+Pat.!H517+Rates!O517</f>
        <v>0.78269472378754223</v>
      </c>
      <c r="V517" s="106">
        <f>+'Regulatory Charge'!P517+Fuel!P517+PCM!Q517+Interest!P517+'O&amp;M'!R517+'Capex &amp; Depr'!R517+Debt!S517+Pat.!I517+Rates!P517</f>
        <v>0.44132700282353921</v>
      </c>
      <c r="W517" s="106">
        <f>+'Regulatory Charge'!Q517+Fuel!Q517+PCM!R517+Interest!Q517+'O&amp;M'!S517+'Capex &amp; Depr'!S517+Debt!T517+Pat.!J517+Rates!Q517</f>
        <v>0.60665124773534562</v>
      </c>
      <c r="X517" s="106">
        <f>+'Regulatory Charge'!R517+Fuel!R517+PCM!S517+Interest!R517+'O&amp;M'!T517+'Capex &amp; Depr'!T517+Debt!U517+Pat.!K517+Rates!R517</f>
        <v>0.75338737259290722</v>
      </c>
      <c r="Y517" s="106">
        <f>+'Regulatory Charge'!S517+Fuel!S517+PCM!T517+Interest!S517+'O&amp;M'!U517+'Capex &amp; Depr'!U517+Debt!V517+Pat.!L517+Rates!S517</f>
        <v>0.7787788560333806</v>
      </c>
      <c r="Z517" s="106">
        <f>+'Regulatory Charge'!T517+Fuel!T517+PCM!U517+Interest!T517+'O&amp;M'!V517+'Capex &amp; Depr'!V517+Debt!W517+Pat.!M517+Rates!T517</f>
        <v>0.79742481053833281</v>
      </c>
      <c r="AA517" s="106">
        <f>+'Regulatory Charge'!U517+Fuel!U517+PCM!V517+Interest!U517+'O&amp;M'!W517+'Capex &amp; Depr'!W517+Debt!X517+Pat.!N517+Rates!U517</f>
        <v>0.78796255019044625</v>
      </c>
      <c r="AB517" s="106">
        <f>+'Regulatory Charge'!V517+Fuel!V517+PCM!W517+Interest!V517+'O&amp;M'!X517+'Capex &amp; Depr'!X517+Debt!Y517+Pat.!O517+Rates!V517</f>
        <v>0.80301524790154066</v>
      </c>
      <c r="AC517" s="106">
        <f>+'Regulatory Charge'!W517+Fuel!W517+PCM!X517+Interest!W517+'O&amp;M'!Y517+'Capex &amp; Depr'!Y517+Debt!Z517+Pat.!P517+Rates!W517</f>
        <v>0.78302588648295357</v>
      </c>
      <c r="AD517" s="106">
        <f>+'Regulatory Charge'!X517+Fuel!X517+PCM!Y517+Interest!X517+'O&amp;M'!Z517+'Capex &amp; Depr'!Z517+Debt!AA517+Pat.!Q517+Rates!X517</f>
        <v>0.79024998301657601</v>
      </c>
      <c r="AE517" s="224">
        <f t="shared" si="8"/>
        <v>8.8545937705007063</v>
      </c>
      <c r="AF517" s="106">
        <f>+'Regulatory Charge'!Z517+Fuel!Z517+PCM!AA517+Interest!Z517+'O&amp;M'!AB517+'Capex &amp; Depr'!AB517+Debt!AC517+Pat.!S517+Rates!Z517</f>
        <v>0.85109205372752472</v>
      </c>
      <c r="AG517" s="106">
        <f>+'Regulatory Charge'!AA517+Fuel!AA517+PCM!AB517+Interest!AA517+'O&amp;M'!AC517+'Capex &amp; Depr'!AC517+Debt!AD517+Pat.!T517+Rates!AA517</f>
        <v>0.79095379708346503</v>
      </c>
      <c r="AH517" s="106">
        <f>+'Regulatory Charge'!AB517+Fuel!AB517+PCM!AC517+Interest!AB517+'O&amp;M'!AD517+'Capex &amp; Depr'!AD517+Debt!AE517+Pat.!U517+Rates!AB517</f>
        <v>0.85897097417856128</v>
      </c>
      <c r="AI517" s="106">
        <f>+'Regulatory Charge'!AC517+Fuel!AC517+PCM!AD517+Interest!AC517+'O&amp;M'!AE517+'Capex &amp; Depr'!AE517+Debt!AF517+Pat.!V517+Rates!AC517</f>
        <v>0.78658174786893886</v>
      </c>
      <c r="AJ517" s="106">
        <f>+'Regulatory Charge'!AD517+Fuel!AD517+PCM!AE517+Interest!AD517+'O&amp;M'!AF517+'Capex &amp; Depr'!AF517+Debt!AG517+Pat.!W517+Rates!AD517</f>
        <v>0.64581258205269099</v>
      </c>
      <c r="AK517" s="106">
        <f>+'Regulatory Charge'!AE517+Fuel!AE517+PCM!AF517+Interest!AE517+'O&amp;M'!AG517+'Capex &amp; Depr'!AG517+Debt!AH517+Pat.!X517+Rates!AE517</f>
        <v>0.804235571761865</v>
      </c>
      <c r="AL517" s="106">
        <f>+'Regulatory Charge'!AF517+Fuel!AF517+PCM!AG517+Interest!AF517+'O&amp;M'!AH517+'Capex &amp; Depr'!AH517+Debt!AI517+Pat.!Y517+Rates!AF517</f>
        <v>0.83071383171026514</v>
      </c>
      <c r="AM517" s="106">
        <f>+'Regulatory Charge'!AG517+Fuel!AG517+PCM!AH517+Interest!AG517+'O&amp;M'!AI517+'Capex &amp; Depr'!AI517+Debt!AJ517+Pat.!Z517+Rates!AG517</f>
        <v>0.84823243979886653</v>
      </c>
      <c r="AN517" s="106">
        <f>+'Regulatory Charge'!AH517+Fuel!AH517+PCM!AI517+Interest!AH517+'O&amp;M'!AJ517+'Capex &amp; Depr'!AJ517+Debt!AK517+Pat.!AA517+Rates!AH517</f>
        <v>0.84588662073016407</v>
      </c>
      <c r="AO517" s="106">
        <f>+'Regulatory Charge'!AI517+Fuel!AI517+PCM!AJ517+Interest!AI517+'O&amp;M'!AK517+'Capex &amp; Depr'!AK517+Debt!AL517+Pat.!AB517+Rates!AI517</f>
        <v>0.87613455360528181</v>
      </c>
      <c r="AP517" s="106">
        <f>+'Regulatory Charge'!AJ517+Fuel!AJ517+PCM!AK517+Interest!AJ517+'O&amp;M'!AL517+'Capex &amp; Depr'!AL517+Debt!AM517+Pat.!AC517+Rates!AJ517</f>
        <v>0.84474250080434143</v>
      </c>
      <c r="AQ517" s="106">
        <f>+'Regulatory Charge'!AK517+Fuel!AK517+PCM!AL517+Interest!AK517+'O&amp;M'!AM517+'Capex &amp; Depr'!AM517+Debt!AN517+Pat.!AD517+Rates!AK517</f>
        <v>0.85269877076562084</v>
      </c>
      <c r="AR517" s="224">
        <f t="shared" si="9"/>
        <v>9.8360554440875845</v>
      </c>
      <c r="AS517" s="106">
        <f>+'Regulatory Charge'!AM517+Fuel!AM517+PCM!AN517+Interest!AM517+'O&amp;M'!AO517+'Capex &amp; Depr'!AO517+Debt!AP517+Pat.!AF517+Rates!AM517</f>
        <v>10.269086752944023</v>
      </c>
      <c r="AT517" s="106">
        <f>+'Regulatory Charge'!AN517+Fuel!AN517+PCM!AO517+Interest!AN517+'O&amp;M'!AP517+'Capex &amp; Depr'!AP517+Debt!AQ517+Pat.!AG517+Rates!AN517</f>
        <v>10.798701998591797</v>
      </c>
      <c r="AU517" s="106">
        <f>+'Regulatory Charge'!AO517+Fuel!AO517+PCM!AP517+Interest!AO517+'O&amp;M'!AQ517+'Capex &amp; Depr'!AQ517+Debt!AR517+Pat.!AH517+Rates!AO517</f>
        <v>11.115804670141125</v>
      </c>
      <c r="AV517" s="106">
        <f>+'Regulatory Charge'!AP517+Fuel!AP517+PCM!AQ517+Interest!AP517+'O&amp;M'!AR517+'Capex &amp; Depr'!AR517+Debt!AS517+Pat.!AI517+Rates!AP517</f>
        <v>11.038889061871076</v>
      </c>
      <c r="AW517" s="106">
        <f>+'Regulatory Charge'!AQ517+Fuel!AQ517+PCM!AR517+Interest!AQ517+'O&amp;M'!AS517+'Capex &amp; Depr'!AS517+Debt!AT517+Pat.!AJ517+Rates!AQ517</f>
        <v>11.997760222780331</v>
      </c>
      <c r="AX517" s="106">
        <f>+'Regulatory Charge'!AR517+Fuel!AR517+PCM!AS517+Interest!AR517+'O&amp;M'!AT517+'Capex &amp; Depr'!AT517+Debt!AU517+Pat.!AK517+Rates!AR517</f>
        <v>12.592451361122368</v>
      </c>
      <c r="AY517" s="106">
        <f>+'Regulatory Charge'!AS517+Fuel!AS517+PCM!AT517+Interest!AS517+'O&amp;M'!AU517+'Capex &amp; Depr'!AU517+Debt!AV517+Pat.!AL517+Rates!AS517</f>
        <v>11.818564662962059</v>
      </c>
      <c r="AZ517" s="106">
        <f>+'Regulatory Charge'!AT517+Fuel!AT517+PCM!AU517+Interest!AT517+'O&amp;M'!AV517+'Capex &amp; Depr'!AV517+Debt!AW517+Pat.!AM517+Rates!AT517</f>
        <v>13.14483351462931</v>
      </c>
      <c r="BA517" s="106">
        <f>+'Regulatory Charge'!AU517+Fuel!AU517+PCM!AV517+Interest!AU517+'O&amp;M'!AW517+'Capex &amp; Depr'!AW517+Debt!AX517+Pat.!AN517+Rates!AU517</f>
        <v>13.420300182590605</v>
      </c>
      <c r="BB517" s="106">
        <f>+'Regulatory Charge'!AV517+Fuel!AV517+PCM!AW517+Interest!AV517+'O&amp;M'!AX517+'Capex &amp; Depr'!AX517+Debt!AY517+Pat.!AO517+Rates!AV517</f>
        <v>13.797636322585742</v>
      </c>
      <c r="BC517" s="106">
        <f>+'Regulatory Charge'!AW517+Fuel!AW517+PCM!AX517+Interest!AW517+'O&amp;M'!AY517+'Capex &amp; Depr'!AY517+Debt!AZ517+Pat.!AP517+Rates!AW517</f>
        <v>14.017204576534345</v>
      </c>
      <c r="BD517" s="106"/>
      <c r="BE517" s="106"/>
    </row>
    <row r="518" spans="1:57">
      <c r="A518" s="849" t="s">
        <v>646</v>
      </c>
      <c r="B518" s="846" t="s">
        <v>91</v>
      </c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224"/>
      <c r="S518" s="106">
        <f>+'Regulatory Charge'!M518+Fuel!M518+PCM!N518+Interest!M518+'O&amp;M'!O518+'Capex &amp; Depr'!O518+Debt!P518+Pat.!F518+Rates!M518</f>
        <v>0.62215626539999991</v>
      </c>
      <c r="T518" s="106">
        <f>+'Regulatory Charge'!N518+Fuel!N518+PCM!O518+Interest!N518+'O&amp;M'!P518+'Capex &amp; Depr'!P518+Debt!Q518+Pat.!G518+Rates!N518</f>
        <v>0.5916125467000003</v>
      </c>
      <c r="U518" s="106">
        <f>+'Regulatory Charge'!O518+Fuel!O518+PCM!P518+Interest!O518+'O&amp;M'!Q518+'Capex &amp; Depr'!Q518+Debt!R518+Pat.!H518+Rates!O518</f>
        <v>0.45243363639999995</v>
      </c>
      <c r="V518" s="106">
        <f>+'Regulatory Charge'!P518+Fuel!P518+PCM!Q518+Interest!P518+'O&amp;M'!R518+'Capex &amp; Depr'!R518+Debt!S518+Pat.!I518+Rates!P518</f>
        <v>0.74139876890000012</v>
      </c>
      <c r="W518" s="106">
        <f>+'Regulatory Charge'!Q518+Fuel!Q518+PCM!R518+Interest!Q518+'O&amp;M'!S518+'Capex &amp; Depr'!S518+Debt!T518+Pat.!J518+Rates!Q518</f>
        <v>1.1763295668000002</v>
      </c>
      <c r="X518" s="106">
        <f>+'Regulatory Charge'!R518+Fuel!R518+PCM!S518+Interest!R518+'O&amp;M'!T518+'Capex &amp; Depr'!T518+Debt!U518+Pat.!K518+Rates!R518</f>
        <v>0.77883408830000023</v>
      </c>
      <c r="Y518" s="106">
        <f>+'Regulatory Charge'!S518+Fuel!S518+PCM!T518+Interest!S518+'O&amp;M'!U518+'Capex &amp; Depr'!U518+Debt!V518+Pat.!L518+Rates!S518</f>
        <v>0.87873033169999948</v>
      </c>
      <c r="Z518" s="106">
        <f>+'Regulatory Charge'!T518+Fuel!T518+PCM!U518+Interest!T518+'O&amp;M'!V518+'Capex &amp; Depr'!V518+Debt!W518+Pat.!M518+Rates!T518</f>
        <v>0.66235122650000022</v>
      </c>
      <c r="AA518" s="106">
        <f>+'Regulatory Charge'!U518+Fuel!U518+PCM!V518+Interest!U518+'O&amp;M'!W518+'Capex &amp; Depr'!W518+Debt!X518+Pat.!N518+Rates!U518</f>
        <v>7.9055902199999986E-2</v>
      </c>
      <c r="AB518" s="106">
        <f>+'Regulatory Charge'!V518+Fuel!V518+PCM!W518+Interest!V518+'O&amp;M'!X518+'Capex &amp; Depr'!X518+Debt!Y518+Pat.!O518+Rates!V518</f>
        <v>9.232072400000001E-3</v>
      </c>
      <c r="AC518" s="106">
        <f>+'Regulatory Charge'!W518+Fuel!W518+PCM!X518+Interest!W518+'O&amp;M'!Y518+'Capex &amp; Depr'!Y518+Debt!Z518+Pat.!P518+Rates!W518</f>
        <v>3.7960289700000024E-2</v>
      </c>
      <c r="AD518" s="106">
        <f>+'Regulatory Charge'!X518+Fuel!X518+PCM!Y518+Interest!X518+'O&amp;M'!Z518+'Capex &amp; Depr'!Z518+Debt!AA518+Pat.!Q518+Rates!X518</f>
        <v>0.14278794460000002</v>
      </c>
      <c r="AE518" s="224">
        <f t="shared" si="8"/>
        <v>6.1728826396000001</v>
      </c>
      <c r="AF518" s="106">
        <f>+'Regulatory Charge'!Z518+Fuel!Z518+PCM!AA518+Interest!Z518+'O&amp;M'!AB518+'Capex &amp; Depr'!AB518+Debt!AC518+Pat.!S518+Rates!Z518</f>
        <v>0.21997349500000005</v>
      </c>
      <c r="AG518" s="106">
        <f>+'Regulatory Charge'!AA518+Fuel!AA518+PCM!AB518+Interest!AA518+'O&amp;M'!AC518+'Capex &amp; Depr'!AC518+Debt!AD518+Pat.!T518+Rates!AA518</f>
        <v>8.6748361100000018E-2</v>
      </c>
      <c r="AH518" s="106">
        <f>+'Regulatory Charge'!AB518+Fuel!AB518+PCM!AC518+Interest!AB518+'O&amp;M'!AD518+'Capex &amp; Depr'!AD518+Debt!AE518+Pat.!U518+Rates!AB518</f>
        <v>0.22969405729999984</v>
      </c>
      <c r="AI518" s="106">
        <f>+'Regulatory Charge'!AC518+Fuel!AC518+PCM!AD518+Interest!AC518+'O&amp;M'!AE518+'Capex &amp; Depr'!AE518+Debt!AF518+Pat.!V518+Rates!AC518</f>
        <v>0.24713617959999995</v>
      </c>
      <c r="AJ518" s="106">
        <f>+'Regulatory Charge'!AD518+Fuel!AD518+PCM!AE518+Interest!AD518+'O&amp;M'!AF518+'Capex &amp; Depr'!AF518+Debt!AG518+Pat.!W518+Rates!AD518</f>
        <v>0.29614133809999987</v>
      </c>
      <c r="AK518" s="106">
        <f>+'Regulatory Charge'!AE518+Fuel!AE518+PCM!AF518+Interest!AE518+'O&amp;M'!AG518+'Capex &amp; Depr'!AG518+Debt!AH518+Pat.!X518+Rates!AE518</f>
        <v>0.15432896970000004</v>
      </c>
      <c r="AL518" s="106">
        <f>+'Regulatory Charge'!AF518+Fuel!AF518+PCM!AG518+Interest!AF518+'O&amp;M'!AH518+'Capex &amp; Depr'!AH518+Debt!AI518+Pat.!Y518+Rates!AF518</f>
        <v>0.16274008689999994</v>
      </c>
      <c r="AM518" s="106">
        <f>+'Regulatory Charge'!AG518+Fuel!AG518+PCM!AH518+Interest!AG518+'O&amp;M'!AI518+'Capex &amp; Depr'!AI518+Debt!AJ518+Pat.!Z518+Rates!AG518</f>
        <v>0.2073111713000001</v>
      </c>
      <c r="AN518" s="106">
        <f>+'Regulatory Charge'!AH518+Fuel!AH518+PCM!AI518+Interest!AH518+'O&amp;M'!AJ518+'Capex &amp; Depr'!AJ518+Debt!AK518+Pat.!AA518+Rates!AH518</f>
        <v>7.2268148200000007E-2</v>
      </c>
      <c r="AO518" s="106">
        <f>+'Regulatory Charge'!AI518+Fuel!AI518+PCM!AJ518+Interest!AI518+'O&amp;M'!AK518+'Capex &amp; Depr'!AK518+Debt!AL518+Pat.!AB518+Rates!AI518</f>
        <v>8.1094002000000019E-3</v>
      </c>
      <c r="AP518" s="106">
        <f>+'Regulatory Charge'!AJ518+Fuel!AJ518+PCM!AK518+Interest!AJ518+'O&amp;M'!AL518+'Capex &amp; Depr'!AL518+Debt!AM518+Pat.!AC518+Rates!AJ518</f>
        <v>3.74187978E-2</v>
      </c>
      <c r="AQ518" s="106">
        <f>+'Regulatory Charge'!AK518+Fuel!AK518+PCM!AL518+Interest!AK518+'O&amp;M'!AM518+'Capex &amp; Depr'!AM518+Debt!AN518+Pat.!AD518+Rates!AK518</f>
        <v>0.2224089942000001</v>
      </c>
      <c r="AR518" s="224">
        <f t="shared" si="9"/>
        <v>1.9442789994</v>
      </c>
      <c r="AS518" s="106">
        <f>+'Regulatory Charge'!AM518+Fuel!AM518+PCM!AN518+Interest!AM518+'O&amp;M'!AO518+'Capex &amp; Depr'!AO518+Debt!AP518+Pat.!AF518+Rates!AM518</f>
        <v>2.5058812575999996</v>
      </c>
      <c r="AT518" s="106">
        <f>+'Regulatory Charge'!AN518+Fuel!AN518+PCM!AO518+Interest!AN518+'O&amp;M'!AP518+'Capex &amp; Depr'!AP518+Debt!AQ518+Pat.!AG518+Rates!AN518</f>
        <v>3.1282986090999998</v>
      </c>
      <c r="AU518" s="106">
        <f>+'Regulatory Charge'!AO518+Fuel!AO518+PCM!AP518+Interest!AO518+'O&amp;M'!AQ518+'Capex &amp; Depr'!AQ518+Debt!AR518+Pat.!AH518+Rates!AO518</f>
        <v>3.7426968239999994</v>
      </c>
      <c r="AV518" s="106">
        <f>+'Regulatory Charge'!AP518+Fuel!AP518+PCM!AQ518+Interest!AP518+'O&amp;M'!AR518+'Capex &amp; Depr'!AR518+Debt!AS518+Pat.!AI518+Rates!AP518</f>
        <v>3.6104256716999994</v>
      </c>
      <c r="AW518" s="106">
        <f>+'Regulatory Charge'!AQ518+Fuel!AQ518+PCM!AR518+Interest!AQ518+'O&amp;M'!AS518+'Capex &amp; Depr'!AS518+Debt!AT518+Pat.!AJ518+Rates!AQ518</f>
        <v>0.18195605590000002</v>
      </c>
      <c r="AX518" s="106">
        <f>+'Regulatory Charge'!AR518+Fuel!AR518+PCM!AS518+Interest!AR518+'O&amp;M'!AT518+'Capex &amp; Depr'!AT518+Debt!AU518+Pat.!AK518+Rates!AR518</f>
        <v>0.11185580340000001</v>
      </c>
      <c r="AY518" s="106">
        <f>+'Regulatory Charge'!AS518+Fuel!AS518+PCM!AT518+Interest!AS518+'O&amp;M'!AU518+'Capex &amp; Depr'!AU518+Debt!AV518+Pat.!AL518+Rates!AS518</f>
        <v>0.1032558918</v>
      </c>
      <c r="AZ518" s="106">
        <f>+'Regulatory Charge'!AT518+Fuel!AT518+PCM!AU518+Interest!AT518+'O&amp;M'!AV518+'Capex &amp; Depr'!AV518+Debt!AW518+Pat.!AM518+Rates!AT518</f>
        <v>7.6136057999999993E-2</v>
      </c>
      <c r="BA518" s="106">
        <f>+'Regulatory Charge'!AU518+Fuel!AU518+PCM!AV518+Interest!AU518+'O&amp;M'!AW518+'Capex &amp; Depr'!AW518+Debt!AX518+Pat.!AN518+Rates!AU518</f>
        <v>9.4355474100000017E-2</v>
      </c>
      <c r="BB518" s="106">
        <f>+'Regulatory Charge'!AV518+Fuel!AV518+PCM!AW518+Interest!AV518+'O&amp;M'!AX518+'Capex &amp; Depr'!AX518+Debt!AY518+Pat.!AO518+Rates!AV518</f>
        <v>0.12069862090000001</v>
      </c>
      <c r="BC518" s="106">
        <f>+'Regulatory Charge'!AW518+Fuel!AW518+PCM!AX518+Interest!AW518+'O&amp;M'!AY518+'Capex &amp; Depr'!AY518+Debt!AZ518+Pat.!AP518+Rates!AW518</f>
        <v>0.17989253219999995</v>
      </c>
      <c r="BD518" s="106"/>
      <c r="BE518" s="106"/>
    </row>
    <row r="519" spans="1:57">
      <c r="A519" s="849" t="s">
        <v>92</v>
      </c>
      <c r="B519" s="846" t="s">
        <v>93</v>
      </c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224"/>
      <c r="S519" s="106">
        <f>+'Regulatory Charge'!M519+Fuel!M519+PCM!N519+Interest!M519+'O&amp;M'!O519+'Capex &amp; Depr'!O519+Debt!P519+Pat.!F519+Rates!M519</f>
        <v>0</v>
      </c>
      <c r="T519" s="106">
        <f>+'Regulatory Charge'!N519+Fuel!N519+PCM!O519+Interest!N519+'O&amp;M'!P519+'Capex &amp; Depr'!P519+Debt!Q519+Pat.!G519+Rates!N519</f>
        <v>0</v>
      </c>
      <c r="U519" s="106">
        <f>+'Regulatory Charge'!O519+Fuel!O519+PCM!P519+Interest!O519+'O&amp;M'!Q519+'Capex &amp; Depr'!Q519+Debt!R519+Pat.!H519+Rates!O519</f>
        <v>0</v>
      </c>
      <c r="V519" s="106">
        <f>+'Regulatory Charge'!P519+Fuel!P519+PCM!Q519+Interest!P519+'O&amp;M'!R519+'Capex &amp; Depr'!R519+Debt!S519+Pat.!I519+Rates!P519</f>
        <v>0</v>
      </c>
      <c r="W519" s="106">
        <f>+'Regulatory Charge'!Q519+Fuel!Q519+PCM!R519+Interest!Q519+'O&amp;M'!S519+'Capex &amp; Depr'!S519+Debt!T519+Pat.!J519+Rates!Q519</f>
        <v>0</v>
      </c>
      <c r="X519" s="106">
        <f>+'Regulatory Charge'!R519+Fuel!R519+PCM!S519+Interest!R519+'O&amp;M'!T519+'Capex &amp; Depr'!T519+Debt!U519+Pat.!K519+Rates!R519</f>
        <v>0</v>
      </c>
      <c r="Y519" s="106">
        <f>+'Regulatory Charge'!S519+Fuel!S519+PCM!T519+Interest!S519+'O&amp;M'!U519+'Capex &amp; Depr'!U519+Debt!V519+Pat.!L519+Rates!S519</f>
        <v>0</v>
      </c>
      <c r="Z519" s="106">
        <f>+'Regulatory Charge'!T519+Fuel!T519+PCM!U519+Interest!T519+'O&amp;M'!V519+'Capex &amp; Depr'!V519+Debt!W519+Pat.!M519+Rates!T519</f>
        <v>0</v>
      </c>
      <c r="AA519" s="106">
        <f>+'Regulatory Charge'!U519+Fuel!U519+PCM!V519+Interest!U519+'O&amp;M'!W519+'Capex &amp; Depr'!W519+Debt!X519+Pat.!N519+Rates!U519</f>
        <v>0</v>
      </c>
      <c r="AB519" s="106">
        <f>+'Regulatory Charge'!V519+Fuel!V519+PCM!W519+Interest!V519+'O&amp;M'!X519+'Capex &amp; Depr'!X519+Debt!Y519+Pat.!O519+Rates!V519</f>
        <v>0</v>
      </c>
      <c r="AC519" s="106">
        <f>+'Regulatory Charge'!W519+Fuel!W519+PCM!X519+Interest!W519+'O&amp;M'!Y519+'Capex &amp; Depr'!Y519+Debt!Z519+Pat.!P519+Rates!W519</f>
        <v>0</v>
      </c>
      <c r="AD519" s="106">
        <f>+'Regulatory Charge'!X519+Fuel!X519+PCM!Y519+Interest!X519+'O&amp;M'!Z519+'Capex &amp; Depr'!Z519+Debt!AA519+Pat.!Q519+Rates!X519</f>
        <v>0</v>
      </c>
      <c r="AE519" s="224">
        <f t="shared" si="8"/>
        <v>0</v>
      </c>
      <c r="AF519" s="106">
        <f>+'Regulatory Charge'!Z519+Fuel!Z519+PCM!AA519+Interest!Z519+'O&amp;M'!AB519+'Capex &amp; Depr'!AB519+Debt!AC519+Pat.!S519+Rates!Z519</f>
        <v>0</v>
      </c>
      <c r="AG519" s="106">
        <f>+'Regulatory Charge'!AA519+Fuel!AA519+PCM!AB519+Interest!AA519+'O&amp;M'!AC519+'Capex &amp; Depr'!AC519+Debt!AD519+Pat.!T519+Rates!AA519</f>
        <v>0</v>
      </c>
      <c r="AH519" s="106">
        <f>+'Regulatory Charge'!AB519+Fuel!AB519+PCM!AC519+Interest!AB519+'O&amp;M'!AD519+'Capex &amp; Depr'!AD519+Debt!AE519+Pat.!U519+Rates!AB519</f>
        <v>0</v>
      </c>
      <c r="AI519" s="106">
        <f>+'Regulatory Charge'!AC519+Fuel!AC519+PCM!AD519+Interest!AC519+'O&amp;M'!AE519+'Capex &amp; Depr'!AE519+Debt!AF519+Pat.!V519+Rates!AC519</f>
        <v>0</v>
      </c>
      <c r="AJ519" s="106">
        <f>+'Regulatory Charge'!AD519+Fuel!AD519+PCM!AE519+Interest!AD519+'O&amp;M'!AF519+'Capex &amp; Depr'!AF519+Debt!AG519+Pat.!W519+Rates!AD519</f>
        <v>0</v>
      </c>
      <c r="AK519" s="106">
        <f>+'Regulatory Charge'!AE519+Fuel!AE519+PCM!AF519+Interest!AE519+'O&amp;M'!AG519+'Capex &amp; Depr'!AG519+Debt!AH519+Pat.!X519+Rates!AE519</f>
        <v>0</v>
      </c>
      <c r="AL519" s="106">
        <f>+'Regulatory Charge'!AF519+Fuel!AF519+PCM!AG519+Interest!AF519+'O&amp;M'!AH519+'Capex &amp; Depr'!AH519+Debt!AI519+Pat.!Y519+Rates!AF519</f>
        <v>0</v>
      </c>
      <c r="AM519" s="106">
        <f>+'Regulatory Charge'!AG519+Fuel!AG519+PCM!AH519+Interest!AG519+'O&amp;M'!AI519+'Capex &amp; Depr'!AI519+Debt!AJ519+Pat.!Z519+Rates!AG519</f>
        <v>0</v>
      </c>
      <c r="AN519" s="106">
        <f>+'Regulatory Charge'!AH519+Fuel!AH519+PCM!AI519+Interest!AH519+'O&amp;M'!AJ519+'Capex &amp; Depr'!AJ519+Debt!AK519+Pat.!AA519+Rates!AH519</f>
        <v>0</v>
      </c>
      <c r="AO519" s="106">
        <f>+'Regulatory Charge'!AI519+Fuel!AI519+PCM!AJ519+Interest!AI519+'O&amp;M'!AK519+'Capex &amp; Depr'!AK519+Debt!AL519+Pat.!AB519+Rates!AI519</f>
        <v>0</v>
      </c>
      <c r="AP519" s="106">
        <f>+'Regulatory Charge'!AJ519+Fuel!AJ519+PCM!AK519+Interest!AJ519+'O&amp;M'!AL519+'Capex &amp; Depr'!AL519+Debt!AM519+Pat.!AC519+Rates!AJ519</f>
        <v>0</v>
      </c>
      <c r="AQ519" s="106">
        <f>+'Regulatory Charge'!AK519+Fuel!AK519+PCM!AL519+Interest!AK519+'O&amp;M'!AM519+'Capex &amp; Depr'!AM519+Debt!AN519+Pat.!AD519+Rates!AK519</f>
        <v>0</v>
      </c>
      <c r="AR519" s="224">
        <f t="shared" si="9"/>
        <v>0</v>
      </c>
      <c r="AS519" s="106">
        <f>+'Regulatory Charge'!AM519+Fuel!AM519+PCM!AN519+Interest!AM519+'O&amp;M'!AO519+'Capex &amp; Depr'!AO519+Debt!AP519+Pat.!AF519+Rates!AM519</f>
        <v>0</v>
      </c>
      <c r="AT519" s="106">
        <f>+'Regulatory Charge'!AN519+Fuel!AN519+PCM!AO519+Interest!AN519+'O&amp;M'!AP519+'Capex &amp; Depr'!AP519+Debt!AQ519+Pat.!AG519+Rates!AN519</f>
        <v>0</v>
      </c>
      <c r="AU519" s="106">
        <f>+'Regulatory Charge'!AO519+Fuel!AO519+PCM!AP519+Interest!AO519+'O&amp;M'!AQ519+'Capex &amp; Depr'!AQ519+Debt!AR519+Pat.!AH519+Rates!AO519</f>
        <v>0</v>
      </c>
      <c r="AV519" s="106">
        <f>+'Regulatory Charge'!AP519+Fuel!AP519+PCM!AQ519+Interest!AP519+'O&amp;M'!AR519+'Capex &amp; Depr'!AR519+Debt!AS519+Pat.!AI519+Rates!AP519</f>
        <v>0</v>
      </c>
      <c r="AW519" s="106">
        <f>+'Regulatory Charge'!AQ519+Fuel!AQ519+PCM!AR519+Interest!AQ519+'O&amp;M'!AS519+'Capex &amp; Depr'!AS519+Debt!AT519+Pat.!AJ519+Rates!AQ519</f>
        <v>0</v>
      </c>
      <c r="AX519" s="106">
        <f>+'Regulatory Charge'!AR519+Fuel!AR519+PCM!AS519+Interest!AR519+'O&amp;M'!AT519+'Capex &amp; Depr'!AT519+Debt!AU519+Pat.!AK519+Rates!AR519</f>
        <v>0</v>
      </c>
      <c r="AY519" s="106">
        <f>+'Regulatory Charge'!AS519+Fuel!AS519+PCM!AT519+Interest!AS519+'O&amp;M'!AU519+'Capex &amp; Depr'!AU519+Debt!AV519+Pat.!AL519+Rates!AS519</f>
        <v>0</v>
      </c>
      <c r="AZ519" s="106">
        <f>+'Regulatory Charge'!AT519+Fuel!AT519+PCM!AU519+Interest!AT519+'O&amp;M'!AV519+'Capex &amp; Depr'!AV519+Debt!AW519+Pat.!AM519+Rates!AT519</f>
        <v>0</v>
      </c>
      <c r="BA519" s="106">
        <f>+'Regulatory Charge'!AU519+Fuel!AU519+PCM!AV519+Interest!AU519+'O&amp;M'!AW519+'Capex &amp; Depr'!AW519+Debt!AX519+Pat.!AN519+Rates!AU519</f>
        <v>0</v>
      </c>
      <c r="BB519" s="106">
        <f>+'Regulatory Charge'!AV519+Fuel!AV519+PCM!AW519+Interest!AV519+'O&amp;M'!AX519+'Capex &amp; Depr'!AX519+Debt!AY519+Pat.!AO519+Rates!AV519</f>
        <v>0</v>
      </c>
      <c r="BC519" s="106">
        <f>+'Regulatory Charge'!AW519+Fuel!AW519+PCM!AX519+Interest!AW519+'O&amp;M'!AY519+'Capex &amp; Depr'!AY519+Debt!AZ519+Pat.!AP519+Rates!AW519</f>
        <v>0</v>
      </c>
      <c r="BD519" s="106"/>
      <c r="BE519" s="106"/>
    </row>
    <row r="520" spans="1:57">
      <c r="A520" s="849" t="s">
        <v>647</v>
      </c>
      <c r="B520" s="846" t="s">
        <v>94</v>
      </c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224"/>
      <c r="S520" s="106">
        <f>+'Regulatory Charge'!M520+Fuel!M520+PCM!N520+Interest!M520+'O&amp;M'!O520+'Capex &amp; Depr'!O520+Debt!P520+Pat.!F520+Rates!M520</f>
        <v>0.54454877499999998</v>
      </c>
      <c r="T520" s="106">
        <f>+'Regulatory Charge'!N520+Fuel!N520+PCM!O520+Interest!N520+'O&amp;M'!P520+'Capex &amp; Depr'!P520+Debt!Q520+Pat.!G520+Rates!N520</f>
        <v>0.54448417500000001</v>
      </c>
      <c r="U520" s="106">
        <f>+'Regulatory Charge'!O520+Fuel!O520+PCM!P520+Interest!O520+'O&amp;M'!Q520+'Capex &amp; Depr'!Q520+Debt!R520+Pat.!H520+Rates!O520</f>
        <v>0.54454473749999999</v>
      </c>
      <c r="V520" s="106">
        <f>+'Regulatory Charge'!P520+Fuel!P520+PCM!Q520+Interest!P520+'O&amp;M'!R520+'Capex &amp; Depr'!R520+Debt!S520+Pat.!I520+Rates!P520</f>
        <v>0.54646254999999999</v>
      </c>
      <c r="W520" s="106">
        <f>+'Regulatory Charge'!Q520+Fuel!Q520+PCM!R520+Interest!Q520+'O&amp;M'!S520+'Capex &amp; Depr'!S520+Debt!T520+Pat.!J520+Rates!Q520</f>
        <v>0.54501308749999999</v>
      </c>
      <c r="X520" s="106">
        <f>+'Regulatory Charge'!R520+Fuel!R520+PCM!S520+Interest!R520+'O&amp;M'!T520+'Capex &amp; Depr'!T520+Debt!U520+Pat.!K520+Rates!R520</f>
        <v>0.55148677499999998</v>
      </c>
      <c r="Y520" s="106">
        <f>+'Regulatory Charge'!S520+Fuel!S520+PCM!T520+Interest!S520+'O&amp;M'!U520+'Capex &amp; Depr'!U520+Debt!V520+Pat.!L520+Rates!S520</f>
        <v>0.54513017500000005</v>
      </c>
      <c r="Z520" s="106">
        <f>+'Regulatory Charge'!T520+Fuel!T520+PCM!U520+Interest!T520+'O&amp;M'!V520+'Capex &amp; Depr'!V520+Debt!W520+Pat.!M520+Rates!T520</f>
        <v>0.54501308749999999</v>
      </c>
      <c r="AA520" s="106">
        <f>+'Regulatory Charge'!U520+Fuel!U520+PCM!V520+Interest!U520+'O&amp;M'!W520+'Capex &amp; Depr'!W520+Debt!X520+Pat.!N520+Rates!U520</f>
        <v>0.54504942499999998</v>
      </c>
      <c r="AB520" s="106">
        <f>+'Regulatory Charge'!V520+Fuel!V520+PCM!W520+Interest!V520+'O&amp;M'!X520+'Capex &amp; Depr'!X520+Debt!Y520+Pat.!O520+Rates!V520</f>
        <v>0.54508172499999996</v>
      </c>
      <c r="AC520" s="106">
        <f>+'Regulatory Charge'!W520+Fuel!W520+PCM!X520+Interest!W520+'O&amp;M'!Y520+'Capex &amp; Depr'!Y520+Debt!Z520+Pat.!P520+Rates!W520</f>
        <v>0.54480717499999998</v>
      </c>
      <c r="AD520" s="106">
        <f>+'Regulatory Charge'!X520+Fuel!X520+PCM!Y520+Interest!X520+'O&amp;M'!Z520+'Capex &amp; Depr'!Z520+Debt!AA520+Pat.!Q520+Rates!X520</f>
        <v>0.54449217500000002</v>
      </c>
      <c r="AE520" s="224">
        <f t="shared" si="8"/>
        <v>6.5461138625000004</v>
      </c>
      <c r="AF520" s="106">
        <f>+'Regulatory Charge'!Z520+Fuel!Z520+PCM!AA520+Interest!Z520+'O&amp;M'!AB520+'Capex &amp; Depr'!AB520+Debt!AC520+Pat.!S520+Rates!Z520</f>
        <v>0.550145675</v>
      </c>
      <c r="AG520" s="106">
        <f>+'Regulatory Charge'!AA520+Fuel!AA520+PCM!AB520+Interest!AA520+'O&amp;M'!AC520+'Capex &amp; Depr'!AC520+Debt!AD520+Pat.!T520+Rates!AA520</f>
        <v>0.55008107500000003</v>
      </c>
      <c r="AH520" s="106">
        <f>+'Regulatory Charge'!AB520+Fuel!AB520+PCM!AC520+Interest!AB520+'O&amp;M'!AD520+'Capex &amp; Depr'!AD520+Debt!AE520+Pat.!U520+Rates!AB520</f>
        <v>0.55033543750000002</v>
      </c>
      <c r="AI520" s="106">
        <f>+'Regulatory Charge'!AC520+Fuel!AC520+PCM!AD520+Interest!AC520+'O&amp;M'!AE520+'Capex &amp; Depr'!AE520+Debt!AF520+Pat.!V520+Rates!AC520</f>
        <v>0.55044444999999997</v>
      </c>
      <c r="AJ520" s="106">
        <f>+'Regulatory Charge'!AD520+Fuel!AD520+PCM!AE520+Interest!AD520+'O&amp;M'!AF520+'Capex &amp; Depr'!AF520+Debt!AG520+Pat.!W520+Rates!AD520</f>
        <v>0.55061806250000001</v>
      </c>
      <c r="AK520" s="106">
        <f>+'Regulatory Charge'!AE520+Fuel!AE520+PCM!AF520+Interest!AE520+'O&amp;M'!AG520+'Capex &amp; Depr'!AG520+Debt!AH520+Pat.!X520+Rates!AE520</f>
        <v>0.55561867500000006</v>
      </c>
      <c r="AL520" s="106">
        <f>+'Regulatory Charge'!AF520+Fuel!AF520+PCM!AG520+Interest!AF520+'O&amp;M'!AH520+'Capex &amp; Depr'!AH520+Debt!AI520+Pat.!Y520+Rates!AF520</f>
        <v>0.55046867500000007</v>
      </c>
      <c r="AM520" s="106">
        <f>+'Regulatory Charge'!AG520+Fuel!AG520+PCM!AH520+Interest!AG520+'O&amp;M'!AI520+'Capex &amp; Depr'!AI520+Debt!AJ520+Pat.!Z520+Rates!AG520</f>
        <v>0.5501416375</v>
      </c>
      <c r="AN520" s="106">
        <f>+'Regulatory Charge'!AH520+Fuel!AH520+PCM!AI520+Interest!AH520+'O&amp;M'!AJ520+'Capex &amp; Depr'!AJ520+Debt!AK520+Pat.!AA520+Rates!AH520</f>
        <v>0.55027487500000005</v>
      </c>
      <c r="AO520" s="106">
        <f>+'Regulatory Charge'!AI520+Fuel!AI520+PCM!AJ520+Interest!AI520+'O&amp;M'!AK520+'Capex &amp; Depr'!AK520+Debt!AL520+Pat.!AB520+Rates!AI520</f>
        <v>0.55056557500000003</v>
      </c>
      <c r="AP520" s="106">
        <f>+'Regulatory Charge'!AJ520+Fuel!AJ520+PCM!AK520+Interest!AJ520+'O&amp;M'!AL520+'Capex &amp; Depr'!AL520+Debt!AM520+Pat.!AC520+Rates!AJ520</f>
        <v>0.55027487500000005</v>
      </c>
      <c r="AQ520" s="106">
        <f>+'Regulatory Charge'!AK520+Fuel!AK520+PCM!AL520+Interest!AK520+'O&amp;M'!AM520+'Capex &amp; Depr'!AM520+Debt!AN520+Pat.!AD520+Rates!AK520</f>
        <v>0.55008907500000004</v>
      </c>
      <c r="AR520" s="224">
        <f t="shared" si="9"/>
        <v>6.6090580875000011</v>
      </c>
      <c r="AS520" s="106">
        <f>+'Regulatory Charge'!AM520+Fuel!AM520+PCM!AN520+Interest!AM520+'O&amp;M'!AO520+'Capex &amp; Depr'!AO520+Debt!AP520+Pat.!AF520+Rates!AM520</f>
        <v>6.6750935874999993</v>
      </c>
      <c r="AT520" s="106">
        <f>+'Regulatory Charge'!AN520+Fuel!AN520+PCM!AO520+Interest!AN520+'O&amp;M'!AP520+'Capex &amp; Depr'!AP520+Debt!AQ520+Pat.!AG520+Rates!AN520</f>
        <v>6.7485338874999998</v>
      </c>
      <c r="AU520" s="106">
        <f>+'Regulatory Charge'!AO520+Fuel!AO520+PCM!AP520+Interest!AO520+'O&amp;M'!AQ520+'Capex &amp; Depr'!AQ520+Debt!AR520+Pat.!AH520+Rates!AO520</f>
        <v>6.8219899041250001</v>
      </c>
      <c r="AV520" s="106">
        <f>+'Regulatory Charge'!AP520+Fuel!AP520+PCM!AQ520+Interest!AP520+'O&amp;M'!AR520+'Capex &amp; Depr'!AR520+Debt!AS520+Pat.!AI520+Rates!AP520</f>
        <v>6.8976496012487498</v>
      </c>
      <c r="AW520" s="106">
        <f>+'Regulatory Charge'!AQ520+Fuel!AQ520+PCM!AR520+Interest!AQ520+'O&amp;M'!AS520+'Capex &amp; Depr'!AS520+Debt!AT520+Pat.!AJ520+Rates!AQ520</f>
        <v>6.975579089286212</v>
      </c>
      <c r="AX520" s="106">
        <f>+'Regulatory Charge'!AR520+Fuel!AR520+PCM!AS520+Interest!AR520+'O&amp;M'!AT520+'Capex &amp; Depr'!AT520+Debt!AU520+Pat.!AK520+Rates!AR520</f>
        <v>7.0558464619647987</v>
      </c>
      <c r="AY520" s="106">
        <f>+'Regulatory Charge'!AS520+Fuel!AS520+PCM!AT520+Interest!AS520+'O&amp;M'!AU520+'Capex &amp; Depr'!AU520+Debt!AV520+Pat.!AL520+Rates!AS520</f>
        <v>7.1385218558237433</v>
      </c>
      <c r="AZ520" s="106">
        <f>+'Regulatory Charge'!AT520+Fuel!AT520+PCM!AU520+Interest!AT520+'O&amp;M'!AV520+'Capex &amp; Depr'!AV520+Debt!AW520+Pat.!AM520+Rates!AT520</f>
        <v>7.2236775114984555</v>
      </c>
      <c r="BA520" s="106">
        <f>+'Regulatory Charge'!AU520+Fuel!AU520+PCM!AV520+Interest!AU520+'O&amp;M'!AW520+'Capex &amp; Depr'!AW520+Debt!AX520+Pat.!AN520+Rates!AU520</f>
        <v>7.3113878368434095</v>
      </c>
      <c r="BB520" s="106">
        <f>+'Regulatory Charge'!AV520+Fuel!AV520+PCM!AW520+Interest!AV520+'O&amp;M'!AX520+'Capex &amp; Depr'!AX520+Debt!AY520+Pat.!AO520+Rates!AV520</f>
        <v>7.4017294719487117</v>
      </c>
      <c r="BC520" s="106">
        <f>+'Regulatory Charge'!AW520+Fuel!AW520+PCM!AX520+Interest!AW520+'O&amp;M'!AY520+'Capex &amp; Depr'!AY520+Debt!AZ520+Pat.!AP520+Rates!AW520</f>
        <v>7.4947813561071737</v>
      </c>
      <c r="BD520" s="106"/>
      <c r="BE520" s="106"/>
    </row>
    <row r="521" spans="1:57" s="569" customFormat="1">
      <c r="A521" s="849">
        <v>557.35</v>
      </c>
      <c r="B521" s="846" t="s">
        <v>1010</v>
      </c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224"/>
      <c r="S521" s="106">
        <f>+'Regulatory Charge'!M521+Fuel!M521+PCM!N521+Interest!M521+'O&amp;M'!O521+'Capex &amp; Depr'!O521+Debt!P521+Pat.!F521+Rates!M521</f>
        <v>-0.25054184067341095</v>
      </c>
      <c r="T521" s="106">
        <f>+'Regulatory Charge'!N521+Fuel!N521+PCM!O521+Interest!N521+'O&amp;M'!P521+'Capex &amp; Depr'!P521+Debt!Q521+Pat.!G521+Rates!N521</f>
        <v>-0.22577570239118511</v>
      </c>
      <c r="U521" s="106">
        <f>+'Regulatory Charge'!O521+Fuel!O521+PCM!P521+Interest!O521+'O&amp;M'!Q521+'Capex &amp; Depr'!Q521+Debt!R521+Pat.!H521+Rates!O521</f>
        <v>-0.20995766122140228</v>
      </c>
      <c r="V521" s="106">
        <f>+'Regulatory Charge'!P521+Fuel!P521+PCM!Q521+Interest!P521+'O&amp;M'!R521+'Capex &amp; Depr'!R521+Debt!S521+Pat.!I521+Rates!P521</f>
        <v>-0.18144543463118462</v>
      </c>
      <c r="W521" s="106">
        <f>+'Regulatory Charge'!Q521+Fuel!Q521+PCM!R521+Interest!Q521+'O&amp;M'!S521+'Capex &amp; Depr'!S521+Debt!T521+Pat.!J521+Rates!Q521</f>
        <v>-0.19328434038801445</v>
      </c>
      <c r="X521" s="106">
        <f>+'Regulatory Charge'!R521+Fuel!R521+PCM!S521+Interest!R521+'O&amp;M'!T521+'Capex &amp; Depr'!T521+Debt!U521+Pat.!K521+Rates!R521</f>
        <v>-0.22946192074250782</v>
      </c>
      <c r="Y521" s="106">
        <f>+'Regulatory Charge'!S521+Fuel!S521+PCM!T521+Interest!S521+'O&amp;M'!U521+'Capex &amp; Depr'!U521+Debt!V521+Pat.!L521+Rates!S521</f>
        <v>-0.250241328599762</v>
      </c>
      <c r="Z521" s="106">
        <f>+'Regulatory Charge'!T521+Fuel!T521+PCM!U521+Interest!T521+'O&amp;M'!V521+'Capex &amp; Depr'!V521+Debt!W521+Pat.!M521+Rates!T521</f>
        <v>-0.25906003936442179</v>
      </c>
      <c r="AA521" s="106">
        <f>+'Regulatory Charge'!U521+Fuel!U521+PCM!V521+Interest!U521+'O&amp;M'!W521+'Capex &amp; Depr'!W521+Debt!X521+Pat.!N521+Rates!U521</f>
        <v>-8.5043816098749281E-2</v>
      </c>
      <c r="AB521" s="106">
        <f>+'Regulatory Charge'!V521+Fuel!V521+PCM!W521+Interest!V521+'O&amp;M'!X521+'Capex &amp; Depr'!X521+Debt!Y521+Pat.!O521+Rates!V521</f>
        <v>-8.0882635975811593E-2</v>
      </c>
      <c r="AC521" s="106">
        <f>+'Regulatory Charge'!W521+Fuel!W521+PCM!X521+Interest!W521+'O&amp;M'!Y521+'Capex &amp; Depr'!Y521+Debt!Z521+Pat.!P521+Rates!W521</f>
        <v>-8.5079640114249247E-2</v>
      </c>
      <c r="AD521" s="106">
        <f>+'Regulatory Charge'!X521+Fuel!X521+PCM!Y521+Interest!X521+'O&amp;M'!Z521+'Capex &amp; Depr'!Z521+Debt!AA521+Pat.!Q521+Rates!X521</f>
        <v>-8.5815650920839398E-2</v>
      </c>
      <c r="AE521" s="224">
        <f t="shared" si="8"/>
        <v>-2.1365900111215383</v>
      </c>
      <c r="AF521" s="106">
        <f>+'Regulatory Charge'!Z521+Fuel!Z521+PCM!AA521+Interest!Z521+'O&amp;M'!AB521+'Capex &amp; Depr'!AB521+Debt!AC521+Pat.!S521+Rates!Z521</f>
        <v>-9.0383952576787496E-2</v>
      </c>
      <c r="AG521" s="106">
        <f>+'Regulatory Charge'!AA521+Fuel!AA521+PCM!AB521+Interest!AA521+'O&amp;M'!AC521+'Capex &amp; Depr'!AC521+Debt!AD521+Pat.!T521+Rates!AA521</f>
        <v>-9.5802386538704931E-2</v>
      </c>
      <c r="AH521" s="106">
        <f>+'Regulatory Charge'!AB521+Fuel!AB521+PCM!AC521+Interest!AB521+'O&amp;M'!AD521+'Capex &amp; Depr'!AD521+Debt!AE521+Pat.!U521+Rates!AB521</f>
        <v>-8.7911979935825404E-2</v>
      </c>
      <c r="AI521" s="106">
        <f>+'Regulatory Charge'!AC521+Fuel!AC521+PCM!AD521+Interest!AC521+'O&amp;M'!AE521+'Capex &amp; Depr'!AE521+Debt!AF521+Pat.!V521+Rates!AC521</f>
        <v>-8.6296908749704415E-2</v>
      </c>
      <c r="AJ521" s="106">
        <f>+'Regulatory Charge'!AD521+Fuel!AD521+PCM!AE521+Interest!AD521+'O&amp;M'!AF521+'Capex &amp; Depr'!AF521+Debt!AG521+Pat.!W521+Rates!AD521</f>
        <v>-8.6015510175350668E-2</v>
      </c>
      <c r="AK521" s="106">
        <f>+'Regulatory Charge'!AE521+Fuel!AE521+PCM!AF521+Interest!AE521+'O&amp;M'!AG521+'Capex &amp; Depr'!AG521+Debt!AH521+Pat.!X521+Rates!AE521</f>
        <v>-9.1596256374066154E-2</v>
      </c>
      <c r="AL521" s="106">
        <f>+'Regulatory Charge'!AF521+Fuel!AF521+PCM!AG521+Interest!AF521+'O&amp;M'!AH521+'Capex &amp; Depr'!AH521+Debt!AI521+Pat.!Y521+Rates!AF521</f>
        <v>-9.0344206771750646E-2</v>
      </c>
      <c r="AM521" s="106">
        <f>+'Regulatory Charge'!AG521+Fuel!AG521+PCM!AH521+Interest!AG521+'O&amp;M'!AI521+'Capex &amp; Depr'!AI521+Debt!AJ521+Pat.!Z521+Rates!AG521</f>
        <v>-9.0123914157239471E-2</v>
      </c>
      <c r="AN521" s="106">
        <f>+'Regulatory Charge'!AH521+Fuel!AH521+PCM!AI521+Interest!AH521+'O&amp;M'!AJ521+'Capex &amp; Depr'!AJ521+Debt!AK521+Pat.!AA521+Rates!AH521</f>
        <v>5.1473228723582232E-3</v>
      </c>
      <c r="AO521" s="106">
        <f>+'Regulatory Charge'!AI521+Fuel!AI521+PCM!AJ521+Interest!AI521+'O&amp;M'!AK521+'Capex &amp; Depr'!AK521+Debt!AL521+Pat.!AB521+Rates!AI521</f>
        <v>1.0368266666149345E-3</v>
      </c>
      <c r="AP521" s="106">
        <f>+'Regulatory Charge'!AJ521+Fuel!AJ521+PCM!AK521+Interest!AJ521+'O&amp;M'!AL521+'Capex &amp; Depr'!AL521+Debt!AM521+Pat.!AC521+Rates!AJ521</f>
        <v>5.2848706739710982E-3</v>
      </c>
      <c r="AQ521" s="106">
        <f>+'Regulatory Charge'!AK521+Fuel!AK521+PCM!AL521+Interest!AK521+'O&amp;M'!AM521+'Capex &amp; Depr'!AM521+Debt!AN521+Pat.!AD521+Rates!AK521</f>
        <v>2.962862257224487E-2</v>
      </c>
      <c r="AR521" s="224">
        <f t="shared" si="9"/>
        <v>-0.67737747249423996</v>
      </c>
      <c r="AS521" s="106">
        <f>+'Regulatory Charge'!AM521+Fuel!AM521+PCM!AN521+Interest!AM521+'O&amp;M'!AO521+'Capex &amp; Depr'!AO521+Debt!AP521+Pat.!AF521+Rates!AM521</f>
        <v>-4.5636537071599959</v>
      </c>
      <c r="AT521" s="106">
        <f>+'Regulatory Charge'!AN521+Fuel!AN521+PCM!AO521+Interest!AN521+'O&amp;M'!AP521+'Capex &amp; Depr'!AP521+Debt!AQ521+Pat.!AG521+Rates!AN521</f>
        <v>0.12056534973518174</v>
      </c>
      <c r="AU521" s="106">
        <f>+'Regulatory Charge'!AO521+Fuel!AO521+PCM!AP521+Interest!AO521+'O&amp;M'!AQ521+'Capex &amp; Depr'!AQ521+Debt!AR521+Pat.!AH521+Rates!AO521</f>
        <v>-1.4394464974925913E-2</v>
      </c>
      <c r="AV521" s="106">
        <f>+'Regulatory Charge'!AP521+Fuel!AP521+PCM!AQ521+Interest!AP521+'O&amp;M'!AR521+'Capex &amp; Depr'!AR521+Debt!AS521+Pat.!AI521+Rates!AP521</f>
        <v>-0.33713383154344045</v>
      </c>
      <c r="AW521" s="106">
        <f>+'Regulatory Charge'!AQ521+Fuel!AQ521+PCM!AR521+Interest!AQ521+'O&amp;M'!AS521+'Capex &amp; Depr'!AS521+Debt!AT521+Pat.!AJ521+Rates!AQ521</f>
        <v>1.1167352108607531E-3</v>
      </c>
      <c r="AX521" s="106">
        <f>+'Regulatory Charge'!AR521+Fuel!AR521+PCM!AS521+Interest!AR521+'O&amp;M'!AT521+'Capex &amp; Depr'!AT521+Debt!AU521+Pat.!AK521+Rates!AR521</f>
        <v>1.508806581833122E-2</v>
      </c>
      <c r="AY521" s="106">
        <f>+'Regulatory Charge'!AS521+Fuel!AS521+PCM!AT521+Interest!AS521+'O&amp;M'!AU521+'Capex &amp; Depr'!AU521+Debt!AV521+Pat.!AL521+Rates!AS521</f>
        <v>-0.35859041296635707</v>
      </c>
      <c r="AZ521" s="106">
        <f>+'Regulatory Charge'!AT521+Fuel!AT521+PCM!AU521+Interest!AT521+'O&amp;M'!AV521+'Capex &amp; Depr'!AV521+Debt!AW521+Pat.!AM521+Rates!AT521</f>
        <v>2.6263639512578152E-3</v>
      </c>
      <c r="BA521" s="106">
        <f>+'Regulatory Charge'!AU521+Fuel!AU521+PCM!AV521+Interest!AU521+'O&amp;M'!AW521+'Capex &amp; Depr'!AW521+Debt!AX521+Pat.!AN521+Rates!AU521</f>
        <v>-1.4715935314413287E-3</v>
      </c>
      <c r="BB521" s="106">
        <f>+'Regulatory Charge'!AV521+Fuel!AV521+PCM!AW521+Interest!AV521+'O&amp;M'!AX521+'Capex &amp; Depr'!AX521+Debt!AY521+Pat.!AO521+Rates!AV521</f>
        <v>-0.36172224985790091</v>
      </c>
      <c r="BC521" s="106">
        <f>+'Regulatory Charge'!AW521+Fuel!AW521+PCM!AX521+Interest!AW521+'O&amp;M'!AY521+'Capex &amp; Depr'!AY521+Debt!AZ521+Pat.!AP521+Rates!AW521</f>
        <v>-1.0686403110240938E-2</v>
      </c>
      <c r="BD521" s="106"/>
      <c r="BE521" s="106"/>
    </row>
    <row r="522" spans="1:57">
      <c r="A522" s="849" t="s">
        <v>744</v>
      </c>
      <c r="B522" s="846" t="s">
        <v>980</v>
      </c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224"/>
      <c r="S522" s="106">
        <f>+'Regulatory Charge'!M522+Fuel!M522+PCM!N522+Interest!M522+'O&amp;M'!O522+'Capex &amp; Depr'!O522+Debt!P522+Pat.!F522+Rates!M522</f>
        <v>2.6124691853908241E-2</v>
      </c>
      <c r="T522" s="106">
        <f>+'Regulatory Charge'!N522+Fuel!N522+PCM!O522+Interest!N522+'O&amp;M'!P522+'Capex &amp; Depr'!P522+Debt!Q522+Pat.!G522+Rates!N522</f>
        <v>2.3371514274918039E-2</v>
      </c>
      <c r="U522" s="106">
        <f>+'Regulatory Charge'!O522+Fuel!O522+PCM!P522+Interest!O522+'O&amp;M'!Q522+'Capex &amp; Depr'!Q522+Debt!R522+Pat.!H522+Rates!O522</f>
        <v>2.2798504948696497E-2</v>
      </c>
      <c r="V522" s="106">
        <f>+'Regulatory Charge'!P522+Fuel!P522+PCM!Q522+Interest!P522+'O&amp;M'!R522+'Capex &amp; Depr'!R522+Debt!S522+Pat.!I522+Rates!P522</f>
        <v>1.9754056338110209E-2</v>
      </c>
      <c r="W522" s="106">
        <f>+'Regulatory Charge'!Q522+Fuel!Q522+PCM!R522+Interest!Q522+'O&amp;M'!S522+'Capex &amp; Depr'!S522+Debt!T522+Pat.!J522+Rates!Q522</f>
        <v>2.1739775980292586E-2</v>
      </c>
      <c r="X522" s="106">
        <f>+'Regulatory Charge'!R522+Fuel!R522+PCM!S522+Interest!R522+'O&amp;M'!T522+'Capex &amp; Depr'!T522+Debt!U522+Pat.!K522+Rates!R522</f>
        <v>2.1606430148533702E-2</v>
      </c>
      <c r="Y522" s="106">
        <f>+'Regulatory Charge'!S522+Fuel!S522+PCM!T522+Interest!S522+'O&amp;M'!U522+'Capex &amp; Depr'!U522+Debt!V522+Pat.!L522+Rates!S522</f>
        <v>2.4254056338110199E-2</v>
      </c>
      <c r="Z522" s="106">
        <f>+'Regulatory Charge'!T522+Fuel!T522+PCM!U522+Interest!T522+'O&amp;M'!V522+'Capex &amp; Depr'!V522+Debt!W522+Pat.!M522+Rates!T522</f>
        <v>2.6389775980292584E-2</v>
      </c>
      <c r="AA522" s="106">
        <f>+'Regulatory Charge'!U522+Fuel!U522+PCM!V522+Interest!U522+'O&amp;M'!W522+'Capex &amp; Depr'!W522+Debt!X522+Pat.!N522+Rates!U522</f>
        <v>1.879525721248106E-2</v>
      </c>
      <c r="AB522" s="106">
        <f>+'Regulatory Charge'!V522+Fuel!V522+PCM!W522+Interest!V522+'O&amp;M'!X522+'Capex &amp; Depr'!X522+Debt!Y522+Pat.!O522+Rates!V522</f>
        <v>2.2925103790133971E-2</v>
      </c>
      <c r="AC522" s="106">
        <f>+'Regulatory Charge'!W522+Fuel!W522+PCM!X522+Interest!W522+'O&amp;M'!Y522+'Capex &amp; Depr'!Y522+Debt!Z522+Pat.!P522+Rates!W522</f>
        <v>2.1592322409179823E-2</v>
      </c>
      <c r="AD522" s="106">
        <f>+'Regulatory Charge'!X522+Fuel!X522+PCM!Y522+Interest!X522+'O&amp;M'!Z522+'Capex &amp; Depr'!Z522+Debt!AA522+Pat.!Q522+Rates!X522</f>
        <v>2.6978660391543403E-2</v>
      </c>
      <c r="AE522" s="224">
        <f t="shared" si="8"/>
        <v>0.27633014966620034</v>
      </c>
      <c r="AF522" s="106">
        <f>+'Regulatory Charge'!Z522+Fuel!Z522+PCM!AA522+Interest!Z522+'O&amp;M'!AB522+'Capex &amp; Depr'!AB522+Debt!AC522+Pat.!S522+Rates!Z522</f>
        <v>2.5709990923087303E-2</v>
      </c>
      <c r="AG522" s="106">
        <f>+'Regulatory Charge'!AA522+Fuel!AA522+PCM!AB522+Interest!AA522+'O&amp;M'!AC522+'Capex &amp; Depr'!AC522+Debt!AD522+Pat.!T522+Rates!AA522</f>
        <v>2.2970729482715245E-2</v>
      </c>
      <c r="AH522" s="106">
        <f>+'Regulatory Charge'!AB522+Fuel!AB522+PCM!AC522+Interest!AB522+'O&amp;M'!AD522+'Capex &amp; Depr'!AD522+Debt!AE522+Pat.!U522+Rates!AB522</f>
        <v>2.2367104651533767E-2</v>
      </c>
      <c r="AI522" s="106">
        <f>+'Regulatory Charge'!AC522+Fuel!AC522+PCM!AD522+Interest!AC522+'O&amp;M'!AE522+'Capex &amp; Depr'!AE522+Debt!AF522+Pat.!V522+Rates!AC522</f>
        <v>1.9342138635012888E-2</v>
      </c>
      <c r="AJ522" s="106">
        <f>+'Regulatory Charge'!AD522+Fuel!AD522+PCM!AE522+Interest!AD522+'O&amp;M'!AF522+'Capex &amp; Depr'!AF522+Debt!AG522+Pat.!W522+Rates!AD522</f>
        <v>2.1302809227682601E-2</v>
      </c>
      <c r="AK522" s="106">
        <f>+'Regulatory Charge'!AE522+Fuel!AE522+PCM!AF522+Interest!AE522+'O&amp;M'!AG522+'Capex &amp; Depr'!AG522+Debt!AH522+Pat.!X522+Rates!AE522</f>
        <v>2.1227911178119955E-2</v>
      </c>
      <c r="AL522" s="106">
        <f>+'Regulatory Charge'!AF522+Fuel!AF522+PCM!AG522+Interest!AF522+'O&amp;M'!AH522+'Capex &amp; Depr'!AH522+Debt!AI522+Pat.!Y522+Rates!AF522</f>
        <v>2.3842138635012888E-2</v>
      </c>
      <c r="AM522" s="106">
        <f>+'Regulatory Charge'!AG522+Fuel!AG522+PCM!AH522+Interest!AG522+'O&amp;M'!AI522+'Capex &amp; Depr'!AI522+Debt!AJ522+Pat.!Z522+Rates!AG522</f>
        <v>2.5952809227682599E-2</v>
      </c>
      <c r="AN522" s="106">
        <f>+'Regulatory Charge'!AH522+Fuel!AH522+PCM!AI522+Interest!AH522+'O&amp;M'!AJ522+'Capex &amp; Depr'!AJ522+Debt!AK522+Pat.!AA522+Rates!AH522</f>
        <v>1.8377911178119953E-2</v>
      </c>
      <c r="AO522" s="106">
        <f>+'Regulatory Charge'!AI522+Fuel!AI522+PCM!AJ522+Interest!AI522+'O&amp;M'!AK522+'Capex &amp; Depr'!AK522+Debt!AL522+Pat.!AB522+Rates!AI522</f>
        <v>2.2476152478049218E-2</v>
      </c>
      <c r="AP522" s="106">
        <f>+'Regulatory Charge'!AJ522+Fuel!AJ522+PCM!AK522+Interest!AJ522+'O&amp;M'!AL522+'Capex &amp; Depr'!AL522+Debt!AM522+Pat.!AC522+Rates!AJ522</f>
        <v>2.1218661068686927E-2</v>
      </c>
      <c r="AQ522" s="106">
        <f>+'Regulatory Charge'!AK522+Fuel!AK522+PCM!AL522+Interest!AK522+'O&amp;M'!AM522+'Capex &amp; Depr'!AM522+Debt!AN522+Pat.!AD522+Rates!AK522</f>
        <v>2.6593844981185045E-2</v>
      </c>
      <c r="AR522" s="224">
        <f t="shared" si="9"/>
        <v>0.27138220166688837</v>
      </c>
      <c r="AS522" s="106">
        <f>+'Regulatory Charge'!AM522+Fuel!AM522+PCM!AN522+Interest!AM522+'O&amp;M'!AO522+'Capex &amp; Depr'!AO522+Debt!AP522+Pat.!AF522+Rates!AM522</f>
        <v>0.28081380124728117</v>
      </c>
      <c r="AT522" s="106">
        <f>+'Regulatory Charge'!AN522+Fuel!AN522+PCM!AO522+Interest!AN522+'O&amp;M'!AP522+'Capex &amp; Depr'!AP522+Debt!AQ522+Pat.!AG522+Rates!AN522</f>
        <v>0.28991629671471303</v>
      </c>
      <c r="AU522" s="106">
        <f>+'Regulatory Charge'!AO522+Fuel!AO522+PCM!AP522+Interest!AO522+'O&amp;M'!AQ522+'Capex &amp; Depr'!AQ522+Debt!AR522+Pat.!AH522+Rates!AO522</f>
        <v>0.29861378561615443</v>
      </c>
      <c r="AV522" s="106">
        <f>+'Regulatory Charge'!AP522+Fuel!AP522+PCM!AQ522+Interest!AP522+'O&amp;M'!AR522+'Capex &amp; Depr'!AR522+Debt!AS522+Pat.!AI522+Rates!AP522</f>
        <v>0.30757219918463907</v>
      </c>
      <c r="AW522" s="106">
        <f>+'Regulatory Charge'!AQ522+Fuel!AQ522+PCM!AR522+Interest!AQ522+'O&amp;M'!AS522+'Capex &amp; Depr'!AS522+Debt!AT522+Pat.!AJ522+Rates!AQ522</f>
        <v>0.31679936516017826</v>
      </c>
      <c r="AX522" s="106">
        <f>+'Regulatory Charge'!AR522+Fuel!AR522+PCM!AS522+Interest!AR522+'O&amp;M'!AT522+'Capex &amp; Depr'!AT522+Debt!AU522+Pat.!AK522+Rates!AR522</f>
        <v>0.32630334611498363</v>
      </c>
      <c r="AY522" s="106">
        <f>+'Regulatory Charge'!AS522+Fuel!AS522+PCM!AT522+Interest!AS522+'O&amp;M'!AU522+'Capex &amp; Depr'!AU522+Debt!AV522+Pat.!AL522+Rates!AS522</f>
        <v>0.33609244649843317</v>
      </c>
      <c r="AZ522" s="106">
        <f>+'Regulatory Charge'!AT522+Fuel!AT522+PCM!AU522+Interest!AT522+'O&amp;M'!AV522+'Capex &amp; Depr'!AV522+Debt!AW522+Pat.!AM522+Rates!AT522</f>
        <v>0.34617521989338618</v>
      </c>
      <c r="BA522" s="106">
        <f>+'Regulatory Charge'!AU522+Fuel!AU522+PCM!AV522+Interest!AU522+'O&amp;M'!AW522+'Capex &amp; Depr'!AW522+Debt!AX522+Pat.!AN522+Rates!AU522</f>
        <v>0.35656047649018779</v>
      </c>
      <c r="BB522" s="106">
        <f>+'Regulatory Charge'!AV522+Fuel!AV522+PCM!AW522+Interest!AV522+'O&amp;M'!AX522+'Capex &amp; Depr'!AX522+Debt!AY522+Pat.!AO522+Rates!AV522</f>
        <v>0.36725729078489344</v>
      </c>
      <c r="BC522" s="106">
        <f>+'Regulatory Charge'!AW522+Fuel!AW522+PCM!AX522+Interest!AW522+'O&amp;M'!AY522+'Capex &amp; Depr'!AY522+Debt!AZ522+Pat.!AP522+Rates!AW522</f>
        <v>0.37827500950844023</v>
      </c>
      <c r="BD522" s="106"/>
      <c r="BE522" s="106"/>
    </row>
    <row r="523" spans="1:57">
      <c r="A523" s="849">
        <v>560.1</v>
      </c>
      <c r="B523" s="846" t="s">
        <v>980</v>
      </c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224"/>
      <c r="S523" s="106">
        <f>+'Regulatory Charge'!M523+Fuel!M523+PCM!N523+Interest!M523+'O&amp;M'!O523+'Capex &amp; Depr'!O523+Debt!P523+Pat.!F523+Rates!M523</f>
        <v>1.3850285000000002E-2</v>
      </c>
      <c r="T523" s="106">
        <f>+'Regulatory Charge'!N523+Fuel!N523+PCM!O523+Interest!N523+'O&amp;M'!P523+'Capex &amp; Depr'!P523+Debt!Q523+Pat.!G523+Rates!N523</f>
        <v>5.4707849999999997E-3</v>
      </c>
      <c r="U523" s="106">
        <f>+'Regulatory Charge'!O523+Fuel!O523+PCM!P523+Interest!O523+'O&amp;M'!Q523+'Capex &amp; Depr'!Q523+Debt!R523+Pat.!H523+Rates!O523</f>
        <v>2.8272885000000001E-2</v>
      </c>
      <c r="V523" s="106">
        <f>+'Regulatory Charge'!P523+Fuel!P523+PCM!Q523+Interest!P523+'O&amp;M'!R523+'Capex &amp; Depr'!R523+Debt!S523+Pat.!I523+Rates!P523</f>
        <v>5.1453850000000006E-3</v>
      </c>
      <c r="W523" s="106">
        <f>+'Regulatory Charge'!Q523+Fuel!Q523+PCM!R523+Interest!Q523+'O&amp;M'!S523+'Capex &amp; Depr'!S523+Debt!T523+Pat.!J523+Rates!Q523</f>
        <v>5.4504849999999997E-3</v>
      </c>
      <c r="X523" s="106">
        <f>+'Regulatory Charge'!R523+Fuel!R523+PCM!S523+Interest!R523+'O&amp;M'!T523+'Capex &amp; Depr'!T523+Debt!U523+Pat.!K523+Rates!R523</f>
        <v>2.8244185000000002E-2</v>
      </c>
      <c r="Y523" s="106">
        <f>+'Regulatory Charge'!S523+Fuel!S523+PCM!T523+Interest!S523+'O&amp;M'!U523+'Capex &amp; Depr'!U523+Debt!V523+Pat.!L523+Rates!S523</f>
        <v>5.160085E-3</v>
      </c>
      <c r="Z523" s="106">
        <f>+'Regulatory Charge'!T523+Fuel!T523+PCM!U523+Interest!T523+'O&amp;M'!V523+'Capex &amp; Depr'!V523+Debt!W523+Pat.!M523+Rates!T523</f>
        <v>5.7631850000000005E-3</v>
      </c>
      <c r="AA523" s="106">
        <f>+'Regulatory Charge'!U523+Fuel!U523+PCM!V523+Interest!U523+'O&amp;M'!W523+'Capex &amp; Depr'!W523+Debt!X523+Pat.!N523+Rates!U523</f>
        <v>2.8254085000000002E-2</v>
      </c>
      <c r="AB523" s="106">
        <f>+'Regulatory Charge'!V523+Fuel!V523+PCM!W523+Interest!V523+'O&amp;M'!X523+'Capex &amp; Depr'!X523+Debt!Y523+Pat.!O523+Rates!V523</f>
        <v>5.1231850000000006E-3</v>
      </c>
      <c r="AC523" s="106">
        <f>+'Regulatory Charge'!W523+Fuel!W523+PCM!X523+Interest!W523+'O&amp;M'!Y523+'Capex &amp; Depr'!Y523+Debt!Z523+Pat.!P523+Rates!W523</f>
        <v>5.1318850000000001E-3</v>
      </c>
      <c r="AD523" s="106">
        <f>+'Regulatory Charge'!X523+Fuel!X523+PCM!Y523+Interest!X523+'O&amp;M'!Z523+'Capex &amp; Depr'!Z523+Debt!AA523+Pat.!Q523+Rates!X523</f>
        <v>2.9138785E-2</v>
      </c>
      <c r="AE523" s="224">
        <f t="shared" si="8"/>
        <v>0.16500522000000001</v>
      </c>
      <c r="AF523" s="106">
        <f>+'Regulatory Charge'!Z523+Fuel!Z523+PCM!AA523+Interest!Z523+'O&amp;M'!AB523+'Capex &amp; Depr'!AB523+Debt!AC523+Pat.!S523+Rates!Z523</f>
        <v>1.38827845E-2</v>
      </c>
      <c r="AG523" s="106">
        <f>+'Regulatory Charge'!AA523+Fuel!AA523+PCM!AB523+Interest!AA523+'O&amp;M'!AC523+'Capex &amp; Depr'!AC523+Debt!AD523+Pat.!T523+Rates!AA523</f>
        <v>5.5078845000000008E-3</v>
      </c>
      <c r="AH523" s="106">
        <f>+'Regulatory Charge'!AB523+Fuel!AB523+PCM!AC523+Interest!AB523+'O&amp;M'!AD523+'Capex &amp; Depr'!AD523+Debt!AE523+Pat.!U523+Rates!AB523</f>
        <v>3.9854384500000006E-2</v>
      </c>
      <c r="AI523" s="106">
        <f>+'Regulatory Charge'!AC523+Fuel!AC523+PCM!AD523+Interest!AC523+'O&amp;M'!AE523+'Capex &amp; Depr'!AE523+Debt!AF523+Pat.!V523+Rates!AC523</f>
        <v>5.1756845000000013E-3</v>
      </c>
      <c r="AJ523" s="106">
        <f>+'Regulatory Charge'!AD523+Fuel!AD523+PCM!AE523+Interest!AD523+'O&amp;M'!AF523+'Capex &amp; Depr'!AF523+Debt!AG523+Pat.!W523+Rates!AD523</f>
        <v>5.2299845000000006E-3</v>
      </c>
      <c r="AK523" s="106">
        <f>+'Regulatory Charge'!AE523+Fuel!AE523+PCM!AF523+Interest!AE523+'O&amp;M'!AG523+'Capex &amp; Depr'!AG523+Debt!AH523+Pat.!X523+Rates!AE523</f>
        <v>2.9925484499999998E-2</v>
      </c>
      <c r="AL523" s="106">
        <f>+'Regulatory Charge'!AF523+Fuel!AF523+PCM!AG523+Interest!AF523+'O&amp;M'!AH523+'Capex &amp; Depr'!AH523+Debt!AI523+Pat.!Y523+Rates!AF523</f>
        <v>5.1915845000000006E-3</v>
      </c>
      <c r="AM523" s="106">
        <f>+'Regulatory Charge'!AG523+Fuel!AG523+PCM!AH523+Interest!AG523+'O&amp;M'!AI523+'Capex &amp; Depr'!AI523+Debt!AJ523+Pat.!Z523+Rates!AG523</f>
        <v>5.8242845000000005E-3</v>
      </c>
      <c r="AN523" s="106">
        <f>+'Regulatory Charge'!AH523+Fuel!AH523+PCM!AI523+Interest!AH523+'O&amp;M'!AJ523+'Capex &amp; Depr'!AJ523+Debt!AK523+Pat.!AA523+Rates!AH523</f>
        <v>2.9934384500000001E-2</v>
      </c>
      <c r="AO523" s="106">
        <f>+'Regulatory Charge'!AI523+Fuel!AI523+PCM!AJ523+Interest!AI523+'O&amp;M'!AK523+'Capex &amp; Depr'!AK523+Debt!AL523+Pat.!AB523+Rates!AI523</f>
        <v>5.1566845000000005E-3</v>
      </c>
      <c r="AP523" s="106">
        <f>+'Regulatory Charge'!AJ523+Fuel!AJ523+PCM!AK523+Interest!AJ523+'O&amp;M'!AL523+'Capex &amp; Depr'!AL523+Debt!AM523+Pat.!AC523+Rates!AJ523</f>
        <v>5.1508845000000011E-3</v>
      </c>
      <c r="AQ523" s="106">
        <f>+'Regulatory Charge'!AK523+Fuel!AK523+PCM!AL523+Interest!AK523+'O&amp;M'!AM523+'Capex &amp; Depr'!AM523+Debt!AN523+Pat.!AD523+Rates!AK523</f>
        <v>3.0840984499999998E-2</v>
      </c>
      <c r="AR523" s="224">
        <f t="shared" si="9"/>
        <v>0.18167501400000002</v>
      </c>
      <c r="AS523" s="106">
        <f>+'Regulatory Charge'!AM523+Fuel!AM523+PCM!AN523+Interest!AM523+'O&amp;M'!AO523+'Capex &amp; Depr'!AO523+Debt!AP523+Pat.!AF523+Rates!AM523</f>
        <v>0.184703384</v>
      </c>
      <c r="AT523" s="106">
        <f>+'Regulatory Charge'!AN523+Fuel!AN523+PCM!AO523+Interest!AN523+'O&amp;M'!AP523+'Capex &amp; Depr'!AP523+Debt!AQ523+Pat.!AG523+Rates!AN523</f>
        <v>0.19197880000000003</v>
      </c>
      <c r="AU523" s="106">
        <f>+'Regulatory Charge'!AO523+Fuel!AO523+PCM!AP523+Interest!AO523+'O&amp;M'!AQ523+'Capex &amp; Depr'!AQ523+Debt!AR523+Pat.!AH523+Rates!AO523</f>
        <v>0.19773816400000005</v>
      </c>
      <c r="AV523" s="106">
        <f>+'Regulatory Charge'!AP523+Fuel!AP523+PCM!AQ523+Interest!AP523+'O&amp;M'!AR523+'Capex &amp; Depr'!AR523+Debt!AS523+Pat.!AI523+Rates!AP523</f>
        <v>0.20367030892000004</v>
      </c>
      <c r="AW523" s="106">
        <f>+'Regulatory Charge'!AQ523+Fuel!AQ523+PCM!AR523+Interest!AQ523+'O&amp;M'!AS523+'Capex &amp; Depr'!AS523+Debt!AT523+Pat.!AJ523+Rates!AQ523</f>
        <v>0.20978041818760004</v>
      </c>
      <c r="AX523" s="106">
        <f>+'Regulatory Charge'!AR523+Fuel!AR523+PCM!AS523+Interest!AR523+'O&amp;M'!AT523+'Capex &amp; Depr'!AT523+Debt!AU523+Pat.!AK523+Rates!AR523</f>
        <v>0.21607383073322806</v>
      </c>
      <c r="AY523" s="106">
        <f>+'Regulatory Charge'!AS523+Fuel!AS523+PCM!AT523+Interest!AS523+'O&amp;M'!AU523+'Capex &amp; Depr'!AU523+Debt!AV523+Pat.!AL523+Rates!AS523</f>
        <v>0.22255604565522491</v>
      </c>
      <c r="AZ523" s="106">
        <f>+'Regulatory Charge'!AT523+Fuel!AT523+PCM!AU523+Interest!AT523+'O&amp;M'!AV523+'Capex &amp; Depr'!AV523+Debt!AW523+Pat.!AM523+Rates!AT523</f>
        <v>0.22923272702488165</v>
      </c>
      <c r="BA523" s="106">
        <f>+'Regulatory Charge'!AU523+Fuel!AU523+PCM!AV523+Interest!AU523+'O&amp;M'!AW523+'Capex &amp; Depr'!AW523+Debt!AX523+Pat.!AN523+Rates!AU523</f>
        <v>0.2361097088356281</v>
      </c>
      <c r="BB523" s="106">
        <f>+'Regulatory Charge'!AV523+Fuel!AV523+PCM!AW523+Interest!AV523+'O&amp;M'!AX523+'Capex &amp; Depr'!AX523+Debt!AY523+Pat.!AO523+Rates!AV523</f>
        <v>0.24319300010069694</v>
      </c>
      <c r="BC523" s="106">
        <f>+'Regulatory Charge'!AW523+Fuel!AW523+PCM!AX523+Interest!AW523+'O&amp;M'!AY523+'Capex &amp; Depr'!AY523+Debt!AZ523+Pat.!AP523+Rates!AW523</f>
        <v>0.25048879010371788</v>
      </c>
      <c r="BD523" s="106"/>
      <c r="BE523" s="106"/>
    </row>
    <row r="524" spans="1:57">
      <c r="A524" s="849" t="s">
        <v>746</v>
      </c>
      <c r="B524" s="846" t="s">
        <v>981</v>
      </c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224"/>
      <c r="S524" s="106">
        <f>+'Regulatory Charge'!M524+Fuel!M524+PCM!N524+Interest!M524+'O&amp;M'!O524+'Capex &amp; Depr'!O524+Debt!P524+Pat.!F524+Rates!M524</f>
        <v>4.2961414541967148E-2</v>
      </c>
      <c r="T524" s="106">
        <f>+'Regulatory Charge'!N524+Fuel!N524+PCM!O524+Interest!N524+'O&amp;M'!P524+'Capex &amp; Depr'!P524+Debt!Q524+Pat.!G524+Rates!N524</f>
        <v>4.1519756335860858E-2</v>
      </c>
      <c r="U524" s="106">
        <f>+'Regulatory Charge'!O524+Fuel!O524+PCM!P524+Interest!O524+'O&amp;M'!Q524+'Capex &amp; Depr'!Q524+Debt!R524+Pat.!H524+Rates!O524</f>
        <v>4.4691404389294677E-2</v>
      </c>
      <c r="V524" s="106">
        <f>+'Regulatory Charge'!P524+Fuel!P524+PCM!Q524+Interest!P524+'O&amp;M'!R524+'Capex &amp; Depr'!R524+Debt!S524+Pat.!I524+Rates!P524</f>
        <v>4.2673082900745889E-2</v>
      </c>
      <c r="W524" s="106">
        <f>+'Regulatory Charge'!Q524+Fuel!Q524+PCM!R524+Interest!Q524+'O&amp;M'!S524+'Capex &amp; Depr'!S524+Debt!T524+Pat.!J524+Rates!Q524</f>
        <v>4.5268067671737196E-2</v>
      </c>
      <c r="X524" s="106">
        <f>+'Regulatory Charge'!R524+Fuel!R524+PCM!S524+Interest!R524+'O&amp;M'!T524+'Capex &amp; Depr'!T524+Debt!U524+Pat.!K524+Rates!R524</f>
        <v>3.9213103206090817E-2</v>
      </c>
      <c r="Y524" s="106">
        <f>+'Regulatory Charge'!S524+Fuel!S524+PCM!T524+Interest!S524+'O&amp;M'!U524+'Capex &amp; Depr'!U524+Debt!V524+Pat.!L524+Rates!S524</f>
        <v>4.2673082900745889E-2</v>
      </c>
      <c r="Z524" s="106">
        <f>+'Regulatory Charge'!T524+Fuel!T524+PCM!U524+Interest!T524+'O&amp;M'!V524+'Capex &amp; Depr'!V524+Debt!W524+Pat.!M524+Rates!T524</f>
        <v>4.5268067671737196E-2</v>
      </c>
      <c r="AA524" s="106">
        <f>+'Regulatory Charge'!U524+Fuel!U524+PCM!V524+Interest!U524+'O&amp;M'!W524+'Capex &amp; Depr'!W524+Debt!X524+Pat.!N524+Rates!U524</f>
        <v>3.9253973799719621E-2</v>
      </c>
      <c r="AB524" s="106">
        <f>+'Regulatory Charge'!V524+Fuel!V524+PCM!W524+Interest!V524+'O&amp;M'!X524+'Capex &amp; Depr'!X524+Debt!Y524+Pat.!O524+Rates!V524</f>
        <v>4.6736831193946921E-2</v>
      </c>
      <c r="AC524" s="106">
        <f>+'Regulatory Charge'!W524+Fuel!W524+PCM!X524+Interest!W524+'O&amp;M'!Y524+'Capex &amp; Depr'!Y524+Debt!Z524+Pat.!P524+Rates!W524</f>
        <v>3.8898977515458927E-2</v>
      </c>
      <c r="AD524" s="106">
        <f>+'Regulatory Charge'!X524+Fuel!X524+PCM!Y524+Interest!X524+'O&amp;M'!Z524+'Capex &amp; Depr'!Z524+Debt!AA524+Pat.!Q524+Rates!X524</f>
        <v>4.0060141023383074E-2</v>
      </c>
      <c r="AE524" s="224">
        <f t="shared" si="8"/>
        <v>0.50921790315068816</v>
      </c>
      <c r="AF524" s="106">
        <f>+'Regulatory Charge'!Z524+Fuel!Z524+PCM!AA524+Interest!Z524+'O&amp;M'!AB524+'Capex &amp; Depr'!AB524+Debt!AC524+Pat.!S524+Rates!Z524</f>
        <v>4.2406685027387141E-2</v>
      </c>
      <c r="AG524" s="106">
        <f>+'Regulatory Charge'!AA524+Fuel!AA524+PCM!AB524+Interest!AA524+'O&amp;M'!AC524+'Capex &amp; Depr'!AC524+Debt!AD524+Pat.!T524+Rates!AA524</f>
        <v>4.0983641905662734E-2</v>
      </c>
      <c r="AH524" s="106">
        <f>+'Regulatory Charge'!AB524+Fuel!AB524+PCM!AC524+Interest!AB524+'O&amp;M'!AD524+'Capex &amp; Depr'!AD524+Debt!AE524+Pat.!U524+Rates!AB524</f>
        <v>4.4114336773456421E-2</v>
      </c>
      <c r="AI524" s="106">
        <f>+'Regulatory Charge'!AC524+Fuel!AC524+PCM!AD524+Interest!AC524+'O&amp;M'!AE524+'Capex &amp; Depr'!AE524+Debt!AF524+Pat.!V524+Rates!AC524</f>
        <v>4.2122076403042261E-2</v>
      </c>
      <c r="AJ524" s="106">
        <f>+'Regulatory Charge'!AD524+Fuel!AD524+PCM!AE524+Interest!AD524+'O&amp;M'!AF524+'Capex &amp; Depr'!AF524+Debt!AG524+Pat.!W524+Rates!AD524</f>
        <v>4.4683554022146188E-2</v>
      </c>
      <c r="AK524" s="106">
        <f>+'Regulatory Charge'!AE524+Fuel!AE524+PCM!AF524+Interest!AE524+'O&amp;M'!AG524+'Capex &amp; Depr'!AG524+Debt!AH524+Pat.!X524+Rates!AE524</f>
        <v>3.87067729109037E-2</v>
      </c>
      <c r="AL524" s="106">
        <f>+'Regulatory Charge'!AF524+Fuel!AF524+PCM!AG524+Interest!AF524+'O&amp;M'!AH524+'Capex &amp; Depr'!AH524+Debt!AI524+Pat.!Y524+Rates!AF524</f>
        <v>4.2122076403042261E-2</v>
      </c>
      <c r="AM524" s="106">
        <f>+'Regulatory Charge'!AG524+Fuel!AG524+PCM!AH524+Interest!AG524+'O&amp;M'!AI524+'Capex &amp; Depr'!AI524+Debt!AJ524+Pat.!Z524+Rates!AG524</f>
        <v>4.4683554022146188E-2</v>
      </c>
      <c r="AN524" s="106">
        <f>+'Regulatory Charge'!AH524+Fuel!AH524+PCM!AI524+Interest!AH524+'O&amp;M'!AJ524+'Capex &amp; Depr'!AJ524+Debt!AK524+Pat.!AA524+Rates!AH524</f>
        <v>3.87067729109037E-2</v>
      </c>
      <c r="AO524" s="106">
        <f>+'Regulatory Charge'!AI524+Fuel!AI524+PCM!AJ524+Interest!AI524+'O&amp;M'!AK524+'Capex &amp; Depr'!AK524+Debt!AL524+Pat.!AB524+Rates!AI524</f>
        <v>4.6134362194319059E-2</v>
      </c>
      <c r="AP524" s="106">
        <f>+'Regulatory Charge'!AJ524+Fuel!AJ524+PCM!AK524+Interest!AJ524+'O&amp;M'!AL524+'Capex &amp; Depr'!AL524+Debt!AM524+Pat.!AC524+Rates!AJ524</f>
        <v>3.8397543689681714E-2</v>
      </c>
      <c r="AQ524" s="106">
        <f>+'Regulatory Charge'!AK524+Fuel!AK524+PCM!AL524+Interest!AK524+'O&amp;M'!AM524+'Capex &amp; Depr'!AM524+Debt!AN524+Pat.!AD524+Rates!AK524</f>
        <v>3.9543739023702063E-2</v>
      </c>
      <c r="AR524" s="224">
        <f t="shared" si="9"/>
        <v>0.5026051152863934</v>
      </c>
      <c r="AS524" s="106">
        <f>+'Regulatory Charge'!AM524+Fuel!AM524+PCM!AN524+Interest!AM524+'O&amp;M'!AO524+'Capex &amp; Depr'!AO524+Debt!AP524+Pat.!AF524+Rates!AM524</f>
        <v>0.51489446699065788</v>
      </c>
      <c r="AT524" s="106">
        <f>+'Regulatory Charge'!AN524+Fuel!AN524+PCM!AO524+Interest!AN524+'O&amp;M'!AP524+'Capex &amp; Depr'!AP524+Debt!AQ524+Pat.!AG524+Rates!AN524</f>
        <v>0.52691034780508106</v>
      </c>
      <c r="AU524" s="106">
        <f>+'Regulatory Charge'!AO524+Fuel!AO524+PCM!AP524+Interest!AO524+'O&amp;M'!AQ524+'Capex &amp; Depr'!AQ524+Debt!AR524+Pat.!AH524+Rates!AO524</f>
        <v>0.54271765823923346</v>
      </c>
      <c r="AV524" s="106">
        <f>+'Regulatory Charge'!AP524+Fuel!AP524+PCM!AQ524+Interest!AP524+'O&amp;M'!AR524+'Capex &amp; Depr'!AR524+Debt!AS524+Pat.!AI524+Rates!AP524</f>
        <v>0.55899918798641046</v>
      </c>
      <c r="AW524" s="106">
        <f>+'Regulatory Charge'!AQ524+Fuel!AQ524+PCM!AR524+Interest!AQ524+'O&amp;M'!AS524+'Capex &amp; Depr'!AS524+Debt!AT524+Pat.!AJ524+Rates!AQ524</f>
        <v>0.57576916362600283</v>
      </c>
      <c r="AX524" s="106">
        <f>+'Regulatory Charge'!AR524+Fuel!AR524+PCM!AS524+Interest!AR524+'O&amp;M'!AT524+'Capex &amp; Depr'!AT524+Debt!AU524+Pat.!AK524+Rates!AR524</f>
        <v>0.59304223853478288</v>
      </c>
      <c r="AY524" s="106">
        <f>+'Regulatory Charge'!AS524+Fuel!AS524+PCM!AT524+Interest!AS524+'O&amp;M'!AU524+'Capex &amp; Depr'!AU524+Debt!AV524+Pat.!AL524+Rates!AS524</f>
        <v>0.61083350569082639</v>
      </c>
      <c r="AZ524" s="106">
        <f>+'Regulatory Charge'!AT524+Fuel!AT524+PCM!AU524+Interest!AT524+'O&amp;M'!AV524+'Capex &amp; Depr'!AV524+Debt!AW524+Pat.!AM524+Rates!AT524</f>
        <v>0.62915851086155117</v>
      </c>
      <c r="BA524" s="106">
        <f>+'Regulatory Charge'!AU524+Fuel!AU524+PCM!AV524+Interest!AU524+'O&amp;M'!AW524+'Capex &amp; Depr'!AW524+Debt!AX524+Pat.!AN524+Rates!AU524</f>
        <v>0.64803326618739776</v>
      </c>
      <c r="BB524" s="106">
        <f>+'Regulatory Charge'!AV524+Fuel!AV524+PCM!AW524+Interest!AV524+'O&amp;M'!AX524+'Capex &amp; Depr'!AX524+Debt!AY524+Pat.!AO524+Rates!AV524</f>
        <v>0.66747426417301969</v>
      </c>
      <c r="BC524" s="106">
        <f>+'Regulatory Charge'!AW524+Fuel!AW524+PCM!AX524+Interest!AW524+'O&amp;M'!AY524+'Capex &amp; Depr'!AY524+Debt!AZ524+Pat.!AP524+Rates!AW524</f>
        <v>0.68749849209821035</v>
      </c>
      <c r="BD524" s="106"/>
      <c r="BE524" s="106"/>
    </row>
    <row r="525" spans="1:57">
      <c r="A525" s="849" t="s">
        <v>751</v>
      </c>
      <c r="B525" s="846" t="s">
        <v>982</v>
      </c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224"/>
      <c r="S525" s="106">
        <f>+'Regulatory Charge'!M525+Fuel!M525+PCM!N525+Interest!M525+'O&amp;M'!O525+'Capex &amp; Depr'!O525+Debt!P525+Pat.!F525+Rates!M525</f>
        <v>9.4659769442985597E-2</v>
      </c>
      <c r="T525" s="106">
        <f>+'Regulatory Charge'!N525+Fuel!N525+PCM!O525+Interest!N525+'O&amp;M'!P525+'Capex &amp; Depr'!P525+Debt!Q525+Pat.!G525+Rates!N525</f>
        <v>9.1483267112684077E-2</v>
      </c>
      <c r="U525" s="106">
        <f>+'Regulatory Charge'!O525+Fuel!O525+PCM!P525+Interest!O525+'O&amp;M'!Q525+'Capex &amp; Depr'!Q525+Debt!R525+Pat.!H525+Rates!O525</f>
        <v>9.8471572239347452E-2</v>
      </c>
      <c r="V525" s="106">
        <f>+'Regulatory Charge'!P525+Fuel!P525+PCM!Q525+Interest!P525+'O&amp;M'!R525+'Capex &amp; Depr'!R525+Debt!S525+Pat.!I525+Rates!P525</f>
        <v>9.4024468976925291E-2</v>
      </c>
      <c r="W525" s="106">
        <f>+'Regulatory Charge'!Q525+Fuel!Q525+PCM!R525+Interest!Q525+'O&amp;M'!S525+'Capex &amp; Depr'!S525+Debt!T525+Pat.!J525+Rates!Q525</f>
        <v>9.9742173171468052E-2</v>
      </c>
      <c r="X525" s="106">
        <f>+'Regulatory Charge'!R525+Fuel!R525+PCM!S525+Interest!R525+'O&amp;M'!T525+'Capex &amp; Depr'!T525+Debt!U525+Pat.!K525+Rates!R525</f>
        <v>8.6400863384201623E-2</v>
      </c>
      <c r="Y525" s="106">
        <f>+'Regulatory Charge'!S525+Fuel!S525+PCM!T525+Interest!S525+'O&amp;M'!U525+'Capex &amp; Depr'!U525+Debt!V525+Pat.!L525+Rates!S525</f>
        <v>9.4024468976925291E-2</v>
      </c>
      <c r="Z525" s="106">
        <f>+'Regulatory Charge'!T525+Fuel!T525+PCM!U525+Interest!T525+'O&amp;M'!V525+'Capex &amp; Depr'!V525+Debt!W525+Pat.!M525+Rates!T525</f>
        <v>9.9742173171468052E-2</v>
      </c>
      <c r="AA525" s="106">
        <f>+'Regulatory Charge'!U525+Fuel!U525+PCM!V525+Interest!U525+'O&amp;M'!W525+'Capex &amp; Depr'!W525+Debt!X525+Pat.!N525+Rates!U525</f>
        <v>8.6427429270060349E-2</v>
      </c>
      <c r="AB525" s="106">
        <f>+'Regulatory Charge'!V525+Fuel!V525+PCM!W525+Interest!V525+'O&amp;M'!X525+'Capex &amp; Depr'!X525+Debt!Y525+Pat.!O525+Rates!V525</f>
        <v>0.10274309691486777</v>
      </c>
      <c r="AC525" s="106">
        <f>+'Regulatory Charge'!W525+Fuel!W525+PCM!X525+Interest!W525+'O&amp;M'!Y525+'Capex &amp; Depr'!Y525+Debt!Z525+Pat.!P525+Rates!W525</f>
        <v>8.551288811548001E-2</v>
      </c>
      <c r="AD525" s="106">
        <f>+'Regulatory Charge'!X525+Fuel!X525+PCM!Y525+Interest!X525+'O&amp;M'!Z525+'Capex &amp; Depr'!Z525+Debt!AA525+Pat.!Q525+Rates!X525</f>
        <v>8.8065511641315222E-2</v>
      </c>
      <c r="AE525" s="224">
        <f t="shared" si="8"/>
        <v>1.1212976824177288</v>
      </c>
      <c r="AF525" s="106">
        <f>+'Regulatory Charge'!Z525+Fuel!Z525+PCM!AA525+Interest!Z525+'O&amp;M'!AB525+'Capex &amp; Depr'!AB525+Debt!AC525+Pat.!S525+Rates!Z525</f>
        <v>9.3882514586801843E-2</v>
      </c>
      <c r="AG525" s="106">
        <f>+'Regulatory Charge'!AA525+Fuel!AA525+PCM!AB525+Interest!AA525+'O&amp;M'!AC525+'Capex &amp; Depr'!AC525+Debt!AD525+Pat.!T525+Rates!AA525</f>
        <v>9.0732094634224603E-2</v>
      </c>
      <c r="AH525" s="106">
        <f>+'Regulatory Charge'!AB525+Fuel!AB525+PCM!AC525+Interest!AB525+'O&amp;M'!AD525+'Capex &amp; Depr'!AD525+Debt!AE525+Pat.!U525+Rates!AB525</f>
        <v>9.7663018529894549E-2</v>
      </c>
      <c r="AI525" s="106">
        <f>+'Regulatory Charge'!AC525+Fuel!AC525+PCM!AD525+Interest!AC525+'O&amp;M'!AE525+'Capex &amp; Depr'!AE525+Debt!AF525+Pat.!V525+Rates!AC525</f>
        <v>9.3252430596286393E-2</v>
      </c>
      <c r="AJ525" s="106">
        <f>+'Regulatory Charge'!AD525+Fuel!AD525+PCM!AE525+Interest!AD525+'O&amp;M'!AF525+'Capex &amp; Depr'!AF525+Debt!AG525+Pat.!W525+Rates!AD525</f>
        <v>9.8923186510925451E-2</v>
      </c>
      <c r="AK525" s="106">
        <f>+'Regulatory Charge'!AE525+Fuel!AE525+PCM!AF525+Interest!AE525+'O&amp;M'!AG525+'Capex &amp; Depr'!AG525+Debt!AH525+Pat.!X525+Rates!AE525</f>
        <v>8.5691422710101023E-2</v>
      </c>
      <c r="AL525" s="106">
        <f>+'Regulatory Charge'!AF525+Fuel!AF525+PCM!AG525+Interest!AF525+'O&amp;M'!AH525+'Capex &amp; Depr'!AH525+Debt!AI525+Pat.!Y525+Rates!AF525</f>
        <v>9.3252430596286393E-2</v>
      </c>
      <c r="AM525" s="106">
        <f>+'Regulatory Charge'!AG525+Fuel!AG525+PCM!AH525+Interest!AG525+'O&amp;M'!AI525+'Capex &amp; Depr'!AI525+Debt!AJ525+Pat.!Z525+Rates!AG525</f>
        <v>9.8923186510925451E-2</v>
      </c>
      <c r="AN525" s="106">
        <f>+'Regulatory Charge'!AH525+Fuel!AH525+PCM!AI525+Interest!AH525+'O&amp;M'!AJ525+'Capex &amp; Depr'!AJ525+Debt!AK525+Pat.!AA525+Rates!AH525</f>
        <v>8.5691422710101023E-2</v>
      </c>
      <c r="AO525" s="106">
        <f>+'Regulatory Charge'!AI525+Fuel!AI525+PCM!AJ525+Interest!AI525+'O&amp;M'!AK525+'Capex &amp; Depr'!AK525+Debt!AL525+Pat.!AB525+Rates!AI525</f>
        <v>0.10191139670335794</v>
      </c>
      <c r="AP525" s="106">
        <f>+'Regulatory Charge'!AJ525+Fuel!AJ525+PCM!AK525+Interest!AJ525+'O&amp;M'!AL525+'Capex &amp; Depr'!AL525+Debt!AM525+Pat.!AC525+Rates!AJ525</f>
        <v>8.4820665579192323E-2</v>
      </c>
      <c r="AQ525" s="106">
        <f>+'Regulatory Charge'!AK525+Fuel!AK525+PCM!AL525+Interest!AK525+'O&amp;M'!AM525+'Capex &amp; Depr'!AM525+Debt!AN525+Pat.!AD525+Rates!AK525</f>
        <v>8.7352625745735379E-2</v>
      </c>
      <c r="AR525" s="224">
        <f t="shared" si="9"/>
        <v>1.1120963954138323</v>
      </c>
      <c r="AS525" s="106">
        <f>+'Regulatory Charge'!AM525+Fuel!AM525+PCM!AN525+Interest!AM525+'O&amp;M'!AO525+'Capex &amp; Depr'!AO525+Debt!AP525+Pat.!AF525+Rates!AM525</f>
        <v>1.143235666011623</v>
      </c>
      <c r="AT525" s="106">
        <f>+'Regulatory Charge'!AN525+Fuel!AN525+PCM!AO525+Interest!AN525+'O&amp;M'!AP525+'Capex &amp; Depr'!AP525+Debt!AQ525+Pat.!AG525+Rates!AN525</f>
        <v>1.1693054103472436</v>
      </c>
      <c r="AU525" s="106">
        <f>+'Regulatory Charge'!AO525+Fuel!AO525+PCM!AP525+Interest!AO525+'O&amp;M'!AQ525+'Capex &amp; Depr'!AQ525+Debt!AR525+Pat.!AH525+Rates!AO525</f>
        <v>1.204384572657661</v>
      </c>
      <c r="AV525" s="106">
        <f>+'Regulatory Charge'!AP525+Fuel!AP525+PCM!AQ525+Interest!AP525+'O&amp;M'!AR525+'Capex &amp; Depr'!AR525+Debt!AS525+Pat.!AI525+Rates!AP525</f>
        <v>1.2405161098373909</v>
      </c>
      <c r="AW525" s="106">
        <f>+'Regulatory Charge'!AQ525+Fuel!AQ525+PCM!AR525+Interest!AQ525+'O&amp;M'!AS525+'Capex &amp; Depr'!AS525+Debt!AT525+Pat.!AJ525+Rates!AQ525</f>
        <v>1.2777315931325126</v>
      </c>
      <c r="AX525" s="106">
        <f>+'Regulatory Charge'!AR525+Fuel!AR525+PCM!AS525+Interest!AR525+'O&amp;M'!AT525+'Capex &amp; Depr'!AT525+Debt!AU525+Pat.!AK525+Rates!AR525</f>
        <v>1.316063540926488</v>
      </c>
      <c r="AY525" s="106">
        <f>+'Regulatory Charge'!AS525+Fuel!AS525+PCM!AT525+Interest!AS525+'O&amp;M'!AU525+'Capex &amp; Depr'!AU525+Debt!AV525+Pat.!AL525+Rates!AS525</f>
        <v>1.3555454471542827</v>
      </c>
      <c r="AZ525" s="106">
        <f>+'Regulatory Charge'!AT525+Fuel!AT525+PCM!AU525+Interest!AT525+'O&amp;M'!AV525+'Capex &amp; Depr'!AV525+Debt!AW525+Pat.!AM525+Rates!AT525</f>
        <v>1.3962118105689112</v>
      </c>
      <c r="BA525" s="106">
        <f>+'Regulatory Charge'!AU525+Fuel!AU525+PCM!AV525+Interest!AU525+'O&amp;M'!AW525+'Capex &amp; Depr'!AW525+Debt!AX525+Pat.!AN525+Rates!AU525</f>
        <v>1.4380981648859785</v>
      </c>
      <c r="BB525" s="106">
        <f>+'Regulatory Charge'!AV525+Fuel!AV525+PCM!AW525+Interest!AV525+'O&amp;M'!AX525+'Capex &amp; Depr'!AX525+Debt!AY525+Pat.!AO525+Rates!AV525</f>
        <v>1.481241109832558</v>
      </c>
      <c r="BC525" s="106">
        <f>+'Regulatory Charge'!AW525+Fuel!AW525+PCM!AX525+Interest!AW525+'O&amp;M'!AY525+'Capex &amp; Depr'!AY525+Debt!AZ525+Pat.!AP525+Rates!AW525</f>
        <v>1.5256783431275347</v>
      </c>
      <c r="BD525" s="106"/>
      <c r="BE525" s="106"/>
    </row>
    <row r="526" spans="1:57">
      <c r="A526" s="849">
        <v>561.1</v>
      </c>
      <c r="B526" s="846" t="s">
        <v>982</v>
      </c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224"/>
      <c r="S526" s="106">
        <f>+'Regulatory Charge'!M526+Fuel!M526+PCM!N526+Interest!M526+'O&amp;M'!O526+'Capex &amp; Depr'!O526+Debt!P526+Pat.!F526+Rates!M526</f>
        <v>4.2248999999999993E-3</v>
      </c>
      <c r="T526" s="106">
        <f>+'Regulatory Charge'!N526+Fuel!N526+PCM!O526+Interest!N526+'O&amp;M'!P526+'Capex &amp; Depr'!P526+Debt!Q526+Pat.!G526+Rates!N526</f>
        <v>3.7121999999999997E-3</v>
      </c>
      <c r="U526" s="106">
        <f>+'Regulatory Charge'!O526+Fuel!O526+PCM!P526+Interest!O526+'O&amp;M'!Q526+'Capex &amp; Depr'!Q526+Debt!R526+Pat.!H526+Rates!O526</f>
        <v>2.3229000000000001E-3</v>
      </c>
      <c r="V526" s="106">
        <f>+'Regulatory Charge'!P526+Fuel!P526+PCM!Q526+Interest!P526+'O&amp;M'!R526+'Capex &amp; Depr'!R526+Debt!S526+Pat.!I526+Rates!P526</f>
        <v>2.2012500000000001E-3</v>
      </c>
      <c r="W526" s="106">
        <f>+'Regulatory Charge'!Q526+Fuel!Q526+PCM!R526+Interest!Q526+'O&amp;M'!S526+'Capex &amp; Depr'!S526+Debt!T526+Pat.!J526+Rates!Q526</f>
        <v>2.3067000000000001E-3</v>
      </c>
      <c r="X526" s="106">
        <f>+'Regulatory Charge'!R526+Fuel!R526+PCM!S526+Interest!R526+'O&amp;M'!T526+'Capex &amp; Depr'!T526+Debt!U526+Pat.!K526+Rates!R526</f>
        <v>2.2563000000000001E-3</v>
      </c>
      <c r="Y526" s="106">
        <f>+'Regulatory Charge'!S526+Fuel!S526+PCM!T526+Interest!S526+'O&amp;M'!U526+'Capex &amp; Depr'!U526+Debt!V526+Pat.!L526+Rates!S526</f>
        <v>2.06835E-3</v>
      </c>
      <c r="Z526" s="106">
        <f>+'Regulatory Charge'!T526+Fuel!T526+PCM!U526+Interest!T526+'O&amp;M'!V526+'Capex &amp; Depr'!V526+Debt!W526+Pat.!M526+Rates!T526</f>
        <v>3.3066000000000003E-3</v>
      </c>
      <c r="AA526" s="106">
        <f>+'Regulatory Charge'!U526+Fuel!U526+PCM!V526+Interest!U526+'O&amp;M'!W526+'Capex &amp; Depr'!W526+Debt!X526+Pat.!N526+Rates!U526</f>
        <v>2.4060000000000002E-3</v>
      </c>
      <c r="AB526" s="106">
        <f>+'Regulatory Charge'!V526+Fuel!V526+PCM!W526+Interest!V526+'O&amp;M'!X526+'Capex &amp; Depr'!X526+Debt!Y526+Pat.!O526+Rates!V526</f>
        <v>2.0167499999999999E-3</v>
      </c>
      <c r="AC526" s="106">
        <f>+'Regulatory Charge'!W526+Fuel!W526+PCM!X526+Interest!W526+'O&amp;M'!Y526+'Capex &amp; Depr'!Y526+Debt!Z526+Pat.!P526+Rates!W526</f>
        <v>1.8655500000000003E-3</v>
      </c>
      <c r="AD526" s="106">
        <f>+'Regulatory Charge'!X526+Fuel!X526+PCM!Y526+Interest!X526+'O&amp;M'!Z526+'Capex &amp; Depr'!Z526+Debt!AA526+Pat.!Q526+Rates!X526</f>
        <v>3.1435500000000002E-3</v>
      </c>
      <c r="AE526" s="224">
        <f t="shared" si="8"/>
        <v>3.183105E-2</v>
      </c>
      <c r="AF526" s="106">
        <f>+'Regulatory Charge'!Z526+Fuel!Z526+PCM!AA526+Interest!Z526+'O&amp;M'!AB526+'Capex &amp; Depr'!AB526+Debt!AC526+Pat.!S526+Rates!Z526</f>
        <v>4.2983999999999991E-3</v>
      </c>
      <c r="AG526" s="106">
        <f>+'Regulatory Charge'!AA526+Fuel!AA526+PCM!AB526+Interest!AA526+'O&amp;M'!AC526+'Capex &amp; Depr'!AC526+Debt!AD526+Pat.!T526+Rates!AA526</f>
        <v>3.8188500000000004E-3</v>
      </c>
      <c r="AH526" s="106">
        <f>+'Regulatory Charge'!AB526+Fuel!AB526+PCM!AC526+Interest!AB526+'O&amp;M'!AD526+'Capex &amp; Depr'!AD526+Debt!AE526+Pat.!U526+Rates!AB526</f>
        <v>2.3812499999999997E-3</v>
      </c>
      <c r="AI526" s="106">
        <f>+'Regulatory Charge'!AC526+Fuel!AC526+PCM!AD526+Interest!AC526+'O&amp;M'!AE526+'Capex &amp; Depr'!AE526+Debt!AF526+Pat.!V526+Rates!AC526</f>
        <v>2.2619999999999997E-3</v>
      </c>
      <c r="AJ526" s="106">
        <f>+'Regulatory Charge'!AD526+Fuel!AD526+PCM!AE526+Interest!AD526+'O&amp;M'!AF526+'Capex &amp; Depr'!AF526+Debt!AG526+Pat.!W526+Rates!AD526</f>
        <v>1.9870500000000002E-3</v>
      </c>
      <c r="AK526" s="106">
        <f>+'Regulatory Charge'!AE526+Fuel!AE526+PCM!AF526+Interest!AE526+'O&amp;M'!AG526+'Capex &amp; Depr'!AG526+Debt!AH526+Pat.!X526+Rates!AE526</f>
        <v>2.3238E-3</v>
      </c>
      <c r="AL526" s="106">
        <f>+'Regulatory Charge'!AF526+Fuel!AF526+PCM!AG526+Interest!AF526+'O&amp;M'!AH526+'Capex &amp; Depr'!AH526+Debt!AI526+Pat.!Y526+Rates!AF526</f>
        <v>2.1267E-3</v>
      </c>
      <c r="AM526" s="106">
        <f>+'Regulatory Charge'!AG526+Fuel!AG526+PCM!AH526+Interest!AG526+'O&amp;M'!AI526+'Capex &amp; Depr'!AI526+Debt!AJ526+Pat.!Z526+Rates!AG526</f>
        <v>3.3925500000000003E-3</v>
      </c>
      <c r="AN526" s="106">
        <f>+'Regulatory Charge'!AH526+Fuel!AH526+PCM!AI526+Interest!AH526+'O&amp;M'!AJ526+'Capex &amp; Depr'!AJ526+Debt!AK526+Pat.!AA526+Rates!AH526</f>
        <v>2.4667499999999998E-3</v>
      </c>
      <c r="AO526" s="106">
        <f>+'Regulatory Charge'!AI526+Fuel!AI526+PCM!AJ526+Interest!AI526+'O&amp;M'!AK526+'Capex &amp; Depr'!AK526+Debt!AL526+Pat.!AB526+Rates!AI526</f>
        <v>2.0991E-3</v>
      </c>
      <c r="AP526" s="106">
        <f>+'Regulatory Charge'!AJ526+Fuel!AJ526+PCM!AK526+Interest!AJ526+'O&amp;M'!AL526+'Capex &amp; Depr'!AL526+Debt!AM526+Pat.!AC526+Rates!AJ526</f>
        <v>1.9356000000000002E-3</v>
      </c>
      <c r="AQ526" s="106">
        <f>+'Regulatory Charge'!AK526+Fuel!AK526+PCM!AL526+Interest!AK526+'O&amp;M'!AM526+'Capex &amp; Depr'!AM526+Debt!AN526+Pat.!AD526+Rates!AK526</f>
        <v>3.2203499999999999E-3</v>
      </c>
      <c r="AR526" s="224">
        <f t="shared" si="9"/>
        <v>3.2312399999999998E-2</v>
      </c>
      <c r="AS526" s="106">
        <f>+'Regulatory Charge'!AM526+Fuel!AM526+PCM!AN526+Interest!AM526+'O&amp;M'!AO526+'Capex &amp; Depr'!AO526+Debt!AP526+Pat.!AF526+Rates!AM526</f>
        <v>3.3148649999999995E-2</v>
      </c>
      <c r="AT526" s="106">
        <f>+'Regulatory Charge'!AN526+Fuel!AN526+PCM!AO526+Interest!AN526+'O&amp;M'!AP526+'Capex &amp; Depr'!AP526+Debt!AQ526+Pat.!AG526+Rates!AN526</f>
        <v>3.4475699999999998E-2</v>
      </c>
      <c r="AU526" s="106">
        <f>+'Regulatory Charge'!AO526+Fuel!AO526+PCM!AP526+Interest!AO526+'O&amp;M'!AQ526+'Capex &amp; Depr'!AQ526+Debt!AR526+Pat.!AH526+Rates!AO526</f>
        <v>3.5509971000000001E-2</v>
      </c>
      <c r="AV526" s="106">
        <f>+'Regulatory Charge'!AP526+Fuel!AP526+PCM!AQ526+Interest!AP526+'O&amp;M'!AR526+'Capex &amp; Depr'!AR526+Debt!AS526+Pat.!AI526+Rates!AP526</f>
        <v>3.6575270130000004E-2</v>
      </c>
      <c r="AW526" s="106">
        <f>+'Regulatory Charge'!AQ526+Fuel!AQ526+PCM!AR526+Interest!AQ526+'O&amp;M'!AS526+'Capex &amp; Depr'!AS526+Debt!AT526+Pat.!AJ526+Rates!AQ526</f>
        <v>3.76725282339E-2</v>
      </c>
      <c r="AX526" s="106">
        <f>+'Regulatory Charge'!AR526+Fuel!AR526+PCM!AS526+Interest!AR526+'O&amp;M'!AT526+'Capex &amp; Depr'!AT526+Debt!AU526+Pat.!AK526+Rates!AR526</f>
        <v>3.8802704080917003E-2</v>
      </c>
      <c r="AY526" s="106">
        <f>+'Regulatory Charge'!AS526+Fuel!AS526+PCM!AT526+Interest!AS526+'O&amp;M'!AU526+'Capex &amp; Depr'!AU526+Debt!AV526+Pat.!AL526+Rates!AS526</f>
        <v>3.9966785203344513E-2</v>
      </c>
      <c r="AZ526" s="106">
        <f>+'Regulatory Charge'!AT526+Fuel!AT526+PCM!AU526+Interest!AT526+'O&amp;M'!AV526+'Capex &amp; Depr'!AV526+Debt!AW526+Pat.!AM526+Rates!AT526</f>
        <v>4.1165788759444856E-2</v>
      </c>
      <c r="BA526" s="106">
        <f>+'Regulatory Charge'!AU526+Fuel!AU526+PCM!AV526+Interest!AU526+'O&amp;M'!AW526+'Capex &amp; Depr'!AW526+Debt!AX526+Pat.!AN526+Rates!AU526</f>
        <v>4.2400762422228198E-2</v>
      </c>
      <c r="BB526" s="106">
        <f>+'Regulatory Charge'!AV526+Fuel!AV526+PCM!AW526+Interest!AV526+'O&amp;M'!AX526+'Capex &amp; Depr'!AX526+Debt!AY526+Pat.!AO526+Rates!AV526</f>
        <v>4.3672785294895045E-2</v>
      </c>
      <c r="BC526" s="106">
        <f>+'Regulatory Charge'!AW526+Fuel!AW526+PCM!AX526+Interest!AW526+'O&amp;M'!AY526+'Capex &amp; Depr'!AY526+Debt!AZ526+Pat.!AP526+Rates!AW526</f>
        <v>4.4982968853741902E-2</v>
      </c>
      <c r="BD526" s="106"/>
      <c r="BE526" s="106"/>
    </row>
    <row r="527" spans="1:57">
      <c r="A527" s="849">
        <v>561.4</v>
      </c>
      <c r="B527" s="846" t="s">
        <v>869</v>
      </c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224"/>
      <c r="S527" s="106">
        <f>+'Regulatory Charge'!M527+Fuel!M527+PCM!N527+Interest!M527+'O&amp;M'!O527+'Capex &amp; Depr'!O527+Debt!P527+Pat.!F527+Rates!M527</f>
        <v>0.187087</v>
      </c>
      <c r="T527" s="106">
        <f>+'Regulatory Charge'!N527+Fuel!N527+PCM!O527+Interest!N527+'O&amp;M'!P527+'Capex &amp; Depr'!P527+Debt!Q527+Pat.!G527+Rates!N527</f>
        <v>0.16404199999999999</v>
      </c>
      <c r="U527" s="106">
        <f>+'Regulatory Charge'!O527+Fuel!O527+PCM!P527+Interest!O527+'O&amp;M'!Q527+'Capex &amp; Depr'!Q527+Debt!R527+Pat.!H527+Rates!O527</f>
        <v>0.17587</v>
      </c>
      <c r="V527" s="106">
        <f>+'Regulatory Charge'!P527+Fuel!P527+PCM!Q527+Interest!P527+'O&amp;M'!R527+'Capex &amp; Depr'!R527+Debt!S527+Pat.!I527+Rates!P527</f>
        <v>0.15887999999999999</v>
      </c>
      <c r="W527" s="106">
        <f>+'Regulatory Charge'!Q527+Fuel!Q527+PCM!R527+Interest!Q527+'O&amp;M'!S527+'Capex &amp; Depr'!S527+Debt!T527+Pat.!J527+Rates!Q527</f>
        <v>0.167435</v>
      </c>
      <c r="X527" s="106">
        <f>+'Regulatory Charge'!R527+Fuel!R527+PCM!S527+Interest!R527+'O&amp;M'!T527+'Capex &amp; Depr'!T527+Debt!U527+Pat.!K527+Rates!R527</f>
        <v>0.17413799999999999</v>
      </c>
      <c r="Y527" s="106">
        <f>+'Regulatory Charge'!S527+Fuel!S527+PCM!T527+Interest!S527+'O&amp;M'!U527+'Capex &amp; Depr'!U527+Debt!V527+Pat.!L527+Rates!S527</f>
        <v>0.18166399999999999</v>
      </c>
      <c r="Z527" s="106">
        <f>+'Regulatory Charge'!T527+Fuel!T527+PCM!U527+Interest!T527+'O&amp;M'!V527+'Capex &amp; Depr'!V527+Debt!W527+Pat.!M527+Rates!T527</f>
        <v>0.17791799999999999</v>
      </c>
      <c r="AA527" s="106">
        <f>+'Regulatory Charge'!U527+Fuel!U527+PCM!V527+Interest!U527+'O&amp;M'!W527+'Capex &amp; Depr'!W527+Debt!X527+Pat.!N527+Rates!U527</f>
        <v>0.110999</v>
      </c>
      <c r="AB527" s="106">
        <f>+'Regulatory Charge'!V527+Fuel!V527+PCM!W527+Interest!V527+'O&amp;M'!X527+'Capex &amp; Depr'!X527+Debt!Y527+Pat.!O527+Rates!V527</f>
        <v>0.114409</v>
      </c>
      <c r="AC527" s="106">
        <f>+'Regulatory Charge'!W527+Fuel!W527+PCM!X527+Interest!W527+'O&amp;M'!Y527+'Capex &amp; Depr'!Y527+Debt!Z527+Pat.!P527+Rates!W527</f>
        <v>0.112958</v>
      </c>
      <c r="AD527" s="106">
        <f>+'Regulatory Charge'!X527+Fuel!X527+PCM!Y527+Interest!X527+'O&amp;M'!Z527+'Capex &amp; Depr'!Z527+Debt!AA527+Pat.!Q527+Rates!X527</f>
        <v>0.12654199999999999</v>
      </c>
      <c r="AE527" s="224">
        <f>SUM(S527:AD527)</f>
        <v>1.851942</v>
      </c>
      <c r="AF527" s="106">
        <f>+'Regulatory Charge'!Z527+Fuel!Z527+PCM!AA527+Interest!Z527+'O&amp;M'!AB527+'Capex &amp; Depr'!AB527+Debt!AC527+Pat.!S527+Rates!Z527</f>
        <v>0.102489</v>
      </c>
      <c r="AG527" s="106">
        <f>+'Regulatory Charge'!AA527+Fuel!AA527+PCM!AB527+Interest!AA527+'O&amp;M'!AC527+'Capex &amp; Depr'!AC527+Debt!AD527+Pat.!T527+Rates!AA527</f>
        <v>8.9962E-2</v>
      </c>
      <c r="AH527" s="106">
        <f>+'Regulatory Charge'!AB527+Fuel!AB527+PCM!AC527+Interest!AB527+'O&amp;M'!AD527+'Capex &amp; Depr'!AD527+Debt!AE527+Pat.!U527+Rates!AB527</f>
        <v>9.0756000000000003E-2</v>
      </c>
      <c r="AI527" s="106">
        <f>+'Regulatory Charge'!AC527+Fuel!AC527+PCM!AD527+Interest!AC527+'O&amp;M'!AE527+'Capex &amp; Depr'!AE527+Debt!AF527+Pat.!V527+Rates!AC527</f>
        <v>8.1614999999999993E-2</v>
      </c>
      <c r="AJ527" s="106">
        <f>+'Regulatory Charge'!AD527+Fuel!AD527+PCM!AE527+Interest!AD527+'O&amp;M'!AF527+'Capex &amp; Depr'!AF527+Debt!AG527+Pat.!W527+Rates!AD527</f>
        <v>8.7401999999999994E-2</v>
      </c>
      <c r="AK527" s="106">
        <f>+'Regulatory Charge'!AE527+Fuel!AE527+PCM!AF527+Interest!AE527+'O&amp;M'!AG527+'Capex &amp; Depr'!AG527+Debt!AH527+Pat.!X527+Rates!AE527</f>
        <v>9.4500000000000001E-2</v>
      </c>
      <c r="AL527" s="106">
        <f>+'Regulatory Charge'!AF527+Fuel!AF527+PCM!AG527+Interest!AF527+'O&amp;M'!AH527+'Capex &amp; Depr'!AH527+Debt!AI527+Pat.!Y527+Rates!AF527</f>
        <v>9.9655999999999995E-2</v>
      </c>
      <c r="AM527" s="106">
        <f>+'Regulatory Charge'!AG527+Fuel!AG527+PCM!AH527+Interest!AG527+'O&amp;M'!AI527+'Capex &amp; Depr'!AI527+Debt!AJ527+Pat.!Z527+Rates!AG527</f>
        <v>0.10079399999999999</v>
      </c>
      <c r="AN527" s="106">
        <f>+'Regulatory Charge'!AH527+Fuel!AH527+PCM!AI527+Interest!AH527+'O&amp;M'!AJ527+'Capex &amp; Depr'!AJ527+Debt!AK527+Pat.!AA527+Rates!AH527</f>
        <v>9.0434E-2</v>
      </c>
      <c r="AO527" s="106">
        <f>+'Regulatory Charge'!AI527+Fuel!AI527+PCM!AJ527+Interest!AI527+'O&amp;M'!AK527+'Capex &amp; Depr'!AK527+Debt!AL527+Pat.!AB527+Rates!AI527</f>
        <v>8.9904999999999999E-2</v>
      </c>
      <c r="AP527" s="106">
        <f>+'Regulatory Charge'!AJ527+Fuel!AJ527+PCM!AK527+Interest!AJ527+'O&amp;M'!AL527+'Capex &amp; Depr'!AL527+Debt!AM527+Pat.!AC527+Rates!AJ527</f>
        <v>8.9403999999999997E-2</v>
      </c>
      <c r="AQ527" s="106">
        <f>+'Regulatory Charge'!AK527+Fuel!AK527+PCM!AL527+Interest!AK527+'O&amp;M'!AM527+'Capex &amp; Depr'!AM527+Debt!AN527+Pat.!AD527+Rates!AK527</f>
        <v>9.9179000000000003E-2</v>
      </c>
      <c r="AR527" s="224">
        <f>SUM(AF527:AQ527)</f>
        <v>1.116096</v>
      </c>
      <c r="AS527" s="106">
        <f>+'Regulatory Charge'!AM527+Fuel!AM527+PCM!AN527+Interest!AM527+'O&amp;M'!AO527+'Capex &amp; Depr'!AO527+Debt!AP527+Pat.!AF527+Rates!AM527</f>
        <v>1.1216660000000001</v>
      </c>
      <c r="AT527" s="106">
        <f>+'Regulatory Charge'!AN527+Fuel!AN527+PCM!AO527+Interest!AN527+'O&amp;M'!AP527+'Capex &amp; Depr'!AP527+Debt!AQ527+Pat.!AG527+Rates!AN527</f>
        <v>1.1332120000000001</v>
      </c>
      <c r="AU527" s="106">
        <f>+'Regulatory Charge'!AO527+Fuel!AO527+PCM!AP527+Interest!AO527+'O&amp;M'!AQ527+'Capex &amp; Depr'!AQ527+Debt!AR527+Pat.!AH527+Rates!AO527</f>
        <v>1.1672083600000001</v>
      </c>
      <c r="AV527" s="106">
        <f>+'Regulatory Charge'!AP527+Fuel!AP527+PCM!AQ527+Interest!AP527+'O&amp;M'!AR527+'Capex &amp; Depr'!AR527+Debt!AS527+Pat.!AI527+Rates!AP527</f>
        <v>1.2022246108000001</v>
      </c>
      <c r="AW527" s="106">
        <f>+'Regulatory Charge'!AQ527+Fuel!AQ527+PCM!AR527+Interest!AQ527+'O&amp;M'!AS527+'Capex &amp; Depr'!AS527+Debt!AT527+Pat.!AJ527+Rates!AQ527</f>
        <v>1.2382913491240002</v>
      </c>
      <c r="AX527" s="106">
        <f>+'Regulatory Charge'!AR527+Fuel!AR527+PCM!AS527+Interest!AR527+'O&amp;M'!AT527+'Capex &amp; Depr'!AT527+Debt!AU527+Pat.!AK527+Rates!AR527</f>
        <v>1.2754400895977203</v>
      </c>
      <c r="AY527" s="106">
        <f>+'Regulatory Charge'!AS527+Fuel!AS527+PCM!AT527+Interest!AS527+'O&amp;M'!AU527+'Capex &amp; Depr'!AU527+Debt!AV527+Pat.!AL527+Rates!AS527</f>
        <v>1.313703292285652</v>
      </c>
      <c r="AZ527" s="106">
        <f>+'Regulatory Charge'!AT527+Fuel!AT527+PCM!AU527+Interest!AT527+'O&amp;M'!AV527+'Capex &amp; Depr'!AV527+Debt!AW527+Pat.!AM527+Rates!AT527</f>
        <v>1.3531143910542216</v>
      </c>
      <c r="BA527" s="106">
        <f>+'Regulatory Charge'!AU527+Fuel!AU527+PCM!AV527+Interest!AU527+'O&amp;M'!AW527+'Capex &amp; Depr'!AW527+Debt!AX527+Pat.!AN527+Rates!AU527</f>
        <v>1.3937078227858484</v>
      </c>
      <c r="BB527" s="106">
        <f>+'Regulatory Charge'!AV527+Fuel!AV527+PCM!AW527+Interest!AV527+'O&amp;M'!AX527+'Capex &amp; Depr'!AX527+Debt!AY527+Pat.!AO527+Rates!AV527</f>
        <v>1.4355190574694239</v>
      </c>
      <c r="BC527" s="106">
        <f>+'Regulatory Charge'!AW527+Fuel!AW527+PCM!AX527+Interest!AW527+'O&amp;M'!AY527+'Capex &amp; Depr'!AY527+Debt!AZ527+Pat.!AP527+Rates!AW527</f>
        <v>1.4785846291935065</v>
      </c>
      <c r="BD527" s="106"/>
      <c r="BE527" s="106"/>
    </row>
    <row r="528" spans="1:57">
      <c r="A528" s="849">
        <v>561.79999999999995</v>
      </c>
      <c r="B528" s="846" t="s">
        <v>869</v>
      </c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224"/>
      <c r="S528" s="106">
        <f>+'Regulatory Charge'!M528+Fuel!M528+PCM!N528+Interest!M528+'O&amp;M'!O528+'Capex &amp; Depr'!O528+Debt!P528+Pat.!F528+Rates!M528</f>
        <v>1.2201E-2</v>
      </c>
      <c r="T528" s="106">
        <f>+'Regulatory Charge'!N528+Fuel!N528+PCM!O528+Interest!N528+'O&amp;M'!P528+'Capex &amp; Depr'!P528+Debt!Q528+Pat.!G528+Rates!N528</f>
        <v>1.0697999999999999E-2</v>
      </c>
      <c r="U528" s="106">
        <f>+'Regulatory Charge'!O528+Fuel!O528+PCM!P528+Interest!O528+'O&amp;M'!Q528+'Capex &amp; Depr'!Q528+Debt!R528+Pat.!H528+Rates!O528</f>
        <v>1.1469999999999999E-2</v>
      </c>
      <c r="V528" s="106">
        <f>+'Regulatory Charge'!P528+Fuel!P528+PCM!Q528+Interest!P528+'O&amp;M'!R528+'Capex &amp; Depr'!R528+Debt!S528+Pat.!I528+Rates!P528</f>
        <v>1.0362E-2</v>
      </c>
      <c r="W528" s="106">
        <f>+'Regulatory Charge'!Q528+Fuel!Q528+PCM!R528+Interest!Q528+'O&amp;M'!S528+'Capex &amp; Depr'!S528+Debt!T528+Pat.!J528+Rates!Q528</f>
        <v>1.0919999999999999E-2</v>
      </c>
      <c r="X528" s="106">
        <f>+'Regulatory Charge'!R528+Fuel!R528+PCM!S528+Interest!R528+'O&amp;M'!T528+'Capex &amp; Depr'!T528+Debt!U528+Pat.!K528+Rates!R528</f>
        <v>1.1357000000000001E-2</v>
      </c>
      <c r="Y528" s="106">
        <f>+'Regulatory Charge'!S528+Fuel!S528+PCM!T528+Interest!S528+'O&amp;M'!U528+'Capex &amp; Depr'!U528+Debt!V528+Pat.!L528+Rates!S528</f>
        <v>1.1847999999999999E-2</v>
      </c>
      <c r="Z528" s="106">
        <f>+'Regulatory Charge'!T528+Fuel!T528+PCM!U528+Interest!T528+'O&amp;M'!V528+'Capex &amp; Depr'!V528+Debt!W528+Pat.!M528+Rates!T528</f>
        <v>1.1603E-2</v>
      </c>
      <c r="AA528" s="106">
        <f>+'Regulatory Charge'!U528+Fuel!U528+PCM!V528+Interest!U528+'O&amp;M'!W528+'Capex &amp; Depr'!W528+Debt!X528+Pat.!N528+Rates!U528</f>
        <v>7.2389999999999998E-3</v>
      </c>
      <c r="AB528" s="106">
        <f>+'Regulatory Charge'!V528+Fuel!V528+PCM!W528+Interest!V528+'O&amp;M'!X528+'Capex &amp; Depr'!X528+Debt!Y528+Pat.!O528+Rates!V528</f>
        <v>7.4609999999999998E-3</v>
      </c>
      <c r="AC528" s="106">
        <f>+'Regulatory Charge'!W528+Fuel!W528+PCM!X528+Interest!W528+'O&amp;M'!Y528+'Capex &amp; Depr'!Y528+Debt!Z528+Pat.!P528+Rates!W528</f>
        <v>7.3670000000000003E-3</v>
      </c>
      <c r="AD528" s="106">
        <f>+'Regulatory Charge'!X528+Fuel!X528+PCM!Y528+Interest!X528+'O&amp;M'!Z528+'Capex &amp; Depr'!Z528+Debt!AA528+Pat.!Q528+Rates!X528</f>
        <v>8.2529999999999999E-3</v>
      </c>
      <c r="AE528" s="224">
        <f>SUM(S528:AD528)</f>
        <v>0.12077899999999998</v>
      </c>
      <c r="AF528" s="106">
        <f>+'Regulatory Charge'!Z528+Fuel!Z528+PCM!AA528+Interest!Z528+'O&amp;M'!AB528+'Capex &amp; Depr'!AB528+Debt!AC528+Pat.!S528+Rates!Z528</f>
        <v>6.6839999999999998E-3</v>
      </c>
      <c r="AG528" s="106">
        <f>+'Regulatory Charge'!AA528+Fuel!AA528+PCM!AB528+Interest!AA528+'O&amp;M'!AC528+'Capex &amp; Depr'!AC528+Debt!AD528+Pat.!T528+Rates!AA528</f>
        <v>5.8669999999999998E-3</v>
      </c>
      <c r="AH528" s="106">
        <f>+'Regulatory Charge'!AB528+Fuel!AB528+PCM!AC528+Interest!AB528+'O&amp;M'!AD528+'Capex &amp; Depr'!AD528+Debt!AE528+Pat.!U528+Rates!AB528</f>
        <v>5.9189999999999998E-3</v>
      </c>
      <c r="AI528" s="106">
        <f>+'Regulatory Charge'!AC528+Fuel!AC528+PCM!AD528+Interest!AC528+'O&amp;M'!AE528+'Capex &amp; Depr'!AE528+Debt!AF528+Pat.!V528+Rates!AC528</f>
        <v>5.3229999999999996E-3</v>
      </c>
      <c r="AJ528" s="106">
        <f>+'Regulatory Charge'!AD528+Fuel!AD528+PCM!AE528+Interest!AD528+'O&amp;M'!AF528+'Capex &amp; Depr'!AF528+Debt!AG528+Pat.!W528+Rates!AD528</f>
        <v>5.7000000000000002E-3</v>
      </c>
      <c r="AK528" s="106">
        <f>+'Regulatory Charge'!AE528+Fuel!AE528+PCM!AF528+Interest!AE528+'O&amp;M'!AG528+'Capex &amp; Depr'!AG528+Debt!AH528+Pat.!X528+Rates!AE528</f>
        <v>6.1630000000000001E-3</v>
      </c>
      <c r="AL528" s="106">
        <f>+'Regulatory Charge'!AF528+Fuel!AF528+PCM!AG528+Interest!AF528+'O&amp;M'!AH528+'Capex &amp; Depr'!AH528+Debt!AI528+Pat.!Y528+Rates!AF528</f>
        <v>6.4989999999999996E-3</v>
      </c>
      <c r="AM528" s="106">
        <f>+'Regulatory Charge'!AG528+Fuel!AG528+PCM!AH528+Interest!AG528+'O&amp;M'!AI528+'Capex &amp; Depr'!AI528+Debt!AJ528+Pat.!Z528+Rates!AG528</f>
        <v>6.574E-3</v>
      </c>
      <c r="AN528" s="106">
        <f>+'Regulatory Charge'!AH528+Fuel!AH528+PCM!AI528+Interest!AH528+'O&amp;M'!AJ528+'Capex &amp; Depr'!AJ528+Debt!AK528+Pat.!AA528+Rates!AH528</f>
        <v>5.8979999999999996E-3</v>
      </c>
      <c r="AO528" s="106">
        <f>+'Regulatory Charge'!AI528+Fuel!AI528+PCM!AJ528+Interest!AI528+'O&amp;M'!AK528+'Capex &amp; Depr'!AK528+Debt!AL528+Pat.!AB528+Rates!AI528</f>
        <v>5.8630000000000002E-3</v>
      </c>
      <c r="AP528" s="106">
        <f>+'Regulatory Charge'!AJ528+Fuel!AJ528+PCM!AK528+Interest!AJ528+'O&amp;M'!AL528+'Capex &amp; Depr'!AL528+Debt!AM528+Pat.!AC528+Rates!AJ528</f>
        <v>5.8310000000000002E-3</v>
      </c>
      <c r="AQ528" s="106">
        <f>+'Regulatory Charge'!AK528+Fuel!AK528+PCM!AL528+Interest!AK528+'O&amp;M'!AM528+'Capex &amp; Depr'!AM528+Debt!AN528+Pat.!AD528+Rates!AK528</f>
        <v>6.4679999999999998E-3</v>
      </c>
      <c r="AR528" s="224">
        <f>SUM(AF528:AQ528)</f>
        <v>7.2788999999999993E-2</v>
      </c>
      <c r="AS528" s="106">
        <f>+'Regulatory Charge'!AM528+Fuel!AM528+PCM!AN528+Interest!AM528+'O&amp;M'!AO528+'Capex &amp; Depr'!AO528+Debt!AP528+Pat.!AF528+Rates!AM528</f>
        <v>7.3152999999999996E-2</v>
      </c>
      <c r="AT528" s="106">
        <f>+'Regulatory Charge'!AN528+Fuel!AN528+PCM!AO528+Interest!AN528+'O&amp;M'!AP528+'Capex &amp; Depr'!AP528+Debt!AQ528+Pat.!AG528+Rates!AN528</f>
        <v>7.3903999999999997E-2</v>
      </c>
      <c r="AU528" s="106">
        <f>+'Regulatory Charge'!AO528+Fuel!AO528+PCM!AP528+Interest!AO528+'O&amp;M'!AQ528+'Capex &amp; Depr'!AQ528+Debt!AR528+Pat.!AH528+Rates!AO528</f>
        <v>7.612112E-2</v>
      </c>
      <c r="AV528" s="106">
        <f>+'Regulatory Charge'!AP528+Fuel!AP528+PCM!AQ528+Interest!AP528+'O&amp;M'!AR528+'Capex &amp; Depr'!AR528+Debt!AS528+Pat.!AI528+Rates!AP528</f>
        <v>7.8404753600000002E-2</v>
      </c>
      <c r="AW528" s="106">
        <f>+'Regulatory Charge'!AQ528+Fuel!AQ528+PCM!AR528+Interest!AQ528+'O&amp;M'!AS528+'Capex &amp; Depr'!AS528+Debt!AT528+Pat.!AJ528+Rates!AQ528</f>
        <v>8.0756896208000001E-2</v>
      </c>
      <c r="AX528" s="106">
        <f>+'Regulatory Charge'!AR528+Fuel!AR528+PCM!AS528+Interest!AR528+'O&amp;M'!AT528+'Capex &amp; Depr'!AT528+Debt!AU528+Pat.!AK528+Rates!AR528</f>
        <v>8.3179603094240009E-2</v>
      </c>
      <c r="AY528" s="106">
        <f>+'Regulatory Charge'!AS528+Fuel!AS528+PCM!AT528+Interest!AS528+'O&amp;M'!AU528+'Capex &amp; Depr'!AU528+Debt!AV528+Pat.!AL528+Rates!AS528</f>
        <v>8.5674991187067215E-2</v>
      </c>
      <c r="AZ528" s="106">
        <f>+'Regulatory Charge'!AT528+Fuel!AT528+PCM!AU528+Interest!AT528+'O&amp;M'!AV528+'Capex &amp; Depr'!AV528+Debt!AW528+Pat.!AM528+Rates!AT528</f>
        <v>8.8245240922679227E-2</v>
      </c>
      <c r="BA528" s="106">
        <f>+'Regulatory Charge'!AU528+Fuel!AU528+PCM!AV528+Interest!AU528+'O&amp;M'!AW528+'Capex &amp; Depr'!AW528+Debt!AX528+Pat.!AN528+Rates!AU528</f>
        <v>9.0892598150359605E-2</v>
      </c>
      <c r="BB528" s="106">
        <f>+'Regulatory Charge'!AV528+Fuel!AV528+PCM!AW528+Interest!AV528+'O&amp;M'!AX528+'Capex &amp; Depr'!AX528+Debt!AY528+Pat.!AO528+Rates!AV528</f>
        <v>9.3619376094870393E-2</v>
      </c>
      <c r="BC528" s="106">
        <f>+'Regulatory Charge'!AW528+Fuel!AW528+PCM!AX528+Interest!AW528+'O&amp;M'!AY528+'Capex &amp; Depr'!AY528+Debt!AZ528+Pat.!AP528+Rates!AW528</f>
        <v>9.6427957377716506E-2</v>
      </c>
      <c r="BD528" s="106"/>
      <c r="BE528" s="106"/>
    </row>
    <row r="529" spans="1:57">
      <c r="A529" s="849" t="s">
        <v>753</v>
      </c>
      <c r="B529" s="846" t="s">
        <v>983</v>
      </c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224"/>
      <c r="S529" s="106">
        <f>+'Regulatory Charge'!M529+Fuel!M529+PCM!N529+Interest!M529+'O&amp;M'!O529+'Capex &amp; Depr'!O529+Debt!P529+Pat.!F529+Rates!M529</f>
        <v>1.703481379282195E-2</v>
      </c>
      <c r="T529" s="106">
        <f>+'Regulatory Charge'!N529+Fuel!N529+PCM!O529+Interest!N529+'O&amp;M'!P529+'Capex &amp; Depr'!P529+Debt!Q529+Pat.!G529+Rates!N529</f>
        <v>1.6000088497760804E-2</v>
      </c>
      <c r="U529" s="106">
        <f>+'Regulatory Charge'!O529+Fuel!O529+PCM!P529+Interest!O529+'O&amp;M'!Q529+'Capex &amp; Depr'!Q529+Debt!R529+Pat.!H529+Rates!O529</f>
        <v>1.8276484146895314E-2</v>
      </c>
      <c r="V529" s="106">
        <f>+'Regulatory Charge'!P529+Fuel!P529+PCM!Q529+Interest!P529+'O&amp;M'!R529+'Capex &amp; Depr'!R529+Debt!S529+Pat.!I529+Rates!P529</f>
        <v>1.6827868733809717E-2</v>
      </c>
      <c r="W529" s="106">
        <f>+'Regulatory Charge'!Q529+Fuel!Q529+PCM!R529+Interest!Q529+'O&amp;M'!S529+'Capex &amp; Depr'!S529+Debt!T529+Pat.!J529+Rates!Q529</f>
        <v>1.8690374264919773E-2</v>
      </c>
      <c r="X529" s="106">
        <f>+'Regulatory Charge'!R529+Fuel!R529+PCM!S529+Interest!R529+'O&amp;M'!T529+'Capex &amp; Depr'!T529+Debt!U529+Pat.!K529+Rates!R529</f>
        <v>1.4344528025662984E-2</v>
      </c>
      <c r="Y529" s="106">
        <f>+'Regulatory Charge'!S529+Fuel!S529+PCM!T529+Interest!S529+'O&amp;M'!U529+'Capex &amp; Depr'!U529+Debt!V529+Pat.!L529+Rates!S529</f>
        <v>1.6827868733809717E-2</v>
      </c>
      <c r="Z529" s="106">
        <f>+'Regulatory Charge'!T529+Fuel!T529+PCM!U529+Interest!T529+'O&amp;M'!V529+'Capex &amp; Depr'!V529+Debt!W529+Pat.!M529+Rates!T529</f>
        <v>1.8690374264919773E-2</v>
      </c>
      <c r="AA529" s="106">
        <f>+'Regulatory Charge'!U529+Fuel!U529+PCM!V529+Interest!U529+'O&amp;M'!W529+'Capex &amp; Depr'!W529+Debt!X529+Pat.!N529+Rates!U529</f>
        <v>1.4344528025662984E-2</v>
      </c>
      <c r="AB529" s="106">
        <f>+'Regulatory Charge'!V529+Fuel!V529+PCM!W529+Interest!V529+'O&amp;M'!X529+'Capex &amp; Depr'!X529+Debt!Y529+Pat.!O529+Rates!V529</f>
        <v>2.0052261274820491E-2</v>
      </c>
      <c r="AC529" s="106">
        <f>+'Regulatory Charge'!W529+Fuel!W529+PCM!X529+Interest!W529+'O&amp;M'!Y529+'Capex &amp; Depr'!Y529+Debt!Z529+Pat.!P529+Rates!W529</f>
        <v>1.6175173980285382E-2</v>
      </c>
      <c r="AD529" s="106">
        <f>+'Regulatory Charge'!X529+Fuel!X529+PCM!Y529+Interest!X529+'O&amp;M'!Z529+'Capex &amp; Depr'!Z529+Debt!AA529+Pat.!Q529+Rates!X529</f>
        <v>1.7016223949846133E-2</v>
      </c>
      <c r="AE529" s="224">
        <f t="shared" si="8"/>
        <v>0.20428058769121504</v>
      </c>
      <c r="AF529" s="106">
        <f>+'Regulatory Charge'!Z529+Fuel!Z529+PCM!AA529+Interest!Z529+'O&amp;M'!AB529+'Capex &amp; Depr'!AB529+Debt!AC529+Pat.!S529+Rates!Z529</f>
        <v>1.6597910817694399E-2</v>
      </c>
      <c r="AG529" s="106">
        <f>+'Regulatory Charge'!AA529+Fuel!AA529+PCM!AB529+Interest!AA529+'O&amp;M'!AC529+'Capex &amp; Depr'!AC529+Debt!AD529+Pat.!T529+Rates!AA529</f>
        <v>1.5577846696295262E-2</v>
      </c>
      <c r="AH529" s="106">
        <f>+'Regulatory Charge'!AB529+Fuel!AB529+PCM!AC529+Interest!AB529+'O&amp;M'!AD529+'Capex &amp; Depr'!AD529+Debt!AE529+Pat.!U529+Rates!AB529</f>
        <v>1.7821987763373369E-2</v>
      </c>
      <c r="AI529" s="106">
        <f>+'Regulatory Charge'!AC529+Fuel!AC529+PCM!AD529+Interest!AC529+'O&amp;M'!AE529+'Capex &amp; Depr'!AE529+Debt!AF529+Pat.!V529+Rates!AC529</f>
        <v>1.639389799341457E-2</v>
      </c>
      <c r="AJ529" s="106">
        <f>+'Regulatory Charge'!AD529+Fuel!AD529+PCM!AE529+Interest!AD529+'O&amp;M'!AF529+'Capex &amp; Depr'!AF529+Debt!AG529+Pat.!W529+Rates!AD529</f>
        <v>1.8230013411933026E-2</v>
      </c>
      <c r="AK529" s="106">
        <f>+'Regulatory Charge'!AE529+Fuel!AE529+PCM!AF529+Interest!AE529+'O&amp;M'!AG529+'Capex &amp; Depr'!AG529+Debt!AH529+Pat.!X529+Rates!AE529</f>
        <v>1.3945744102056633E-2</v>
      </c>
      <c r="AL529" s="106">
        <f>+'Regulatory Charge'!AF529+Fuel!AF529+PCM!AG529+Interest!AF529+'O&amp;M'!AH529+'Capex &amp; Depr'!AH529+Debt!AI529+Pat.!Y529+Rates!AF529</f>
        <v>1.639389799341457E-2</v>
      </c>
      <c r="AM529" s="106">
        <f>+'Regulatory Charge'!AG529+Fuel!AG529+PCM!AH529+Interest!AG529+'O&amp;M'!AI529+'Capex &amp; Depr'!AI529+Debt!AJ529+Pat.!Z529+Rates!AG529</f>
        <v>1.8230013411933026E-2</v>
      </c>
      <c r="AN529" s="106">
        <f>+'Regulatory Charge'!AH529+Fuel!AH529+PCM!AI529+Interest!AH529+'O&amp;M'!AJ529+'Capex &amp; Depr'!AJ529+Debt!AK529+Pat.!AA529+Rates!AH529</f>
        <v>1.3945744102056633E-2</v>
      </c>
      <c r="AO529" s="106">
        <f>+'Regulatory Charge'!AI529+Fuel!AI529+PCM!AJ529+Interest!AI529+'O&amp;M'!AK529+'Capex &amp; Depr'!AK529+Debt!AL529+Pat.!AB529+Rates!AI529</f>
        <v>1.9572686138087672E-2</v>
      </c>
      <c r="AP529" s="106">
        <f>+'Regulatory Charge'!AJ529+Fuel!AJ529+PCM!AK529+Interest!AJ529+'O&amp;M'!AL529+'Capex &amp; Depr'!AL529+Debt!AM529+Pat.!AC529+Rates!AJ529</f>
        <v>1.5776024487600918E-2</v>
      </c>
      <c r="AQ529" s="106">
        <f>+'Regulatory Charge'!AK529+Fuel!AK529+PCM!AL529+Interest!AK529+'O&amp;M'!AM529+'Capex &amp; Depr'!AM529+Debt!AN529+Pat.!AD529+Rates!AK529</f>
        <v>1.6605159546932285E-2</v>
      </c>
      <c r="AR529" s="224">
        <f t="shared" si="9"/>
        <v>0.19909092646479234</v>
      </c>
      <c r="AS529" s="106">
        <f>+'Regulatory Charge'!AM529+Fuel!AM529+PCM!AN529+Interest!AM529+'O&amp;M'!AO529+'Capex &amp; Depr'!AO529+Debt!AP529+Pat.!AF529+Rates!AM529</f>
        <v>0.2078021039244449</v>
      </c>
      <c r="AT529" s="106">
        <f>+'Regulatory Charge'!AN529+Fuel!AN529+PCM!AO529+Interest!AN529+'O&amp;M'!AP529+'Capex &amp; Depr'!AP529+Debt!AQ529+Pat.!AG529+Rates!AN529</f>
        <v>0.21674931078052914</v>
      </c>
      <c r="AU529" s="106">
        <f>+'Regulatory Charge'!AO529+Fuel!AO529+PCM!AP529+Interest!AO529+'O&amp;M'!AQ529+'Capex &amp; Depr'!AQ529+Debt!AR529+Pat.!AH529+Rates!AO529</f>
        <v>0.22325179010394502</v>
      </c>
      <c r="AV529" s="106">
        <f>+'Regulatory Charge'!AP529+Fuel!AP529+PCM!AQ529+Interest!AP529+'O&amp;M'!AR529+'Capex &amp; Depr'!AR529+Debt!AS529+Pat.!AI529+Rates!AP529</f>
        <v>0.22994934380706339</v>
      </c>
      <c r="AW529" s="106">
        <f>+'Regulatory Charge'!AQ529+Fuel!AQ529+PCM!AR529+Interest!AQ529+'O&amp;M'!AS529+'Capex &amp; Depr'!AS529+Debt!AT529+Pat.!AJ529+Rates!AQ529</f>
        <v>0.23684782412127531</v>
      </c>
      <c r="AX529" s="106">
        <f>+'Regulatory Charge'!AR529+Fuel!AR529+PCM!AS529+Interest!AR529+'O&amp;M'!AT529+'Capex &amp; Depr'!AT529+Debt!AU529+Pat.!AK529+Rates!AR529</f>
        <v>0.24395325884491356</v>
      </c>
      <c r="AY529" s="106">
        <f>+'Regulatory Charge'!AS529+Fuel!AS529+PCM!AT529+Interest!AS529+'O&amp;M'!AU529+'Capex &amp; Depr'!AU529+Debt!AV529+Pat.!AL529+Rates!AS529</f>
        <v>0.25127185661026097</v>
      </c>
      <c r="AZ529" s="106">
        <f>+'Regulatory Charge'!AT529+Fuel!AT529+PCM!AU529+Interest!AT529+'O&amp;M'!AV529+'Capex &amp; Depr'!AV529+Debt!AW529+Pat.!AM529+Rates!AT529</f>
        <v>0.25881001230856882</v>
      </c>
      <c r="BA529" s="106">
        <f>+'Regulatory Charge'!AU529+Fuel!AU529+PCM!AV529+Interest!AU529+'O&amp;M'!AW529+'Capex &amp; Depr'!AW529+Debt!AX529+Pat.!AN529+Rates!AU529</f>
        <v>0.26657431267782589</v>
      </c>
      <c r="BB529" s="106">
        <f>+'Regulatory Charge'!AV529+Fuel!AV529+PCM!AW529+Interest!AV529+'O&amp;M'!AX529+'Capex &amp; Depr'!AX529+Debt!AY529+Pat.!AO529+Rates!AV529</f>
        <v>0.27457154205816064</v>
      </c>
      <c r="BC529" s="106">
        <f>+'Regulatory Charge'!AW529+Fuel!AW529+PCM!AX529+Interest!AW529+'O&amp;M'!AY529+'Capex &amp; Depr'!AY529+Debt!AZ529+Pat.!AP529+Rates!AW529</f>
        <v>0.28280868831990547</v>
      </c>
      <c r="BD529" s="106"/>
      <c r="BE529" s="106"/>
    </row>
    <row r="530" spans="1:57">
      <c r="A530" s="849">
        <v>562.1</v>
      </c>
      <c r="B530" s="846" t="s">
        <v>983</v>
      </c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224"/>
      <c r="S530" s="106">
        <f>+'Regulatory Charge'!M530+Fuel!M530+PCM!N530+Interest!M530+'O&amp;M'!O530+'Capex &amp; Depr'!O530+Debt!P530+Pat.!F530+Rates!M530</f>
        <v>3.9540760000000001E-2</v>
      </c>
      <c r="T530" s="106">
        <f>+'Regulatory Charge'!N530+Fuel!N530+PCM!O530+Interest!N530+'O&amp;M'!P530+'Capex &amp; Depr'!P530+Debt!Q530+Pat.!G530+Rates!N530</f>
        <v>4.019876E-2</v>
      </c>
      <c r="U530" s="106">
        <f>+'Regulatory Charge'!O530+Fuel!O530+PCM!P530+Interest!O530+'O&amp;M'!Q530+'Capex &amp; Depr'!Q530+Debt!R530+Pat.!H530+Rates!O530</f>
        <v>4.0631005999999997E-2</v>
      </c>
      <c r="V530" s="106">
        <f>+'Regulatory Charge'!P530+Fuel!P530+PCM!Q530+Interest!P530+'O&amp;M'!R530+'Capex &amp; Depr'!R530+Debt!S530+Pat.!I530+Rates!P530</f>
        <v>3.9646960000000002E-2</v>
      </c>
      <c r="W530" s="106">
        <f>+'Regulatory Charge'!Q530+Fuel!Q530+PCM!R530+Interest!Q530+'O&amp;M'!S530+'Capex &amp; Depr'!S530+Debt!T530+Pat.!J530+Rates!Q530</f>
        <v>4.2779560000000001E-2</v>
      </c>
      <c r="X530" s="106">
        <f>+'Regulatory Charge'!R530+Fuel!R530+PCM!S530+Interest!R530+'O&amp;M'!T530+'Capex &amp; Depr'!T530+Debt!U530+Pat.!K530+Rates!R530</f>
        <v>4.3121020000000003E-2</v>
      </c>
      <c r="Y530" s="106">
        <f>+'Regulatory Charge'!S530+Fuel!S530+PCM!T530+Interest!S530+'O&amp;M'!U530+'Capex &amp; Depr'!U530+Debt!V530+Pat.!L530+Rates!S530</f>
        <v>4.321436E-2</v>
      </c>
      <c r="Z530" s="106">
        <f>+'Regulatory Charge'!T530+Fuel!T530+PCM!U530+Interest!T530+'O&amp;M'!V530+'Capex &amp; Depr'!V530+Debt!W530+Pat.!M530+Rates!T530</f>
        <v>4.1654360000000001E-2</v>
      </c>
      <c r="AA530" s="106">
        <f>+'Regulatory Charge'!U530+Fuel!U530+PCM!V530+Interest!U530+'O&amp;M'!W530+'Capex &amp; Depr'!W530+Debt!X530+Pat.!N530+Rates!U530</f>
        <v>3.9662613999999999E-2</v>
      </c>
      <c r="AB530" s="106">
        <f>+'Regulatory Charge'!V530+Fuel!V530+PCM!W530+Interest!V530+'O&amp;M'!X530+'Capex &amp; Depr'!X530+Debt!Y530+Pat.!O530+Rates!V530</f>
        <v>3.9266760000000005E-2</v>
      </c>
      <c r="AC530" s="106">
        <f>+'Regulatory Charge'!W530+Fuel!W530+PCM!X530+Interest!W530+'O&amp;M'!Y530+'Capex &amp; Depr'!Y530+Debt!Z530+Pat.!P530+Rates!W530</f>
        <v>3.9420759999999999E-2</v>
      </c>
      <c r="AD530" s="106">
        <f>+'Regulatory Charge'!X530+Fuel!X530+PCM!Y530+Interest!X530+'O&amp;M'!Z530+'Capex &amp; Depr'!Z530+Debt!AA530+Pat.!Q530+Rates!X530</f>
        <v>4.4316300000000003E-2</v>
      </c>
      <c r="AE530" s="224">
        <f t="shared" si="8"/>
        <v>0.49345322000000003</v>
      </c>
      <c r="AF530" s="106">
        <f>+'Regulatory Charge'!Z530+Fuel!Z530+PCM!AA530+Interest!Z530+'O&amp;M'!AB530+'Capex &amp; Depr'!AB530+Debt!AC530+Pat.!S530+Rates!Z530</f>
        <v>4.2340970800000002E-2</v>
      </c>
      <c r="AG530" s="106">
        <f>+'Regulatory Charge'!AA530+Fuel!AA530+PCM!AB530+Interest!AA530+'O&amp;M'!AC530+'Capex &amp; Depr'!AC530+Debt!AD530+Pat.!T530+Rates!AA530</f>
        <v>4.2995820800000001E-2</v>
      </c>
      <c r="AH530" s="106">
        <f>+'Regulatory Charge'!AB530+Fuel!AB530+PCM!AC530+Interest!AB530+'O&amp;M'!AD530+'Capex &amp; Depr'!AD530+Debt!AE530+Pat.!U530+Rates!AB530</f>
        <v>4.3550213433200001E-2</v>
      </c>
      <c r="AI530" s="106">
        <f>+'Regulatory Charge'!AC530+Fuel!AC530+PCM!AD530+Interest!AC530+'O&amp;M'!AE530+'Capex &amp; Depr'!AE530+Debt!AF530+Pat.!V530+Rates!AC530</f>
        <v>4.2785949105599998E-2</v>
      </c>
      <c r="AJ530" s="106">
        <f>+'Regulatory Charge'!AD530+Fuel!AD530+PCM!AE530+Interest!AD530+'O&amp;M'!AF530+'Capex &amp; Depr'!AF530+Debt!AG530+Pat.!W530+Rates!AD530</f>
        <v>4.4970714973199995E-2</v>
      </c>
      <c r="AK530" s="106">
        <f>+'Regulatory Charge'!AE530+Fuel!AE530+PCM!AF530+Interest!AE530+'O&amp;M'!AG530+'Capex &amp; Depr'!AG530+Debt!AH530+Pat.!X530+Rates!AE530</f>
        <v>4.6567405869999995E-2</v>
      </c>
      <c r="AL530" s="106">
        <f>+'Regulatory Charge'!AF530+Fuel!AF530+PCM!AG530+Interest!AF530+'O&amp;M'!AH530+'Capex &amp; Depr'!AH530+Debt!AI530+Pat.!Y530+Rates!AF530</f>
        <v>4.68211331338E-2</v>
      </c>
      <c r="AM530" s="106">
        <f>+'Regulatory Charge'!AG530+Fuel!AG530+PCM!AH530+Interest!AG530+'O&amp;M'!AI530+'Capex &amp; Depr'!AI530+Debt!AJ530+Pat.!Z530+Rates!AG530</f>
        <v>4.73335888E-2</v>
      </c>
      <c r="AN530" s="106">
        <f>+'Regulatory Charge'!AH530+Fuel!AH530+PCM!AI530+Interest!AH530+'O&amp;M'!AJ530+'Capex &amp; Depr'!AJ530+Debt!AK530+Pat.!AA530+Rates!AH530</f>
        <v>4.4239730419999998E-2</v>
      </c>
      <c r="AO530" s="106">
        <f>+'Regulatory Charge'!AI530+Fuel!AI530+PCM!AJ530+Interest!AI530+'O&amp;M'!AK530+'Capex &amp; Depr'!AK530+Debt!AL530+Pat.!AB530+Rates!AI530</f>
        <v>4.3424364067599995E-2</v>
      </c>
      <c r="AP530" s="106">
        <f>+'Regulatory Charge'!AJ530+Fuel!AJ530+PCM!AK530+Interest!AJ530+'O&amp;M'!AL530+'Capex &amp; Depr'!AL530+Debt!AM530+Pat.!AC530+Rates!AJ530</f>
        <v>4.3639897514399999E-2</v>
      </c>
      <c r="AQ530" s="106">
        <f>+'Regulatory Charge'!AK530+Fuel!AK530+PCM!AL530+Interest!AK530+'O&amp;M'!AM530+'Capex &amp; Depr'!AM530+Debt!AN530+Pat.!AD530+Rates!AK530</f>
        <v>4.8166756999999998E-2</v>
      </c>
      <c r="AR530" s="224">
        <f t="shared" si="9"/>
        <v>0.53683654591779995</v>
      </c>
      <c r="AS530" s="106">
        <f>+'Regulatory Charge'!AM530+Fuel!AM530+PCM!AN530+Interest!AM530+'O&amp;M'!AO530+'Capex &amp; Depr'!AO530+Debt!AP530+Pat.!AF530+Rates!AM530</f>
        <v>0.55738539640181395</v>
      </c>
      <c r="AT530" s="106">
        <f>+'Regulatory Charge'!AN530+Fuel!AN530+PCM!AO530+Interest!AN530+'O&amp;M'!AP530+'Capex &amp; Depr'!AP530+Debt!AQ530+Pat.!AG530+Rates!AN530</f>
        <v>0.57799768382747396</v>
      </c>
      <c r="AU530" s="106">
        <f>+'Regulatory Charge'!AO530+Fuel!AO530+PCM!AP530+Interest!AO530+'O&amp;M'!AQ530+'Capex &amp; Depr'!AQ530+Debt!AR530+Pat.!AH530+Rates!AO530</f>
        <v>0.59533761434229815</v>
      </c>
      <c r="AV530" s="106">
        <f>+'Regulatory Charge'!AP530+Fuel!AP530+PCM!AQ530+Interest!AP530+'O&amp;M'!AR530+'Capex &amp; Depr'!AR530+Debt!AS530+Pat.!AI530+Rates!AP530</f>
        <v>0.61319774277256711</v>
      </c>
      <c r="AW530" s="106">
        <f>+'Regulatory Charge'!AQ530+Fuel!AQ530+PCM!AR530+Interest!AQ530+'O&amp;M'!AS530+'Capex &amp; Depr'!AS530+Debt!AT530+Pat.!AJ530+Rates!AQ530</f>
        <v>0.63159367505574415</v>
      </c>
      <c r="AX530" s="106">
        <f>+'Regulatory Charge'!AR530+Fuel!AR530+PCM!AS530+Interest!AR530+'O&amp;M'!AT530+'Capex &amp; Depr'!AT530+Debt!AU530+Pat.!AK530+Rates!AR530</f>
        <v>0.6505414853074164</v>
      </c>
      <c r="AY530" s="106">
        <f>+'Regulatory Charge'!AS530+Fuel!AS530+PCM!AT530+Interest!AS530+'O&amp;M'!AU530+'Capex &amp; Depr'!AU530+Debt!AV530+Pat.!AL530+Rates!AS530</f>
        <v>0.67005772986663903</v>
      </c>
      <c r="AZ530" s="106">
        <f>+'Regulatory Charge'!AT530+Fuel!AT530+PCM!AU530+Interest!AT530+'O&amp;M'!AV530+'Capex &amp; Depr'!AV530+Debt!AW530+Pat.!AM530+Rates!AT530</f>
        <v>0.69015946176263809</v>
      </c>
      <c r="BA530" s="106">
        <f>+'Regulatory Charge'!AU530+Fuel!AU530+PCM!AV530+Interest!AU530+'O&amp;M'!AW530+'Capex &amp; Depr'!AW530+Debt!AX530+Pat.!AN530+Rates!AU530</f>
        <v>0.71086424561551731</v>
      </c>
      <c r="BB530" s="106">
        <f>+'Regulatory Charge'!AV530+Fuel!AV530+PCM!AW530+Interest!AV530+'O&amp;M'!AX530+'Capex &amp; Depr'!AX530+Debt!AY530+Pat.!AO530+Rates!AV530</f>
        <v>0.73219017298398281</v>
      </c>
      <c r="BC530" s="106">
        <f>+'Regulatory Charge'!AW530+Fuel!AW530+PCM!AX530+Interest!AW530+'O&amp;M'!AY530+'Capex &amp; Depr'!AY530+Debt!AZ530+Pat.!AP530+Rates!AW530</f>
        <v>0.75415587817350238</v>
      </c>
      <c r="BD530" s="106"/>
      <c r="BE530" s="106"/>
    </row>
    <row r="531" spans="1:57">
      <c r="A531" s="849" t="s">
        <v>755</v>
      </c>
      <c r="B531" s="846" t="s">
        <v>984</v>
      </c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224"/>
      <c r="S531" s="106">
        <f>+'Regulatory Charge'!M531+Fuel!M531+PCM!N531+Interest!M531+'O&amp;M'!O531+'Capex &amp; Depr'!O531+Debt!P531+Pat.!F531+Rates!M531</f>
        <v>6.166962758564389E-3</v>
      </c>
      <c r="T531" s="106">
        <f>+'Regulatory Charge'!N531+Fuel!N531+PCM!O531+Interest!N531+'O&amp;M'!P531+'Capex &amp; Depr'!P531+Debt!Q531+Pat.!G531+Rates!N531</f>
        <v>5.9600176995521607E-3</v>
      </c>
      <c r="U531" s="106">
        <f>+'Regulatory Charge'!O531+Fuel!O531+PCM!P531+Interest!O531+'O&amp;M'!Q531+'Capex &amp; Depr'!Q531+Debt!R531+Pat.!H531+Rates!O531</f>
        <v>6.4152968293790637E-3</v>
      </c>
      <c r="V531" s="106">
        <f>+'Regulatory Charge'!P531+Fuel!P531+PCM!Q531+Interest!P531+'O&amp;M'!R531+'Capex &amp; Depr'!R531+Debt!S531+Pat.!I531+Rates!P531</f>
        <v>6.1255737467619444E-3</v>
      </c>
      <c r="W531" s="106">
        <f>+'Regulatory Charge'!Q531+Fuel!Q531+PCM!R531+Interest!Q531+'O&amp;M'!S531+'Capex &amp; Depr'!S531+Debt!T531+Pat.!J531+Rates!Q531</f>
        <v>6.4980748529839547E-3</v>
      </c>
      <c r="X531" s="106">
        <f>+'Regulatory Charge'!R531+Fuel!R531+PCM!S531+Interest!R531+'O&amp;M'!T531+'Capex &amp; Depr'!T531+Debt!U531+Pat.!K531+Rates!R531</f>
        <v>5.6289056051325968E-3</v>
      </c>
      <c r="Y531" s="106">
        <f>+'Regulatory Charge'!S531+Fuel!S531+PCM!T531+Interest!S531+'O&amp;M'!U531+'Capex &amp; Depr'!U531+Debt!V531+Pat.!L531+Rates!S531</f>
        <v>6.1255737467619444E-3</v>
      </c>
      <c r="Z531" s="106">
        <f>+'Regulatory Charge'!T531+Fuel!T531+PCM!U531+Interest!T531+'O&amp;M'!V531+'Capex &amp; Depr'!V531+Debt!W531+Pat.!M531+Rates!T531</f>
        <v>6.4980748529839547E-3</v>
      </c>
      <c r="AA531" s="106">
        <f>+'Regulatory Charge'!U531+Fuel!U531+PCM!V531+Interest!U531+'O&amp;M'!W531+'Capex &amp; Depr'!W531+Debt!X531+Pat.!N531+Rates!U531</f>
        <v>5.6289056051325968E-3</v>
      </c>
      <c r="AB531" s="106">
        <f>+'Regulatory Charge'!V531+Fuel!V531+PCM!W531+Interest!V531+'O&amp;M'!X531+'Capex &amp; Depr'!X531+Debt!Y531+Pat.!O531+Rates!V531</f>
        <v>6.7704522549640982E-3</v>
      </c>
      <c r="AC531" s="106">
        <f>+'Regulatory Charge'!W531+Fuel!W531+PCM!X531+Interest!W531+'O&amp;M'!Y531+'Capex &amp; Depr'!Y531+Debt!Z531+Pat.!P531+Rates!W531</f>
        <v>5.635034796057075E-3</v>
      </c>
      <c r="AD531" s="106">
        <f>+'Regulatory Charge'!X531+Fuel!X531+PCM!Y531+Interest!X531+'O&amp;M'!Z531+'Capex &amp; Depr'!Z531+Debt!AA531+Pat.!Q531+Rates!X531</f>
        <v>5.8032447899692263E-3</v>
      </c>
      <c r="AE531" s="224">
        <f t="shared" si="8"/>
        <v>7.3256117538243015E-2</v>
      </c>
      <c r="AF531" s="106">
        <f>+'Regulatory Charge'!Z531+Fuel!Z531+PCM!AA531+Interest!Z531+'O&amp;M'!AB531+'Capex &amp; Depr'!AB531+Debt!AC531+Pat.!S531+Rates!Z531</f>
        <v>6.0795821635388795E-3</v>
      </c>
      <c r="AG531" s="106">
        <f>+'Regulatory Charge'!AA531+Fuel!AA531+PCM!AB531+Interest!AA531+'O&amp;M'!AC531+'Capex &amp; Depr'!AC531+Debt!AD531+Pat.!T531+Rates!AA531</f>
        <v>5.875569339259052E-3</v>
      </c>
      <c r="AH531" s="106">
        <f>+'Regulatory Charge'!AB531+Fuel!AB531+PCM!AC531+Interest!AB531+'O&amp;M'!AD531+'Capex &amp; Depr'!AD531+Debt!AE531+Pat.!U531+Rates!AB531</f>
        <v>6.3243975526746732E-3</v>
      </c>
      <c r="AI531" s="106">
        <f>+'Regulatory Charge'!AC531+Fuel!AC531+PCM!AD531+Interest!AC531+'O&amp;M'!AE531+'Capex &amp; Depr'!AE531+Debt!AF531+Pat.!V531+Rates!AC531</f>
        <v>6.0387795986829142E-3</v>
      </c>
      <c r="AJ531" s="106">
        <f>+'Regulatory Charge'!AD531+Fuel!AD531+PCM!AE531+Interest!AD531+'O&amp;M'!AF531+'Capex &amp; Depr'!AF531+Debt!AG531+Pat.!W531+Rates!AD531</f>
        <v>6.4060026823866056E-3</v>
      </c>
      <c r="AK531" s="106">
        <f>+'Regulatory Charge'!AE531+Fuel!AE531+PCM!AF531+Interest!AE531+'O&amp;M'!AG531+'Capex &amp; Depr'!AG531+Debt!AH531+Pat.!X531+Rates!AE531</f>
        <v>5.549148820411326E-3</v>
      </c>
      <c r="AL531" s="106">
        <f>+'Regulatory Charge'!AF531+Fuel!AF531+PCM!AG531+Interest!AF531+'O&amp;M'!AH531+'Capex &amp; Depr'!AH531+Debt!AI531+Pat.!Y531+Rates!AF531</f>
        <v>6.0387795986829142E-3</v>
      </c>
      <c r="AM531" s="106">
        <f>+'Regulatory Charge'!AG531+Fuel!AG531+PCM!AH531+Interest!AG531+'O&amp;M'!AI531+'Capex &amp; Depr'!AI531+Debt!AJ531+Pat.!Z531+Rates!AG531</f>
        <v>6.4060026823866056E-3</v>
      </c>
      <c r="AN531" s="106">
        <f>+'Regulatory Charge'!AH531+Fuel!AH531+PCM!AI531+Interest!AH531+'O&amp;M'!AJ531+'Capex &amp; Depr'!AJ531+Debt!AK531+Pat.!AA531+Rates!AH531</f>
        <v>5.549148820411326E-3</v>
      </c>
      <c r="AO531" s="106">
        <f>+'Regulatory Charge'!AI531+Fuel!AI531+PCM!AJ531+Interest!AI531+'O&amp;M'!AK531+'Capex &amp; Depr'!AK531+Debt!AL531+Pat.!AB531+Rates!AI531</f>
        <v>6.6745372276175328E-3</v>
      </c>
      <c r="AP531" s="106">
        <f>+'Regulatory Charge'!AJ531+Fuel!AJ531+PCM!AK531+Interest!AJ531+'O&amp;M'!AL531+'Capex &amp; Depr'!AL531+Debt!AM531+Pat.!AC531+Rates!AJ531</f>
        <v>5.5552048975201825E-3</v>
      </c>
      <c r="AQ531" s="106">
        <f>+'Regulatory Charge'!AK531+Fuel!AK531+PCM!AL531+Interest!AK531+'O&amp;M'!AM531+'Capex &amp; Depr'!AM531+Debt!AN531+Pat.!AD531+Rates!AK531</f>
        <v>5.7210319093864564E-3</v>
      </c>
      <c r="AR531" s="224">
        <f t="shared" si="9"/>
        <v>7.2218185292958467E-2</v>
      </c>
      <c r="AS531" s="106">
        <f>+'Regulatory Charge'!AM531+Fuel!AM531+PCM!AN531+Interest!AM531+'O&amp;M'!AO531+'Capex &amp; Depr'!AO531+Debt!AP531+Pat.!AF531+Rates!AM531</f>
        <v>7.3960420784888958E-2</v>
      </c>
      <c r="AT531" s="106">
        <f>+'Regulatory Charge'!AN531+Fuel!AN531+PCM!AO531+Interest!AN531+'O&amp;M'!AP531+'Capex &amp; Depr'!AP531+Debt!AQ531+Pat.!AG531+Rates!AN531</f>
        <v>7.5749862156105838E-2</v>
      </c>
      <c r="AU531" s="106">
        <f>+'Regulatory Charge'!AO531+Fuel!AO531+PCM!AP531+Interest!AO531+'O&amp;M'!AQ531+'Capex &amp; Depr'!AQ531+Debt!AR531+Pat.!AH531+Rates!AO531</f>
        <v>7.8022358020789009E-2</v>
      </c>
      <c r="AV531" s="106">
        <f>+'Regulatory Charge'!AP531+Fuel!AP531+PCM!AQ531+Interest!AP531+'O&amp;M'!AR531+'Capex &amp; Depr'!AR531+Debt!AS531+Pat.!AI531+Rates!AP531</f>
        <v>8.0363028761412686E-2</v>
      </c>
      <c r="AW531" s="106">
        <f>+'Regulatory Charge'!AQ531+Fuel!AQ531+PCM!AR531+Interest!AQ531+'O&amp;M'!AS531+'Capex &amp; Depr'!AS531+Debt!AT531+Pat.!AJ531+Rates!AQ531</f>
        <v>8.2773919624255066E-2</v>
      </c>
      <c r="AX531" s="106">
        <f>+'Regulatory Charge'!AR531+Fuel!AR531+PCM!AS531+Interest!AR531+'O&amp;M'!AT531+'Capex &amp; Depr'!AT531+Debt!AU531+Pat.!AK531+Rates!AR531</f>
        <v>8.5257137212982725E-2</v>
      </c>
      <c r="AY531" s="106">
        <f>+'Regulatory Charge'!AS531+Fuel!AS531+PCM!AT531+Interest!AS531+'O&amp;M'!AU531+'Capex &amp; Depr'!AU531+Debt!AV531+Pat.!AL531+Rates!AS531</f>
        <v>8.7814851329372209E-2</v>
      </c>
      <c r="AZ531" s="106">
        <f>+'Regulatory Charge'!AT531+Fuel!AT531+PCM!AU531+Interest!AT531+'O&amp;M'!AV531+'Capex &amp; Depr'!AV531+Debt!AW531+Pat.!AM531+Rates!AT531</f>
        <v>9.0449296869253376E-2</v>
      </c>
      <c r="BA531" s="106">
        <f>+'Regulatory Charge'!AU531+Fuel!AU531+PCM!AV531+Interest!AU531+'O&amp;M'!AW531+'Capex &amp; Depr'!AW531+Debt!AX531+Pat.!AN531+Rates!AU531</f>
        <v>9.3162775775330983E-2</v>
      </c>
      <c r="BB531" s="106">
        <f>+'Regulatory Charge'!AV531+Fuel!AV531+PCM!AW531+Interest!AV531+'O&amp;M'!AX531+'Capex &amp; Depr'!AX531+Debt!AY531+Pat.!AO531+Rates!AV531</f>
        <v>9.595765904859091E-2</v>
      </c>
      <c r="BC531" s="106">
        <f>+'Regulatory Charge'!AW531+Fuel!AW531+PCM!AX531+Interest!AW531+'O&amp;M'!AY531+'Capex &amp; Depr'!AY531+Debt!AZ531+Pat.!AP531+Rates!AW531</f>
        <v>9.8836388820048637E-2</v>
      </c>
      <c r="BD531" s="106"/>
      <c r="BE531" s="106"/>
    </row>
    <row r="532" spans="1:57">
      <c r="A532" s="849">
        <v>563.1</v>
      </c>
      <c r="B532" s="846" t="s">
        <v>984</v>
      </c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224"/>
      <c r="S532" s="106">
        <f>+'Regulatory Charge'!M532+Fuel!M532+PCM!N532+Interest!M532+'O&amp;M'!O532+'Capex &amp; Depr'!O532+Debt!P532+Pat.!F532+Rates!M532</f>
        <v>8.7644159999999999E-2</v>
      </c>
      <c r="T532" s="106">
        <f>+'Regulatory Charge'!N532+Fuel!N532+PCM!O532+Interest!N532+'O&amp;M'!P532+'Capex &amp; Depr'!P532+Debt!Q532+Pat.!G532+Rates!N532</f>
        <v>8.7626659999999995E-2</v>
      </c>
      <c r="U532" s="106">
        <f>+'Regulatory Charge'!O532+Fuel!O532+PCM!P532+Interest!O532+'O&amp;M'!Q532+'Capex &amp; Depr'!Q532+Debt!R532+Pat.!H532+Rates!O532</f>
        <v>9.1582521E-2</v>
      </c>
      <c r="V532" s="106">
        <f>+'Regulatory Charge'!P532+Fuel!P532+PCM!Q532+Interest!P532+'O&amp;M'!R532+'Capex &amp; Depr'!R532+Debt!S532+Pat.!I532+Rates!P532</f>
        <v>8.8722860000000001E-2</v>
      </c>
      <c r="W532" s="106">
        <f>+'Regulatory Charge'!Q532+Fuel!Q532+PCM!R532+Interest!Q532+'O&amp;M'!S532+'Capex &amp; Depr'!S532+Debt!T532+Pat.!J532+Rates!Q532</f>
        <v>9.2802460000000003E-2</v>
      </c>
      <c r="X532" s="106">
        <f>+'Regulatory Charge'!R532+Fuel!R532+PCM!S532+Interest!R532+'O&amp;M'!T532+'Capex &amp; Depr'!T532+Debt!U532+Pat.!K532+Rates!R532</f>
        <v>0.10098007000000001</v>
      </c>
      <c r="Y532" s="106">
        <f>+'Regulatory Charge'!S532+Fuel!S532+PCM!T532+Interest!S532+'O&amp;M'!U532+'Capex &amp; Depr'!U532+Debt!V532+Pat.!L532+Rates!S532</f>
        <v>0.10080625999999999</v>
      </c>
      <c r="Z532" s="106">
        <f>+'Regulatory Charge'!T532+Fuel!T532+PCM!U532+Interest!T532+'O&amp;M'!V532+'Capex &amp; Depr'!V532+Debt!W532+Pat.!M532+Rates!T532</f>
        <v>9.3106259999999996E-2</v>
      </c>
      <c r="AA532" s="106">
        <f>+'Regulatory Charge'!U532+Fuel!U532+PCM!V532+Interest!U532+'O&amp;M'!W532+'Capex &amp; Depr'!W532+Debt!X532+Pat.!N532+Rates!U532</f>
        <v>8.8893148999999991E-2</v>
      </c>
      <c r="AB532" s="106">
        <f>+'Regulatory Charge'!V532+Fuel!V532+PCM!W532+Interest!V532+'O&amp;M'!X532+'Capex &amp; Depr'!X532+Debt!Y532+Pat.!O532+Rates!V532</f>
        <v>8.7276659999999992E-2</v>
      </c>
      <c r="AC532" s="106">
        <f>+'Regulatory Charge'!W532+Fuel!W532+PCM!X532+Interest!W532+'O&amp;M'!Y532+'Capex &amp; Depr'!Y532+Debt!Z532+Pat.!P532+Rates!W532</f>
        <v>8.7626659999999995E-2</v>
      </c>
      <c r="AD532" s="106">
        <f>+'Regulatory Charge'!X532+Fuel!X532+PCM!Y532+Interest!X532+'O&amp;M'!Z532+'Capex &amp; Depr'!Z532+Debt!AA532+Pat.!Q532+Rates!X532</f>
        <v>8.7614549999999999E-2</v>
      </c>
      <c r="AE532" s="224">
        <f t="shared" si="8"/>
        <v>1.0946822700000001</v>
      </c>
      <c r="AF532" s="106">
        <f>+'Regulatory Charge'!Z532+Fuel!Z532+PCM!AA532+Interest!Z532+'O&amp;M'!AB532+'Capex &amp; Depr'!AB532+Debt!AC532+Pat.!S532+Rates!Z532</f>
        <v>9.3917897799999983E-2</v>
      </c>
      <c r="AG532" s="106">
        <f>+'Regulatory Charge'!AA532+Fuel!AA532+PCM!AB532+Interest!AA532+'O&amp;M'!AC532+'Capex &amp; Depr'!AC532+Debt!AD532+Pat.!T532+Rates!AA532</f>
        <v>9.3899872799999992E-2</v>
      </c>
      <c r="AH532" s="106">
        <f>+'Regulatory Charge'!AB532+Fuel!AB532+PCM!AC532+Interest!AB532+'O&amp;M'!AD532+'Capex &amp; Depr'!AD532+Debt!AE532+Pat.!U532+Rates!AB532</f>
        <v>9.8248247016199997E-2</v>
      </c>
      <c r="AI532" s="106">
        <f>+'Regulatory Charge'!AC532+Fuel!AC532+PCM!AD532+Interest!AC532+'O&amp;M'!AE532+'Capex &amp; Depr'!AE532+Debt!AF532+Pat.!V532+Rates!AC532</f>
        <v>9.6192821869599987E-2</v>
      </c>
      <c r="AJ532" s="106">
        <f>+'Regulatory Charge'!AD532+Fuel!AD532+PCM!AE532+Interest!AD532+'O&amp;M'!AF532+'Capex &amp; Depr'!AF532+Debt!AG532+Pat.!W532+Rates!AD532</f>
        <v>0.10133000240619999</v>
      </c>
      <c r="AK532" s="106">
        <f>+'Regulatory Charge'!AE532+Fuel!AE532+PCM!AF532+Interest!AE532+'O&amp;M'!AG532+'Capex &amp; Depr'!AG532+Debt!AH532+Pat.!X532+Rates!AE532</f>
        <v>0.10952592054499999</v>
      </c>
      <c r="AL532" s="106">
        <f>+'Regulatory Charge'!AF532+Fuel!AF532+PCM!AG532+Interest!AF532+'O&amp;M'!AH532+'Capex &amp; Depr'!AH532+Debt!AI532+Pat.!Y532+Rates!AF532</f>
        <v>0.10987846596829999</v>
      </c>
      <c r="AM532" s="106">
        <f>+'Regulatory Charge'!AG532+Fuel!AG532+PCM!AH532+Interest!AG532+'O&amp;M'!AI532+'Capex &amp; Depr'!AI532+Debt!AJ532+Pat.!Z532+Rates!AG532</f>
        <v>0.10911006079999999</v>
      </c>
      <c r="AN532" s="106">
        <f>+'Regulatory Charge'!AH532+Fuel!AH532+PCM!AI532+Interest!AH532+'O&amp;M'!AJ532+'Capex &amp; Depr'!AJ532+Debt!AK532+Pat.!AA532+Rates!AH532</f>
        <v>0.10139655646999998</v>
      </c>
      <c r="AO532" s="106">
        <f>+'Regulatory Charge'!AI532+Fuel!AI532+PCM!AJ532+Interest!AI532+'O&amp;M'!AK532+'Capex &amp; Depr'!AK532+Debt!AL532+Pat.!AB532+Rates!AI532</f>
        <v>9.8311774236599994E-2</v>
      </c>
      <c r="AP532" s="106">
        <f>+'Regulatory Charge'!AJ532+Fuel!AJ532+PCM!AK532+Interest!AJ532+'O&amp;M'!AL532+'Capex &amp; Depr'!AL532+Debt!AM532+Pat.!AC532+Rates!AJ532</f>
        <v>9.8910391300399997E-2</v>
      </c>
      <c r="AQ532" s="106">
        <f>+'Regulatory Charge'!AK532+Fuel!AK532+PCM!AL532+Interest!AK532+'O&amp;M'!AM532+'Capex &amp; Depr'!AM532+Debt!AN532+Pat.!AD532+Rates!AK532</f>
        <v>9.6757399499999994E-2</v>
      </c>
      <c r="AR532" s="224">
        <f t="shared" si="9"/>
        <v>1.2074794107122997</v>
      </c>
      <c r="AS532" s="106">
        <f>+'Regulatory Charge'!AM532+Fuel!AM532+PCM!AN532+Interest!AM532+'O&amp;M'!AO532+'Capex &amp; Depr'!AO532+Debt!AP532+Pat.!AF532+Rates!AM532</f>
        <v>1.2650238874063491</v>
      </c>
      <c r="AT532" s="106">
        <f>+'Regulatory Charge'!AN532+Fuel!AN532+PCM!AO532+Interest!AN532+'O&amp;M'!AP532+'Capex &amp; Depr'!AP532+Debt!AQ532+Pat.!AG532+Rates!AN532</f>
        <v>1.3145293933961593</v>
      </c>
      <c r="AU532" s="106">
        <f>+'Regulatory Charge'!AO532+Fuel!AO532+PCM!AP532+Interest!AO532+'O&amp;M'!AQ532+'Capex &amp; Depr'!AQ532+Debt!AR532+Pat.!AH532+Rates!AO532</f>
        <v>1.3539652751980444</v>
      </c>
      <c r="AV532" s="106">
        <f>+'Regulatory Charge'!AP532+Fuel!AP532+PCM!AQ532+Interest!AP532+'O&amp;M'!AR532+'Capex &amp; Depr'!AR532+Debt!AS532+Pat.!AI532+Rates!AP532</f>
        <v>1.3945842334539855</v>
      </c>
      <c r="AW532" s="106">
        <f>+'Regulatory Charge'!AQ532+Fuel!AQ532+PCM!AR532+Interest!AQ532+'O&amp;M'!AS532+'Capex &amp; Depr'!AS532+Debt!AT532+Pat.!AJ532+Rates!AQ532</f>
        <v>1.4364217604576053</v>
      </c>
      <c r="AX532" s="106">
        <f>+'Regulatory Charge'!AR532+Fuel!AR532+PCM!AS532+Interest!AR532+'O&amp;M'!AT532+'Capex &amp; Depr'!AT532+Debt!AU532+Pat.!AK532+Rates!AR532</f>
        <v>1.4795144132713336</v>
      </c>
      <c r="AY532" s="106">
        <f>+'Regulatory Charge'!AS532+Fuel!AS532+PCM!AT532+Interest!AS532+'O&amp;M'!AU532+'Capex &amp; Depr'!AU532+Debt!AV532+Pat.!AL532+Rates!AS532</f>
        <v>1.5238998456694737</v>
      </c>
      <c r="AZ532" s="106">
        <f>+'Regulatory Charge'!AT532+Fuel!AT532+PCM!AU532+Interest!AT532+'O&amp;M'!AV532+'Capex &amp; Depr'!AV532+Debt!AW532+Pat.!AM532+Rates!AT532</f>
        <v>1.5696168410395579</v>
      </c>
      <c r="BA532" s="106">
        <f>+'Regulatory Charge'!AU532+Fuel!AU532+PCM!AV532+Interest!AU532+'O&amp;M'!AW532+'Capex &amp; Depr'!AW532+Debt!AX532+Pat.!AN532+Rates!AU532</f>
        <v>1.6167053462707446</v>
      </c>
      <c r="BB532" s="106">
        <f>+'Regulatory Charge'!AV532+Fuel!AV532+PCM!AW532+Interest!AV532+'O&amp;M'!AX532+'Capex &amp; Depr'!AX532+Debt!AY532+Pat.!AO532+Rates!AV532</f>
        <v>1.6652065066588668</v>
      </c>
      <c r="BC532" s="106">
        <f>+'Regulatory Charge'!AW532+Fuel!AW532+PCM!AX532+Interest!AW532+'O&amp;M'!AY532+'Capex &amp; Depr'!AY532+Debt!AZ532+Pat.!AP532+Rates!AW532</f>
        <v>1.7151627018586331</v>
      </c>
      <c r="BD532" s="106"/>
      <c r="BE532" s="106"/>
    </row>
    <row r="533" spans="1:57">
      <c r="A533" s="849" t="s">
        <v>649</v>
      </c>
      <c r="B533" s="846" t="s">
        <v>99</v>
      </c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224"/>
      <c r="S533" s="106">
        <f>+'Regulatory Charge'!M533+Fuel!M533+PCM!N533+Interest!M533+'O&amp;M'!O533+'Capex &amp; Depr'!O533+Debt!P533+Pat.!F533+Rates!M533</f>
        <v>0.2</v>
      </c>
      <c r="T533" s="106">
        <f>+'Regulatory Charge'!N533+Fuel!N533+PCM!O533+Interest!N533+'O&amp;M'!P533+'Capex &amp; Depr'!P533+Debt!Q533+Pat.!G533+Rates!N533</f>
        <v>0.2</v>
      </c>
      <c r="U533" s="106">
        <f>+'Regulatory Charge'!O533+Fuel!O533+PCM!P533+Interest!O533+'O&amp;M'!Q533+'Capex &amp; Depr'!Q533+Debt!R533+Pat.!H533+Rates!O533</f>
        <v>0.2</v>
      </c>
      <c r="V533" s="106">
        <f>+'Regulatory Charge'!P533+Fuel!P533+PCM!Q533+Interest!P533+'O&amp;M'!R533+'Capex &amp; Depr'!R533+Debt!S533+Pat.!I533+Rates!P533</f>
        <v>0.2</v>
      </c>
      <c r="W533" s="106">
        <f>+'Regulatory Charge'!Q533+Fuel!Q533+PCM!R533+Interest!Q533+'O&amp;M'!S533+'Capex &amp; Depr'!S533+Debt!T533+Pat.!J533+Rates!Q533</f>
        <v>0.2</v>
      </c>
      <c r="X533" s="106">
        <f>+'Regulatory Charge'!R533+Fuel!R533+PCM!S533+Interest!R533+'O&amp;M'!T533+'Capex &amp; Depr'!T533+Debt!U533+Pat.!K533+Rates!R533</f>
        <v>0.2</v>
      </c>
      <c r="Y533" s="106">
        <f>+'Regulatory Charge'!S533+Fuel!S533+PCM!T533+Interest!S533+'O&amp;M'!U533+'Capex &amp; Depr'!U533+Debt!V533+Pat.!L533+Rates!S533</f>
        <v>0.2</v>
      </c>
      <c r="Z533" s="106">
        <f>+'Regulatory Charge'!T533+Fuel!T533+PCM!U533+Interest!T533+'O&amp;M'!V533+'Capex &amp; Depr'!V533+Debt!W533+Pat.!M533+Rates!T533</f>
        <v>0.2</v>
      </c>
      <c r="AA533" s="106">
        <f>+'Regulatory Charge'!U533+Fuel!U533+PCM!V533+Interest!U533+'O&amp;M'!W533+'Capex &amp; Depr'!W533+Debt!X533+Pat.!N533+Rates!U533</f>
        <v>0.2</v>
      </c>
      <c r="AB533" s="106">
        <f>+'Regulatory Charge'!V533+Fuel!V533+PCM!W533+Interest!V533+'O&amp;M'!X533+'Capex &amp; Depr'!X533+Debt!Y533+Pat.!O533+Rates!V533</f>
        <v>0.2</v>
      </c>
      <c r="AC533" s="106">
        <f>+'Regulatory Charge'!W533+Fuel!W533+PCM!X533+Interest!W533+'O&amp;M'!Y533+'Capex &amp; Depr'!Y533+Debt!Z533+Pat.!P533+Rates!W533</f>
        <v>0.2</v>
      </c>
      <c r="AD533" s="106">
        <f>+'Regulatory Charge'!X533+Fuel!X533+PCM!Y533+Interest!X533+'O&amp;M'!Z533+'Capex &amp; Depr'!Z533+Debt!AA533+Pat.!Q533+Rates!X533</f>
        <v>0.2</v>
      </c>
      <c r="AE533" s="224">
        <f t="shared" si="8"/>
        <v>2.4</v>
      </c>
      <c r="AF533" s="106">
        <f>+'Regulatory Charge'!Z533+Fuel!Z533+PCM!AA533+Interest!Z533+'O&amp;M'!AB533+'Capex &amp; Depr'!AB533+Debt!AC533+Pat.!S533+Rates!Z533</f>
        <v>0.20599999999999999</v>
      </c>
      <c r="AG533" s="106">
        <f>+'Regulatory Charge'!AA533+Fuel!AA533+PCM!AB533+Interest!AA533+'O&amp;M'!AC533+'Capex &amp; Depr'!AC533+Debt!AD533+Pat.!T533+Rates!AA533</f>
        <v>0.20599999999999999</v>
      </c>
      <c r="AH533" s="106">
        <f>+'Regulatory Charge'!AB533+Fuel!AB533+PCM!AC533+Interest!AB533+'O&amp;M'!AD533+'Capex &amp; Depr'!AD533+Debt!AE533+Pat.!U533+Rates!AB533</f>
        <v>0.20599999999999999</v>
      </c>
      <c r="AI533" s="106">
        <f>+'Regulatory Charge'!AC533+Fuel!AC533+PCM!AD533+Interest!AC533+'O&amp;M'!AE533+'Capex &amp; Depr'!AE533+Debt!AF533+Pat.!V533+Rates!AC533</f>
        <v>0.20599999999999999</v>
      </c>
      <c r="AJ533" s="106">
        <f>+'Regulatory Charge'!AD533+Fuel!AD533+PCM!AE533+Interest!AD533+'O&amp;M'!AF533+'Capex &amp; Depr'!AF533+Debt!AG533+Pat.!W533+Rates!AD533</f>
        <v>0.20599999999999999</v>
      </c>
      <c r="AK533" s="106">
        <f>+'Regulatory Charge'!AE533+Fuel!AE533+PCM!AF533+Interest!AE533+'O&amp;M'!AG533+'Capex &amp; Depr'!AG533+Debt!AH533+Pat.!X533+Rates!AE533</f>
        <v>0.20599999999999999</v>
      </c>
      <c r="AL533" s="106">
        <f>+'Regulatory Charge'!AF533+Fuel!AF533+PCM!AG533+Interest!AF533+'O&amp;M'!AH533+'Capex &amp; Depr'!AH533+Debt!AI533+Pat.!Y533+Rates!AF533</f>
        <v>0.20599999999999999</v>
      </c>
      <c r="AM533" s="106">
        <f>+'Regulatory Charge'!AG533+Fuel!AG533+PCM!AH533+Interest!AG533+'O&amp;M'!AI533+'Capex &amp; Depr'!AI533+Debt!AJ533+Pat.!Z533+Rates!AG533</f>
        <v>0.20599999999999999</v>
      </c>
      <c r="AN533" s="106">
        <f>+'Regulatory Charge'!AH533+Fuel!AH533+PCM!AI533+Interest!AH533+'O&amp;M'!AJ533+'Capex &amp; Depr'!AJ533+Debt!AK533+Pat.!AA533+Rates!AH533</f>
        <v>0.20599999999999999</v>
      </c>
      <c r="AO533" s="106">
        <f>+'Regulatory Charge'!AI533+Fuel!AI533+PCM!AJ533+Interest!AI533+'O&amp;M'!AK533+'Capex &amp; Depr'!AK533+Debt!AL533+Pat.!AB533+Rates!AI533</f>
        <v>0.20599999999999999</v>
      </c>
      <c r="AP533" s="106">
        <f>+'Regulatory Charge'!AJ533+Fuel!AJ533+PCM!AK533+Interest!AJ533+'O&amp;M'!AL533+'Capex &amp; Depr'!AL533+Debt!AM533+Pat.!AC533+Rates!AJ533</f>
        <v>0.20599999999999999</v>
      </c>
      <c r="AQ533" s="106">
        <f>+'Regulatory Charge'!AK533+Fuel!AK533+PCM!AL533+Interest!AK533+'O&amp;M'!AM533+'Capex &amp; Depr'!AM533+Debt!AN533+Pat.!AD533+Rates!AK533</f>
        <v>0.20599999999999999</v>
      </c>
      <c r="AR533" s="224">
        <f t="shared" si="9"/>
        <v>2.472</v>
      </c>
      <c r="AS533" s="106">
        <f>+'Regulatory Charge'!AM533+Fuel!AM533+PCM!AN533+Interest!AM533+'O&amp;M'!AO533+'Capex &amp; Depr'!AO533+Debt!AP533+Pat.!AF533+Rates!AM533</f>
        <v>2.54616</v>
      </c>
      <c r="AT533" s="106">
        <f>+'Regulatory Charge'!AN533+Fuel!AN533+PCM!AO533+Interest!AN533+'O&amp;M'!AP533+'Capex &amp; Depr'!AP533+Debt!AQ533+Pat.!AG533+Rates!AN533</f>
        <v>2.6225447999999996</v>
      </c>
      <c r="AU533" s="106">
        <f>+'Regulatory Charge'!AO533+Fuel!AO533+PCM!AP533+Interest!AO533+'O&amp;M'!AQ533+'Capex &amp; Depr'!AQ533+Debt!AR533+Pat.!AH533+Rates!AO533</f>
        <v>2.7012211439999998</v>
      </c>
      <c r="AV533" s="106">
        <f>+'Regulatory Charge'!AP533+Fuel!AP533+PCM!AQ533+Interest!AP533+'O&amp;M'!AR533+'Capex &amp; Depr'!AR533+Debt!AS533+Pat.!AI533+Rates!AP533</f>
        <v>2.78225777832</v>
      </c>
      <c r="AW533" s="106">
        <f>+'Regulatory Charge'!AQ533+Fuel!AQ533+PCM!AR533+Interest!AQ533+'O&amp;M'!AS533+'Capex &amp; Depr'!AS533+Debt!AT533+Pat.!AJ533+Rates!AQ533</f>
        <v>2.8657255116695999</v>
      </c>
      <c r="AX533" s="106">
        <f>+'Regulatory Charge'!AR533+Fuel!AR533+PCM!AS533+Interest!AR533+'O&amp;M'!AT533+'Capex &amp; Depr'!AT533+Debt!AU533+Pat.!AK533+Rates!AR533</f>
        <v>2.9516972770196879</v>
      </c>
      <c r="AY533" s="106">
        <f>+'Regulatory Charge'!AS533+Fuel!AS533+PCM!AT533+Interest!AS533+'O&amp;M'!AU533+'Capex &amp; Depr'!AU533+Debt!AV533+Pat.!AL533+Rates!AS533</f>
        <v>3.0402481953302787</v>
      </c>
      <c r="AZ533" s="106">
        <f>+'Regulatory Charge'!AT533+Fuel!AT533+PCM!AU533+Interest!AT533+'O&amp;M'!AV533+'Capex &amp; Depr'!AV533+Debt!AW533+Pat.!AM533+Rates!AT533</f>
        <v>3.131455641190187</v>
      </c>
      <c r="BA533" s="106">
        <f>+'Regulatory Charge'!AU533+Fuel!AU533+PCM!AV533+Interest!AU533+'O&amp;M'!AW533+'Capex &amp; Depr'!AW533+Debt!AX533+Pat.!AN533+Rates!AU533</f>
        <v>3.2253993104258929</v>
      </c>
      <c r="BB533" s="106">
        <f>+'Regulatory Charge'!AV533+Fuel!AV533+PCM!AW533+Interest!AV533+'O&amp;M'!AX533+'Capex &amp; Depr'!AX533+Debt!AY533+Pat.!AO533+Rates!AV533</f>
        <v>3.3221612897386699</v>
      </c>
      <c r="BC533" s="106">
        <f>+'Regulatory Charge'!AW533+Fuel!AW533+PCM!AX533+Interest!AW533+'O&amp;M'!AY533+'Capex &amp; Depr'!AY533+Debt!AZ533+Pat.!AP533+Rates!AW533</f>
        <v>3.4218261284308302</v>
      </c>
      <c r="BD533" s="106"/>
      <c r="BE533" s="106"/>
    </row>
    <row r="534" spans="1:57">
      <c r="A534" s="849" t="s">
        <v>757</v>
      </c>
      <c r="B534" s="846" t="s">
        <v>985</v>
      </c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224"/>
      <c r="S534" s="106">
        <f>+'Regulatory Charge'!M534+Fuel!M534+PCM!N534+Interest!M534+'O&amp;M'!O534+'Capex &amp; Depr'!O534+Debt!P534+Pat.!F534+Rates!M534</f>
        <v>1.4902622060212006E-2</v>
      </c>
      <c r="T534" s="106">
        <f>+'Regulatory Charge'!N534+Fuel!N534+PCM!O534+Interest!N534+'O&amp;M'!P534+'Capex &amp; Depr'!P534+Debt!Q534+Pat.!G534+Rates!N534</f>
        <v>1.4402534071614287E-2</v>
      </c>
      <c r="U534" s="106">
        <f>+'Regulatory Charge'!O534+Fuel!O534+PCM!P534+Interest!O534+'O&amp;M'!Q534+'Capex &amp; Depr'!Q534+Debt!R534+Pat.!H534+Rates!O534</f>
        <v>1.550272764652927E-2</v>
      </c>
      <c r="V534" s="106">
        <f>+'Regulatory Charge'!P534+Fuel!P534+PCM!Q534+Interest!P534+'O&amp;M'!R534+'Capex &amp; Depr'!R534+Debt!S534+Pat.!I534+Rates!P534</f>
        <v>1.4802604462492463E-2</v>
      </c>
      <c r="W534" s="106">
        <f>+'Regulatory Charge'!Q534+Fuel!Q534+PCM!R534+Interest!Q534+'O&amp;M'!S534+'Capex &amp; Depr'!S534+Debt!T534+Pat.!J534+Rates!Q534</f>
        <v>1.5702762841968358E-2</v>
      </c>
      <c r="X534" s="106">
        <f>+'Regulatory Charge'!R534+Fuel!R534+PCM!S534+Interest!R534+'O&amp;M'!T534+'Capex &amp; Depr'!T534+Debt!U534+Pat.!K534+Rates!R534</f>
        <v>1.3602393289857941E-2</v>
      </c>
      <c r="Y534" s="106">
        <f>+'Regulatory Charge'!S534+Fuel!S534+PCM!T534+Interest!S534+'O&amp;M'!U534+'Capex &amp; Depr'!U534+Debt!V534+Pat.!L534+Rates!S534</f>
        <v>1.4802604462492463E-2</v>
      </c>
      <c r="Z534" s="106">
        <f>+'Regulatory Charge'!T534+Fuel!T534+PCM!U534+Interest!T534+'O&amp;M'!V534+'Capex &amp; Depr'!V534+Debt!W534+Pat.!M534+Rates!T534</f>
        <v>1.5702762841968358E-2</v>
      </c>
      <c r="AA534" s="106">
        <f>+'Regulatory Charge'!U534+Fuel!U534+PCM!V534+Interest!U534+'O&amp;M'!W534+'Capex &amp; Depr'!W534+Debt!X534+Pat.!N534+Rates!U534</f>
        <v>1.3633215798159938E-2</v>
      </c>
      <c r="AB534" s="106">
        <f>+'Regulatory Charge'!V534+Fuel!V534+PCM!W534+Interest!V534+'O&amp;M'!X534+'Capex &amp; Depr'!X534+Debt!Y534+Pat.!O534+Rates!V534</f>
        <v>1.6246142998180287E-2</v>
      </c>
      <c r="AC534" s="106">
        <f>+'Regulatory Charge'!W534+Fuel!W534+PCM!X534+Interest!W534+'O&amp;M'!Y534+'Capex &amp; Depr'!Y534+Debt!Z534+Pat.!P534+Rates!W534</f>
        <v>1.3521634545069309E-2</v>
      </c>
      <c r="AD534" s="106">
        <f>+'Regulatory Charge'!X534+Fuel!X534+PCM!Y534+Interest!X534+'O&amp;M'!Z534+'Capex &amp; Depr'!Z534+Debt!AA534+Pat.!Q534+Rates!X534</f>
        <v>1.3308221480305514E-2</v>
      </c>
      <c r="AE534" s="224">
        <f t="shared" si="8"/>
        <v>0.17613022649885018</v>
      </c>
      <c r="AF534" s="106">
        <f>+'Regulatory Charge'!Z534+Fuel!Z534+PCM!AA534+Interest!Z534+'O&amp;M'!AB534+'Capex &amp; Depr'!AB534+Debt!AC534+Pat.!S534+Rates!Z534</f>
        <v>1.403961997114745E-2</v>
      </c>
      <c r="AG534" s="106">
        <f>+'Regulatory Charge'!AA534+Fuel!AA534+PCM!AB534+Interest!AA534+'O&amp;M'!AC534+'Capex &amp; Depr'!AC534+Debt!AD534+Pat.!T534+Rates!AA534</f>
        <v>1.3568491784196196E-2</v>
      </c>
      <c r="AH534" s="106">
        <f>+'Regulatory Charge'!AB534+Fuel!AB534+PCM!AC534+Interest!AB534+'O&amp;M'!AD534+'Capex &amp; Depr'!AD534+Debt!AE534+Pat.!U534+Rates!AB534</f>
        <v>1.4604973795488963E-2</v>
      </c>
      <c r="AI534" s="106">
        <f>+'Regulatory Charge'!AC534+Fuel!AC534+PCM!AD534+Interest!AC534+'O&amp;M'!AE534+'Capex &amp; Depr'!AE534+Debt!AF534+Pat.!V534+Rates!AC534</f>
        <v>1.3945394333757202E-2</v>
      </c>
      <c r="AJ534" s="106">
        <f>+'Regulatory Charge'!AD534+Fuel!AD534+PCM!AE534+Interest!AD534+'O&amp;M'!AF534+'Capex &amp; Depr'!AF534+Debt!AG534+Pat.!W534+Rates!AD534</f>
        <v>1.4793425070269466E-2</v>
      </c>
      <c r="AK534" s="106">
        <f>+'Regulatory Charge'!AE534+Fuel!AE534+PCM!AF534+Interest!AE534+'O&amp;M'!AG534+'Capex &amp; Depr'!AG534+Debt!AH534+Pat.!X534+Rates!AE534</f>
        <v>1.2814686685074184E-2</v>
      </c>
      <c r="AL534" s="106">
        <f>+'Regulatory Charge'!AF534+Fuel!AF534+PCM!AG534+Interest!AF534+'O&amp;M'!AH534+'Capex &amp; Depr'!AH534+Debt!AI534+Pat.!Y534+Rates!AF534</f>
        <v>1.3945394333757202E-2</v>
      </c>
      <c r="AM534" s="106">
        <f>+'Regulatory Charge'!AG534+Fuel!AG534+PCM!AH534+Interest!AG534+'O&amp;M'!AI534+'Capex &amp; Depr'!AI534+Debt!AJ534+Pat.!Z534+Rates!AG534</f>
        <v>1.4793425070269466E-2</v>
      </c>
      <c r="AN534" s="106">
        <f>+'Regulatory Charge'!AH534+Fuel!AH534+PCM!AI534+Interest!AH534+'O&amp;M'!AJ534+'Capex &amp; Depr'!AJ534+Debt!AK534+Pat.!AA534+Rates!AH534</f>
        <v>1.2828436118230598E-2</v>
      </c>
      <c r="AO534" s="106">
        <f>+'Regulatory Charge'!AI534+Fuel!AI534+PCM!AJ534+Interest!AI534+'O&amp;M'!AK534+'Capex &amp; Depr'!AK534+Debt!AL534+Pat.!AB534+Rates!AI534</f>
        <v>1.5306647696206885E-2</v>
      </c>
      <c r="AP534" s="106">
        <f>+'Regulatory Charge'!AJ534+Fuel!AJ534+PCM!AK534+Interest!AJ534+'O&amp;M'!AL534+'Capex &amp; Depr'!AL534+Debt!AM534+Pat.!AC534+Rates!AJ534</f>
        <v>1.2739694355849207E-2</v>
      </c>
      <c r="AQ534" s="106">
        <f>+'Regulatory Charge'!AK534+Fuel!AK534+PCM!AL534+Interest!AK534+'O&amp;M'!AM534+'Capex &amp; Depr'!AM534+Debt!AN534+Pat.!AD534+Rates!AK534</f>
        <v>1.3119983739605901E-2</v>
      </c>
      <c r="AR534" s="224">
        <f t="shared" si="9"/>
        <v>0.16650017295385272</v>
      </c>
      <c r="AS534" s="106">
        <f>+'Regulatory Charge'!AM534+Fuel!AM534+PCM!AN534+Interest!AM534+'O&amp;M'!AO534+'Capex &amp; Depr'!AO534+Debt!AP534+Pat.!AF534+Rates!AM534</f>
        <v>0.17056493774553796</v>
      </c>
      <c r="AT534" s="106">
        <f>+'Regulatory Charge'!AN534+Fuel!AN534+PCM!AO534+Interest!AN534+'O&amp;M'!AP534+'Capex &amp; Depr'!AP534+Debt!AQ534+Pat.!AG534+Rates!AN534</f>
        <v>0.17457345022192991</v>
      </c>
      <c r="AU534" s="106">
        <f>+'Regulatory Charge'!AO534+Fuel!AO534+PCM!AP534+Interest!AO534+'O&amp;M'!AQ534+'Capex &amp; Depr'!AQ534+Debt!AR534+Pat.!AH534+Rates!AO534</f>
        <v>0.17981065372858782</v>
      </c>
      <c r="AV534" s="106">
        <f>+'Regulatory Charge'!AP534+Fuel!AP534+PCM!AQ534+Interest!AP534+'O&amp;M'!AR534+'Capex &amp; Depr'!AR534+Debt!AS534+Pat.!AI534+Rates!AP534</f>
        <v>0.18520497334044544</v>
      </c>
      <c r="AW534" s="106">
        <f>+'Regulatory Charge'!AQ534+Fuel!AQ534+PCM!AR534+Interest!AQ534+'O&amp;M'!AS534+'Capex &amp; Depr'!AS534+Debt!AT534+Pat.!AJ534+Rates!AQ534</f>
        <v>0.1907611225406588</v>
      </c>
      <c r="AX534" s="106">
        <f>+'Regulatory Charge'!AR534+Fuel!AR534+PCM!AS534+Interest!AR534+'O&amp;M'!AT534+'Capex &amp; Depr'!AT534+Debt!AU534+Pat.!AK534+Rates!AR534</f>
        <v>0.19648395621687856</v>
      </c>
      <c r="AY534" s="106">
        <f>+'Regulatory Charge'!AS534+Fuel!AS534+PCM!AT534+Interest!AS534+'O&amp;M'!AU534+'Capex &amp; Depr'!AU534+Debt!AV534+Pat.!AL534+Rates!AS534</f>
        <v>0.20237847490338493</v>
      </c>
      <c r="AZ534" s="106">
        <f>+'Regulatory Charge'!AT534+Fuel!AT534+PCM!AU534+Interest!AT534+'O&amp;M'!AV534+'Capex &amp; Depr'!AV534+Debt!AW534+Pat.!AM534+Rates!AT534</f>
        <v>0.20844982915048649</v>
      </c>
      <c r="BA534" s="106">
        <f>+'Regulatory Charge'!AU534+Fuel!AU534+PCM!AV534+Interest!AU534+'O&amp;M'!AW534+'Capex &amp; Depr'!AW534+Debt!AX534+Pat.!AN534+Rates!AU534</f>
        <v>0.21470332402500109</v>
      </c>
      <c r="BB534" s="106">
        <f>+'Regulatory Charge'!AV534+Fuel!AV534+PCM!AW534+Interest!AV534+'O&amp;M'!AX534+'Capex &amp; Depr'!AX534+Debt!AY534+Pat.!AO534+Rates!AV534</f>
        <v>0.22114442374575113</v>
      </c>
      <c r="BC534" s="106">
        <f>+'Regulatory Charge'!AW534+Fuel!AW534+PCM!AX534+Interest!AW534+'O&amp;M'!AY534+'Capex &amp; Depr'!AY534+Debt!AZ534+Pat.!AP534+Rates!AW534</f>
        <v>0.22777875645812368</v>
      </c>
      <c r="BD534" s="106"/>
      <c r="BE534" s="106"/>
    </row>
    <row r="535" spans="1:57">
      <c r="A535" s="849">
        <v>566.1</v>
      </c>
      <c r="B535" s="846" t="s">
        <v>985</v>
      </c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224"/>
      <c r="S535" s="106">
        <f>+'Regulatory Charge'!M535+Fuel!M535+PCM!N535+Interest!M535+'O&amp;M'!O535+'Capex &amp; Depr'!O535+Debt!P535+Pat.!F535+Rates!M535</f>
        <v>4.3128400000000001E-3</v>
      </c>
      <c r="T535" s="106">
        <f>+'Regulatory Charge'!N535+Fuel!N535+PCM!O535+Interest!N535+'O&amp;M'!P535+'Capex &amp; Depr'!P535+Debt!Q535+Pat.!G535+Rates!N535</f>
        <v>4.21734E-3</v>
      </c>
      <c r="U535" s="106">
        <f>+'Regulatory Charge'!O535+Fuel!O535+PCM!P535+Interest!O535+'O&amp;M'!Q535+'Capex &amp; Depr'!Q535+Debt!R535+Pat.!H535+Rates!O535</f>
        <v>5.9127089999999995E-3</v>
      </c>
      <c r="V535" s="106">
        <f>+'Regulatory Charge'!P535+Fuel!P535+PCM!Q535+Interest!P535+'O&amp;M'!R535+'Capex &amp; Depr'!R535+Debt!S535+Pat.!I535+Rates!P535</f>
        <v>4.6871400000000002E-3</v>
      </c>
      <c r="W535" s="106">
        <f>+'Regulatory Charge'!Q535+Fuel!Q535+PCM!R535+Interest!Q535+'O&amp;M'!S535+'Capex &amp; Depr'!S535+Debt!T535+Pat.!J535+Rates!Q535</f>
        <v>6.43554E-3</v>
      </c>
      <c r="X535" s="106">
        <f>+'Regulatory Charge'!R535+Fuel!R535+PCM!S535+Interest!R535+'O&amp;M'!T535+'Capex &amp; Depr'!T535+Debt!U535+Pat.!K535+Rates!R535</f>
        <v>9.9622300000000007E-3</v>
      </c>
      <c r="Y535" s="106">
        <f>+'Regulatory Charge'!S535+Fuel!S535+PCM!T535+Interest!S535+'O&amp;M'!U535+'Capex &amp; Depr'!U535+Debt!V535+Pat.!L535+Rates!S535</f>
        <v>9.8657400000000013E-3</v>
      </c>
      <c r="Z535" s="106">
        <f>+'Regulatory Charge'!T535+Fuel!T535+PCM!U535+Interest!T535+'O&amp;M'!V535+'Capex &amp; Depr'!V535+Debt!W535+Pat.!M535+Rates!T535</f>
        <v>6.8561399999999993E-3</v>
      </c>
      <c r="AA535" s="106">
        <f>+'Regulatory Charge'!U535+Fuel!U535+PCM!V535+Interest!U535+'O&amp;M'!W535+'Capex &amp; Depr'!W535+Debt!X535+Pat.!N535+Rates!U535</f>
        <v>4.760121E-3</v>
      </c>
      <c r="AB535" s="106">
        <f>+'Regulatory Charge'!V535+Fuel!V535+PCM!W535+Interest!V535+'O&amp;M'!X535+'Capex &amp; Depr'!X535+Debt!Y535+Pat.!O535+Rates!V535</f>
        <v>4.06734E-3</v>
      </c>
      <c r="AC535" s="106">
        <f>+'Regulatory Charge'!W535+Fuel!W535+PCM!X535+Interest!W535+'O&amp;M'!Y535+'Capex &amp; Depr'!Y535+Debt!Z535+Pat.!P535+Rates!W535</f>
        <v>4.2481399999999992E-3</v>
      </c>
      <c r="AD535" s="106">
        <f>+'Regulatory Charge'!X535+Fuel!X535+PCM!Y535+Interest!X535+'O&amp;M'!Z535+'Capex &amp; Depr'!Z535+Debt!AA535+Pat.!Q535+Rates!X535</f>
        <v>4.2209500000000002E-3</v>
      </c>
      <c r="AE535" s="224">
        <f t="shared" si="8"/>
        <v>6.9546230000000001E-2</v>
      </c>
      <c r="AF535" s="106">
        <f>+'Regulatory Charge'!Z535+Fuel!Z535+PCM!AA535+Interest!Z535+'O&amp;M'!AB535+'Capex &amp; Depr'!AB535+Debt!AC535+Pat.!S535+Rates!Z535</f>
        <v>4.4651561999999997E-3</v>
      </c>
      <c r="AG535" s="106">
        <f>+'Regulatory Charge'!AA535+Fuel!AA535+PCM!AB535+Interest!AA535+'O&amp;M'!AC535+'Capex &amp; Depr'!AC535+Debt!AD535+Pat.!T535+Rates!AA535</f>
        <v>4.3694311999999992E-3</v>
      </c>
      <c r="AH535" s="106">
        <f>+'Regulatory Charge'!AB535+Fuel!AB535+PCM!AC535+Interest!AB535+'O&amp;M'!AD535+'Capex &amp; Depr'!AD535+Debt!AE535+Pat.!U535+Rates!AB535</f>
        <v>6.2330201497999994E-3</v>
      </c>
      <c r="AI535" s="106">
        <f>+'Regulatory Charge'!AC535+Fuel!AC535+PCM!AD535+Interest!AC535+'O&amp;M'!AE535+'Capex &amp; Depr'!AE535+Debt!AF535+Pat.!V535+Rates!AC535</f>
        <v>5.3521236583999997E-3</v>
      </c>
      <c r="AJ535" s="106">
        <f>+'Regulatory Charge'!AD535+Fuel!AD535+PCM!AE535+Interest!AD535+'O&amp;M'!AF535+'Capex &amp; Depr'!AF535+Debt!AG535+Pat.!W535+Rates!AD535</f>
        <v>7.5537724598000004E-3</v>
      </c>
      <c r="AK535" s="106">
        <f>+'Regulatory Charge'!AE535+Fuel!AE535+PCM!AF535+Interest!AE535+'O&amp;M'!AG535+'Capex &amp; Depr'!AG535+Debt!AH535+Pat.!X535+Rates!AE535</f>
        <v>1.1088308805000001E-2</v>
      </c>
      <c r="AL535" s="106">
        <f>+'Regulatory Charge'!AF535+Fuel!AF535+PCM!AG535+Interest!AF535+'O&amp;M'!AH535+'Capex &amp; Depr'!AH535+Debt!AI535+Pat.!Y535+Rates!AF535</f>
        <v>1.1217399700699999E-2</v>
      </c>
      <c r="AM535" s="106">
        <f>+'Regulatory Charge'!AG535+Fuel!AG535+PCM!AH535+Interest!AG535+'O&amp;M'!AI535+'Capex &amp; Depr'!AI535+Debt!AJ535+Pat.!Z535+Rates!AG535</f>
        <v>1.11872832E-2</v>
      </c>
      <c r="AN535" s="106">
        <f>+'Regulatory Charge'!AH535+Fuel!AH535+PCM!AI535+Interest!AH535+'O&amp;M'!AJ535+'Capex &amp; Depr'!AJ535+Debt!AK535+Pat.!AA535+Rates!AH535</f>
        <v>7.5822956300000003E-3</v>
      </c>
      <c r="AO535" s="106">
        <f>+'Regulatory Charge'!AI535+Fuel!AI535+PCM!AJ535+Interest!AI535+'O&amp;M'!AK535+'Capex &amp; Depr'!AK535+Debt!AL535+Pat.!AB535+Rates!AI535</f>
        <v>6.2602461014000001E-3</v>
      </c>
      <c r="AP535" s="106">
        <f>+'Regulatory Charge'!AJ535+Fuel!AJ535+PCM!AK535+Interest!AJ535+'O&amp;M'!AL535+'Capex &amp; Depr'!AL535+Debt!AM535+Pat.!AC535+Rates!AJ535</f>
        <v>6.5387962715999998E-3</v>
      </c>
      <c r="AQ535" s="106">
        <f>+'Regulatory Charge'!AK535+Fuel!AK535+PCM!AL535+Interest!AK535+'O&amp;M'!AM535+'Capex &amp; Depr'!AM535+Debt!AN535+Pat.!AD535+Rates!AK535</f>
        <v>5.5896855000000002E-3</v>
      </c>
      <c r="AR535" s="224">
        <f t="shared" si="9"/>
        <v>8.743751887670001E-2</v>
      </c>
      <c r="AS535" s="106">
        <f>+'Regulatory Charge'!AM535+Fuel!AM535+PCM!AN535+Interest!AM535+'O&amp;M'!AO535+'Capex &amp; Depr'!AO535+Debt!AP535+Pat.!AF535+Rates!AM535</f>
        <v>8.9446294602720994E-2</v>
      </c>
      <c r="AT535" s="106">
        <f>+'Regulatory Charge'!AN535+Fuel!AN535+PCM!AO535+Interest!AN535+'O&amp;M'!AP535+'Capex &amp; Depr'!AP535+Debt!AQ535+Pat.!AG535+Rates!AN535</f>
        <v>9.2764425741211007E-2</v>
      </c>
      <c r="AU535" s="106">
        <f>+'Regulatory Charge'!AO535+Fuel!AO535+PCM!AP535+Interest!AO535+'O&amp;M'!AQ535+'Capex &amp; Depr'!AQ535+Debt!AR535+Pat.!AH535+Rates!AO535</f>
        <v>9.5547358513447339E-2</v>
      </c>
      <c r="AV535" s="106">
        <f>+'Regulatory Charge'!AP535+Fuel!AP535+PCM!AQ535+Interest!AP535+'O&amp;M'!AR535+'Capex &amp; Depr'!AR535+Debt!AS535+Pat.!AI535+Rates!AP535</f>
        <v>9.8413779268850768E-2</v>
      </c>
      <c r="AW535" s="106">
        <f>+'Regulatory Charge'!AQ535+Fuel!AQ535+PCM!AR535+Interest!AQ535+'O&amp;M'!AS535+'Capex &amp; Depr'!AS535+Debt!AT535+Pat.!AJ535+Rates!AQ535</f>
        <v>0.10136619264691629</v>
      </c>
      <c r="AX535" s="106">
        <f>+'Regulatory Charge'!AR535+Fuel!AR535+PCM!AS535+Interest!AR535+'O&amp;M'!AT535+'Capex &amp; Depr'!AT535+Debt!AU535+Pat.!AK535+Rates!AR535</f>
        <v>0.10440717842632379</v>
      </c>
      <c r="AY535" s="106">
        <f>+'Regulatory Charge'!AS535+Fuel!AS535+PCM!AT535+Interest!AS535+'O&amp;M'!AU535+'Capex &amp; Depr'!AU535+Debt!AV535+Pat.!AL535+Rates!AS535</f>
        <v>0.10753939377911351</v>
      </c>
      <c r="AZ535" s="106">
        <f>+'Regulatory Charge'!AT535+Fuel!AT535+PCM!AU535+Interest!AT535+'O&amp;M'!AV535+'Capex &amp; Depr'!AV535+Debt!AW535+Pat.!AM535+Rates!AT535</f>
        <v>0.11076557559248691</v>
      </c>
      <c r="BA535" s="106">
        <f>+'Regulatory Charge'!AU535+Fuel!AU535+PCM!AV535+Interest!AU535+'O&amp;M'!AW535+'Capex &amp; Depr'!AW535+Debt!AX535+Pat.!AN535+Rates!AU535</f>
        <v>0.11408854286026152</v>
      </c>
      <c r="BB535" s="106">
        <f>+'Regulatory Charge'!AV535+Fuel!AV535+PCM!AW535+Interest!AV535+'O&amp;M'!AX535+'Capex &amp; Depr'!AX535+Debt!AY535+Pat.!AO535+Rates!AV535</f>
        <v>0.11751119914606936</v>
      </c>
      <c r="BC535" s="106">
        <f>+'Regulatory Charge'!AW535+Fuel!AW535+PCM!AX535+Interest!AW535+'O&amp;M'!AY535+'Capex &amp; Depr'!AY535+Debt!AZ535+Pat.!AP535+Rates!AW535</f>
        <v>0.12103653512045144</v>
      </c>
      <c r="BD535" s="106"/>
      <c r="BE535" s="106"/>
    </row>
    <row r="536" spans="1:57">
      <c r="A536" s="849" t="s">
        <v>794</v>
      </c>
      <c r="B536" s="846" t="s">
        <v>986</v>
      </c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224"/>
      <c r="S536" s="106">
        <f>+'Regulatory Charge'!M536+Fuel!M536+PCM!N536+Interest!M536+'O&amp;M'!O536+'Capex &amp; Depr'!O536+Debt!P536+Pat.!F536+Rates!M536</f>
        <v>2.1069584818776396E-2</v>
      </c>
      <c r="T536" s="106">
        <f>+'Regulatory Charge'!N536+Fuel!N536+PCM!O536+Interest!N536+'O&amp;M'!P536+'Capex &amp; Depr'!P536+Debt!Q536+Pat.!G536+Rates!N536</f>
        <v>2.036255177116645E-2</v>
      </c>
      <c r="U536" s="106">
        <f>+'Regulatory Charge'!O536+Fuel!O536+PCM!P536+Interest!O536+'O&amp;M'!Q536+'Capex &amp; Depr'!Q536+Debt!R536+Pat.!H536+Rates!O536</f>
        <v>2.1918024475908335E-2</v>
      </c>
      <c r="V536" s="106">
        <f>+'Regulatory Charge'!P536+Fuel!P536+PCM!Q536+Interest!P536+'O&amp;M'!R536+'Capex &amp; Depr'!R536+Debt!S536+Pat.!I536+Rates!P536</f>
        <v>2.0928178209254408E-2</v>
      </c>
      <c r="W536" s="106">
        <f>+'Regulatory Charge'!Q536+Fuel!Q536+PCM!R536+Interest!Q536+'O&amp;M'!S536+'Capex &amp; Depr'!S536+Debt!T536+Pat.!J536+Rates!Q536</f>
        <v>2.2200837694952315E-2</v>
      </c>
      <c r="X536" s="106">
        <f>+'Regulatory Charge'!R536+Fuel!R536+PCM!S536+Interest!R536+'O&amp;M'!T536+'Capex &amp; Depr'!T536+Debt!U536+Pat.!K536+Rates!R536</f>
        <v>1.9231298894990537E-2</v>
      </c>
      <c r="Y536" s="106">
        <f>+'Regulatory Charge'!S536+Fuel!S536+PCM!T536+Interest!S536+'O&amp;M'!U536+'Capex &amp; Depr'!U536+Debt!V536+Pat.!L536+Rates!S536</f>
        <v>2.0928178209254408E-2</v>
      </c>
      <c r="Z536" s="106">
        <f>+'Regulatory Charge'!T536+Fuel!T536+PCM!U536+Interest!T536+'O&amp;M'!V536+'Capex &amp; Depr'!V536+Debt!W536+Pat.!M536+Rates!T536</f>
        <v>2.2200837694952315E-2</v>
      </c>
      <c r="AA536" s="106">
        <f>+'Regulatory Charge'!U536+Fuel!U536+PCM!V536+Interest!U536+'O&amp;M'!W536+'Capex &amp; Depr'!W536+Debt!X536+Pat.!N536+Rates!U536</f>
        <v>1.9262121403292535E-2</v>
      </c>
      <c r="AB536" s="106">
        <f>+'Regulatory Charge'!V536+Fuel!V536+PCM!W536+Interest!V536+'O&amp;M'!X536+'Capex &amp; Depr'!X536+Debt!Y536+Pat.!O536+Rates!V536</f>
        <v>2.3016595253144385E-2</v>
      </c>
      <c r="AC536" s="106">
        <f>+'Regulatory Charge'!W536+Fuel!W536+PCM!X536+Interest!W536+'O&amp;M'!Y536+'Capex &amp; Depr'!Y536+Debt!Z536+Pat.!P536+Rates!W536</f>
        <v>1.9156669341126382E-2</v>
      </c>
      <c r="AD536" s="106">
        <f>+'Regulatory Charge'!X536+Fuel!X536+PCM!Y536+Interest!X536+'O&amp;M'!Z536+'Capex &amp; Depr'!Z536+Debt!AA536+Pat.!Q536+Rates!X536</f>
        <v>1.9111466270274741E-2</v>
      </c>
      <c r="AE536" s="224">
        <f t="shared" si="8"/>
        <v>0.24938634403709323</v>
      </c>
      <c r="AF536" s="106">
        <f>+'Regulatory Charge'!Z536+Fuel!Z536+PCM!AA536+Interest!Z536+'O&amp;M'!AB536+'Capex &amp; Depr'!AB536+Debt!AC536+Pat.!S536+Rates!Z536</f>
        <v>2.0119202134686331E-2</v>
      </c>
      <c r="AG536" s="106">
        <f>+'Regulatory Charge'!AA536+Fuel!AA536+PCM!AB536+Interest!AA536+'O&amp;M'!AC536+'Capex &amp; Depr'!AC536+Debt!AD536+Pat.!T536+Rates!AA536</f>
        <v>1.9444061123455248E-2</v>
      </c>
      <c r="AH536" s="106">
        <f>+'Regulatory Charge'!AB536+Fuel!AB536+PCM!AC536+Interest!AB536+'O&amp;M'!AD536+'Capex &amp; Depr'!AD536+Debt!AE536+Pat.!U536+Rates!AB536</f>
        <v>2.0929371348163632E-2</v>
      </c>
      <c r="AI536" s="106">
        <f>+'Regulatory Charge'!AC536+Fuel!AC536+PCM!AD536+Interest!AC536+'O&amp;M'!AE536+'Capex &amp; Depr'!AE536+Debt!AF536+Pat.!V536+Rates!AC536</f>
        <v>1.9984173932440116E-2</v>
      </c>
      <c r="AJ536" s="106">
        <f>+'Regulatory Charge'!AD536+Fuel!AD536+PCM!AE536+Interest!AD536+'O&amp;M'!AF536+'Capex &amp; Depr'!AF536+Debt!AG536+Pat.!W536+Rates!AD536</f>
        <v>2.1199427752656073E-2</v>
      </c>
      <c r="AK536" s="106">
        <f>+'Regulatory Charge'!AE536+Fuel!AE536+PCM!AF536+Interest!AE536+'O&amp;M'!AG536+'Capex &amp; Depr'!AG536+Debt!AH536+Pat.!X536+Rates!AE536</f>
        <v>1.8363835505485513E-2</v>
      </c>
      <c r="AL536" s="106">
        <f>+'Regulatory Charge'!AF536+Fuel!AF536+PCM!AG536+Interest!AF536+'O&amp;M'!AH536+'Capex &amp; Depr'!AH536+Debt!AI536+Pat.!Y536+Rates!AF536</f>
        <v>1.9984173932440116E-2</v>
      </c>
      <c r="AM536" s="106">
        <f>+'Regulatory Charge'!AG536+Fuel!AG536+PCM!AH536+Interest!AG536+'O&amp;M'!AI536+'Capex &amp; Depr'!AI536+Debt!AJ536+Pat.!Z536+Rates!AG536</f>
        <v>2.1199427752656073E-2</v>
      </c>
      <c r="AN536" s="106">
        <f>+'Regulatory Charge'!AH536+Fuel!AH536+PCM!AI536+Interest!AH536+'O&amp;M'!AJ536+'Capex &amp; Depr'!AJ536+Debt!AK536+Pat.!AA536+Rates!AH536</f>
        <v>1.8377584938641923E-2</v>
      </c>
      <c r="AO536" s="106">
        <f>+'Regulatory Charge'!AI536+Fuel!AI536+PCM!AJ536+Interest!AI536+'O&amp;M'!AK536+'Capex &amp; Depr'!AK536+Debt!AL536+Pat.!AB536+Rates!AI536</f>
        <v>2.1981184923824417E-2</v>
      </c>
      <c r="AP536" s="106">
        <f>+'Regulatory Charge'!AJ536+Fuel!AJ536+PCM!AK536+Interest!AJ536+'O&amp;M'!AL536+'Capex &amp; Depr'!AL536+Debt!AM536+Pat.!AC536+Rates!AJ536</f>
        <v>1.8294899253369388E-2</v>
      </c>
      <c r="AQ536" s="106">
        <f>+'Regulatory Charge'!AK536+Fuel!AK536+PCM!AL536+Interest!AK536+'O&amp;M'!AM536+'Capex &amp; Depr'!AM536+Debt!AN536+Pat.!AD536+Rates!AK536</f>
        <v>1.8841015648992359E-2</v>
      </c>
      <c r="AR536" s="224">
        <f t="shared" si="9"/>
        <v>0.23871835824681115</v>
      </c>
      <c r="AS536" s="106">
        <f>+'Regulatory Charge'!AM536+Fuel!AM536+PCM!AN536+Interest!AM536+'O&amp;M'!AO536+'Capex &amp; Depr'!AO536+Debt!AP536+Pat.!AF536+Rates!AM536</f>
        <v>0.24452535853042695</v>
      </c>
      <c r="AT536" s="106">
        <f>+'Regulatory Charge'!AN536+Fuel!AN536+PCM!AO536+Interest!AN536+'O&amp;M'!AP536+'Capex &amp; Depr'!AP536+Debt!AQ536+Pat.!AG536+Rates!AN536</f>
        <v>0.25032331237803573</v>
      </c>
      <c r="AU536" s="106">
        <f>+'Regulatory Charge'!AO536+Fuel!AO536+PCM!AP536+Interest!AO536+'O&amp;M'!AQ536+'Capex &amp; Depr'!AQ536+Debt!AR536+Pat.!AH536+Rates!AO536</f>
        <v>0.25783301174937684</v>
      </c>
      <c r="AV536" s="106">
        <f>+'Regulatory Charge'!AP536+Fuel!AP536+PCM!AQ536+Interest!AP536+'O&amp;M'!AR536+'Capex &amp; Depr'!AR536+Debt!AS536+Pat.!AI536+Rates!AP536</f>
        <v>0.26556800210185816</v>
      </c>
      <c r="AW536" s="106">
        <f>+'Regulatory Charge'!AQ536+Fuel!AQ536+PCM!AR536+Interest!AQ536+'O&amp;M'!AS536+'Capex &amp; Depr'!AS536+Debt!AT536+Pat.!AJ536+Rates!AQ536</f>
        <v>0.27353504216491392</v>
      </c>
      <c r="AX536" s="106">
        <f>+'Regulatory Charge'!AR536+Fuel!AR536+PCM!AS536+Interest!AR536+'O&amp;M'!AT536+'Capex &amp; Depr'!AT536+Debt!AU536+Pat.!AK536+Rates!AR536</f>
        <v>0.28174109342986137</v>
      </c>
      <c r="AY536" s="106">
        <f>+'Regulatory Charge'!AS536+Fuel!AS536+PCM!AT536+Interest!AS536+'O&amp;M'!AU536+'Capex &amp; Depr'!AU536+Debt!AV536+Pat.!AL536+Rates!AS536</f>
        <v>0.29019332623275723</v>
      </c>
      <c r="AZ536" s="106">
        <f>+'Regulatory Charge'!AT536+Fuel!AT536+PCM!AU536+Interest!AT536+'O&amp;M'!AV536+'Capex &amp; Depr'!AV536+Debt!AW536+Pat.!AM536+Rates!AT536</f>
        <v>0.29889912601973995</v>
      </c>
      <c r="BA536" s="106">
        <f>+'Regulatory Charge'!AU536+Fuel!AU536+PCM!AV536+Interest!AU536+'O&amp;M'!AW536+'Capex &amp; Depr'!AW536+Debt!AX536+Pat.!AN536+Rates!AU536</f>
        <v>0.30786609980033214</v>
      </c>
      <c r="BB536" s="106">
        <f>+'Regulatory Charge'!AV536+Fuel!AV536+PCM!AW536+Interest!AV536+'O&amp;M'!AX536+'Capex &amp; Depr'!AX536+Debt!AY536+Pat.!AO536+Rates!AV536</f>
        <v>0.3171020827943421</v>
      </c>
      <c r="BC536" s="106">
        <f>+'Regulatory Charge'!AW536+Fuel!AW536+PCM!AX536+Interest!AW536+'O&amp;M'!AY536+'Capex &amp; Depr'!AY536+Debt!AZ536+Pat.!AP536+Rates!AW536</f>
        <v>0.32661514527817237</v>
      </c>
      <c r="BD536" s="106"/>
      <c r="BE536" s="106"/>
    </row>
    <row r="537" spans="1:57">
      <c r="A537" s="849">
        <v>566.20000000000005</v>
      </c>
      <c r="B537" s="846" t="s">
        <v>986</v>
      </c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224"/>
      <c r="S537" s="106">
        <f>+'Regulatory Charge'!M537+Fuel!M537+PCM!N537+Interest!M537+'O&amp;M'!O537+'Capex &amp; Depr'!O537+Debt!P537+Pat.!F537+Rates!M537</f>
        <v>6.5243999999999996E-3</v>
      </c>
      <c r="T537" s="106">
        <f>+'Regulatory Charge'!N537+Fuel!N537+PCM!O537+Interest!N537+'O&amp;M'!P537+'Capex &amp; Depr'!P537+Debt!Q537+Pat.!G537+Rates!N537</f>
        <v>6.5118999999999993E-3</v>
      </c>
      <c r="U537" s="106">
        <f>+'Regulatory Charge'!O537+Fuel!O537+PCM!P537+Interest!O537+'O&amp;M'!Q537+'Capex &amp; Depr'!Q537+Debt!R537+Pat.!H537+Rates!O537</f>
        <v>9.3375149999999994E-3</v>
      </c>
      <c r="V537" s="106">
        <f>+'Regulatory Charge'!P537+Fuel!P537+PCM!Q537+Interest!P537+'O&amp;M'!R537+'Capex &amp; Depr'!R537+Debt!S537+Pat.!I537+Rates!P537</f>
        <v>7.2949E-3</v>
      </c>
      <c r="W537" s="106">
        <f>+'Regulatory Charge'!Q537+Fuel!Q537+PCM!R537+Interest!Q537+'O&amp;M'!S537+'Capex &amp; Depr'!S537+Debt!T537+Pat.!J537+Rates!Q537</f>
        <v>1.02089E-2</v>
      </c>
      <c r="X537" s="106">
        <f>+'Regulatory Charge'!R537+Fuel!R537+PCM!S537+Interest!R537+'O&amp;M'!T537+'Capex &amp; Depr'!T537+Debt!U537+Pat.!K537+Rates!R537</f>
        <v>1.605005E-2</v>
      </c>
      <c r="Y537" s="106">
        <f>+'Regulatory Charge'!S537+Fuel!S537+PCM!T537+Interest!S537+'O&amp;M'!U537+'Capex &amp; Depr'!U537+Debt!V537+Pat.!L537+Rates!S537</f>
        <v>1.59259E-2</v>
      </c>
      <c r="Z537" s="106">
        <f>+'Regulatory Charge'!T537+Fuel!T537+PCM!U537+Interest!T537+'O&amp;M'!V537+'Capex &amp; Depr'!V537+Debt!W537+Pat.!M537+Rates!T537</f>
        <v>1.04259E-2</v>
      </c>
      <c r="AA537" s="106">
        <f>+'Regulatory Charge'!U537+Fuel!U537+PCM!V537+Interest!U537+'O&amp;M'!W537+'Capex &amp; Depr'!W537+Debt!X537+Pat.!N537+Rates!U537</f>
        <v>7.4165350000000001E-3</v>
      </c>
      <c r="AB537" s="106">
        <f>+'Regulatory Charge'!V537+Fuel!V537+PCM!W537+Interest!V537+'O&amp;M'!X537+'Capex &amp; Depr'!X537+Debt!Y537+Pat.!O537+Rates!V537</f>
        <v>6.2618999999999999E-3</v>
      </c>
      <c r="AC537" s="106">
        <f>+'Regulatory Charge'!W537+Fuel!W537+PCM!X537+Interest!W537+'O&amp;M'!Y537+'Capex &amp; Depr'!Y537+Debt!Z537+Pat.!P537+Rates!W537</f>
        <v>6.5118999999999993E-3</v>
      </c>
      <c r="AD537" s="106">
        <f>+'Regulatory Charge'!X537+Fuel!X537+PCM!Y537+Interest!X537+'O&amp;M'!Z537+'Capex &amp; Depr'!Z537+Debt!AA537+Pat.!Q537+Rates!X537</f>
        <v>6.5032500000000003E-3</v>
      </c>
      <c r="AE537" s="224">
        <f t="shared" si="8"/>
        <v>0.10897305000000002</v>
      </c>
      <c r="AF537" s="106">
        <f>+'Regulatory Charge'!Z537+Fuel!Z537+PCM!AA537+Interest!Z537+'O&amp;M'!AB537+'Capex &amp; Depr'!AB537+Debt!AC537+Pat.!S537+Rates!Z537</f>
        <v>6.7599269999999998E-3</v>
      </c>
      <c r="AG537" s="106">
        <f>+'Regulatory Charge'!AA537+Fuel!AA537+PCM!AB537+Interest!AA537+'O&amp;M'!AC537+'Capex &amp; Depr'!AC537+Debt!AD537+Pat.!T537+Rates!AA537</f>
        <v>6.7470519999999999E-3</v>
      </c>
      <c r="AH537" s="106">
        <f>+'Regulatory Charge'!AB537+Fuel!AB537+PCM!AC537+Interest!AB537+'O&amp;M'!AD537+'Capex &amp; Depr'!AD537+Debt!AE537+Pat.!U537+Rates!AB537</f>
        <v>9.8530335830000013E-3</v>
      </c>
      <c r="AI537" s="106">
        <f>+'Regulatory Charge'!AC537+Fuel!AC537+PCM!AD537+Interest!AC537+'O&amp;M'!AE537+'Capex &amp; Depr'!AE537+Debt!AF537+Pat.!V537+Rates!AC537</f>
        <v>8.384872764000002E-3</v>
      </c>
      <c r="AJ537" s="106">
        <f>+'Regulatory Charge'!AD537+Fuel!AD537+PCM!AE537+Interest!AD537+'O&amp;M'!AF537+'Capex &amp; Depr'!AF537+Debt!AG537+Pat.!W537+Rates!AD537</f>
        <v>1.2054287432999999E-2</v>
      </c>
      <c r="AK537" s="106">
        <f>+'Regulatory Charge'!AE537+Fuel!AE537+PCM!AF537+Interest!AE537+'O&amp;M'!AG537+'Capex &amp; Depr'!AG537+Debt!AH537+Pat.!X537+Rates!AE537</f>
        <v>1.7908514674999997E-2</v>
      </c>
      <c r="AL537" s="106">
        <f>+'Regulatory Charge'!AF537+Fuel!AF537+PCM!AG537+Interest!AF537+'O&amp;M'!AH537+'Capex &amp; Depr'!AH537+Debt!AI537+Pat.!Y537+Rates!AF537</f>
        <v>1.8160332834500002E-2</v>
      </c>
      <c r="AM537" s="106">
        <f>+'Regulatory Charge'!AG537+Fuel!AG537+PCM!AH537+Interest!AG537+'O&amp;M'!AI537+'Capex &amp; Depr'!AI537+Debt!AJ537+Pat.!Z537+Rates!AG537</f>
        <v>1.7611472000000003E-2</v>
      </c>
      <c r="AN537" s="106">
        <f>+'Regulatory Charge'!AH537+Fuel!AH537+PCM!AI537+Interest!AH537+'O&amp;M'!AJ537+'Capex &amp; Depr'!AJ537+Debt!AK537+Pat.!AA537+Rates!AH537</f>
        <v>1.210182605E-2</v>
      </c>
      <c r="AO537" s="106">
        <f>+'Regulatory Charge'!AI537+Fuel!AI537+PCM!AJ537+Interest!AI537+'O&amp;M'!AK537+'Capex &amp; Depr'!AK537+Debt!AL537+Pat.!AB537+Rates!AI537</f>
        <v>9.8984101689999996E-3</v>
      </c>
      <c r="AP537" s="106">
        <f>+'Regulatory Charge'!AJ537+Fuel!AJ537+PCM!AK537+Interest!AJ537+'O&amp;M'!AL537+'Capex &amp; Depr'!AL537+Debt!AM537+Pat.!AC537+Rates!AJ537</f>
        <v>1.0325993786E-2</v>
      </c>
      <c r="AQ537" s="106">
        <f>+'Regulatory Charge'!AK537+Fuel!AK537+PCM!AL537+Interest!AK537+'O&amp;M'!AM537+'Capex &amp; Depr'!AM537+Debt!AN537+Pat.!AD537+Rates!AK537</f>
        <v>8.7881425000000003E-3</v>
      </c>
      <c r="AR537" s="224">
        <f t="shared" si="9"/>
        <v>0.13859386479450003</v>
      </c>
      <c r="AS537" s="106">
        <f>+'Regulatory Charge'!AM537+Fuel!AM537+PCM!AN537+Interest!AM537+'O&amp;M'!AO537+'Capex &amp; Depr'!AO537+Debt!AP537+Pat.!AF537+Rates!AM537</f>
        <v>0.14164849100453503</v>
      </c>
      <c r="AT537" s="106">
        <f>+'Regulatory Charge'!AN537+Fuel!AN537+PCM!AO537+Interest!AN537+'O&amp;M'!AP537+'Capex &amp; Depr'!AP537+Debt!AQ537+Pat.!AG537+Rates!AN537</f>
        <v>0.14699170956868504</v>
      </c>
      <c r="AU537" s="106">
        <f>+'Regulatory Charge'!AO537+Fuel!AO537+PCM!AP537+Interest!AO537+'O&amp;M'!AQ537+'Capex &amp; Depr'!AQ537+Debt!AR537+Pat.!AH537+Rates!AO537</f>
        <v>0.1514014608557456</v>
      </c>
      <c r="AV537" s="106">
        <f>+'Regulatory Charge'!AP537+Fuel!AP537+PCM!AQ537+Interest!AP537+'O&amp;M'!AR537+'Capex &amp; Depr'!AR537+Debt!AS537+Pat.!AI537+Rates!AP537</f>
        <v>0.15594350468141796</v>
      </c>
      <c r="AW537" s="106">
        <f>+'Regulatory Charge'!AQ537+Fuel!AQ537+PCM!AR537+Interest!AQ537+'O&amp;M'!AS537+'Capex &amp; Depr'!AS537+Debt!AT537+Pat.!AJ537+Rates!AQ537</f>
        <v>0.1606218098218605</v>
      </c>
      <c r="AX537" s="106">
        <f>+'Regulatory Charge'!AR537+Fuel!AR537+PCM!AS537+Interest!AR537+'O&amp;M'!AT537+'Capex &amp; Depr'!AT537+Debt!AU537+Pat.!AK537+Rates!AR537</f>
        <v>0.16544046411651633</v>
      </c>
      <c r="AY537" s="106">
        <f>+'Regulatory Charge'!AS537+Fuel!AS537+PCM!AT537+Interest!AS537+'O&amp;M'!AU537+'Capex &amp; Depr'!AU537+Debt!AV537+Pat.!AL537+Rates!AS537</f>
        <v>0.17040367804001183</v>
      </c>
      <c r="AZ537" s="106">
        <f>+'Regulatory Charge'!AT537+Fuel!AT537+PCM!AU537+Interest!AT537+'O&amp;M'!AV537+'Capex &amp; Depr'!AV537+Debt!AW537+Pat.!AM537+Rates!AT537</f>
        <v>0.17551578838121218</v>
      </c>
      <c r="BA537" s="106">
        <f>+'Regulatory Charge'!AU537+Fuel!AU537+PCM!AV537+Interest!AU537+'O&amp;M'!AW537+'Capex &amp; Depr'!AW537+Debt!AX537+Pat.!AN537+Rates!AU537</f>
        <v>0.18078126203264855</v>
      </c>
      <c r="BB537" s="106">
        <f>+'Regulatory Charge'!AV537+Fuel!AV537+PCM!AW537+Interest!AV537+'O&amp;M'!AX537+'Capex &amp; Depr'!AX537+Debt!AY537+Pat.!AO537+Rates!AV537</f>
        <v>0.18620469989362801</v>
      </c>
      <c r="BC537" s="106">
        <f>+'Regulatory Charge'!AW537+Fuel!AW537+PCM!AX537+Interest!AW537+'O&amp;M'!AY537+'Capex &amp; Depr'!AY537+Debt!AZ537+Pat.!AP537+Rates!AW537</f>
        <v>0.19179084089043685</v>
      </c>
      <c r="BD537" s="106"/>
      <c r="BE537" s="106"/>
    </row>
    <row r="538" spans="1:57">
      <c r="A538" s="849" t="s">
        <v>100</v>
      </c>
      <c r="B538" s="846" t="s">
        <v>101</v>
      </c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224"/>
      <c r="S538" s="106">
        <f>+'Regulatory Charge'!M538+Fuel!M538+PCM!N538+Interest!M538+'O&amp;M'!O538+'Capex &amp; Depr'!O538+Debt!P538+Pat.!F538+Rates!M538</f>
        <v>9.2622699999999995E-3</v>
      </c>
      <c r="T538" s="106">
        <f>+'Regulatory Charge'!N538+Fuel!N538+PCM!O538+Interest!N538+'O&amp;M'!P538+'Capex &amp; Depr'!P538+Debt!Q538+Pat.!G538+Rates!N538</f>
        <v>7.4199699999999988E-3</v>
      </c>
      <c r="U538" s="106">
        <f>+'Regulatory Charge'!O538+Fuel!O538+PCM!P538+Interest!O538+'O&amp;M'!Q538+'Capex &amp; Depr'!Q538+Debt!R538+Pat.!H538+Rates!O538</f>
        <v>4.4046699999999994E-3</v>
      </c>
      <c r="V538" s="106">
        <f>+'Regulatory Charge'!P538+Fuel!P538+PCM!Q538+Interest!P538+'O&amp;M'!R538+'Capex &amp; Depr'!R538+Debt!S538+Pat.!I538+Rates!P538</f>
        <v>4.2218199999999994E-3</v>
      </c>
      <c r="W538" s="106">
        <f>+'Regulatory Charge'!Q538+Fuel!Q538+PCM!R538+Interest!Q538+'O&amp;M'!S538+'Capex &amp; Depr'!S538+Debt!T538+Pat.!J538+Rates!Q538</f>
        <v>2.9832700000000005E-3</v>
      </c>
      <c r="X538" s="106">
        <f>+'Regulatory Charge'!R538+Fuel!R538+PCM!S538+Interest!R538+'O&amp;M'!T538+'Capex &amp; Depr'!T538+Debt!U538+Pat.!K538+Rates!R538</f>
        <v>4.3839700000000001E-3</v>
      </c>
      <c r="Y538" s="106">
        <f>+'Regulatory Charge'!S538+Fuel!S538+PCM!T538+Interest!S538+'O&amp;M'!U538+'Capex &amp; Depr'!U538+Debt!V538+Pat.!L538+Rates!S538</f>
        <v>3.7940200000000004E-3</v>
      </c>
      <c r="Z538" s="106">
        <f>+'Regulatory Charge'!T538+Fuel!T538+PCM!U538+Interest!T538+'O&amp;M'!V538+'Capex &amp; Depr'!V538+Debt!W538+Pat.!M538+Rates!T538</f>
        <v>6.4677699999999994E-3</v>
      </c>
      <c r="AA538" s="106">
        <f>+'Regulatory Charge'!U538+Fuel!U538+PCM!V538+Interest!U538+'O&amp;M'!W538+'Capex &amp; Depr'!W538+Debt!X538+Pat.!N538+Rates!U538</f>
        <v>4.7703699999999995E-3</v>
      </c>
      <c r="AB538" s="106">
        <f>+'Regulatory Charge'!V538+Fuel!V538+PCM!W538+Interest!V538+'O&amp;M'!X538+'Capex &amp; Depr'!X538+Debt!Y538+Pat.!O538+Rates!V538</f>
        <v>3.7250200000000003E-3</v>
      </c>
      <c r="AC538" s="106">
        <f>+'Regulatory Charge'!W538+Fuel!W538+PCM!X538+Interest!W538+'O&amp;M'!Y538+'Capex &amp; Depr'!Y538+Debt!Z538+Pat.!P538+Rates!W538</f>
        <v>3.2972200000000004E-3</v>
      </c>
      <c r="AD538" s="106">
        <f>+'Regulatory Charge'!X538+Fuel!X538+PCM!Y538+Interest!X538+'O&amp;M'!Z538+'Capex &amp; Depr'!Z538+Debt!AA538+Pat.!Q538+Rates!X538</f>
        <v>2.8073199999999999E-3</v>
      </c>
      <c r="AE538" s="224">
        <f t="shared" ref="AE538:AE569" si="10">SUM(S538:AD538)</f>
        <v>5.7537689999999996E-2</v>
      </c>
      <c r="AF538" s="106">
        <f>+'Regulatory Charge'!Z538+Fuel!Z538+PCM!AA538+Interest!Z538+'O&amp;M'!AB538+'Capex &amp; Depr'!AB538+Debt!AC538+Pat.!S538+Rates!Z538</f>
        <v>9.420969999999999E-3</v>
      </c>
      <c r="AG538" s="106">
        <f>+'Regulatory Charge'!AA538+Fuel!AA538+PCM!AB538+Interest!AA538+'O&amp;M'!AC538+'Capex &amp; Depr'!AC538+Debt!AD538+Pat.!T538+Rates!AA538</f>
        <v>7.6649199999999995E-3</v>
      </c>
      <c r="AH538" s="106">
        <f>+'Regulatory Charge'!AB538+Fuel!AB538+PCM!AC538+Interest!AB538+'O&amp;M'!AD538+'Capex &amp; Depr'!AD538+Debt!AE538+Pat.!U538+Rates!AB538</f>
        <v>4.5185199999999998E-3</v>
      </c>
      <c r="AI538" s="106">
        <f>+'Regulatory Charge'!AC538+Fuel!AC538+PCM!AD538+Interest!AC538+'O&amp;M'!AE538+'Capex &amp; Depr'!AE538+Debt!AF538+Pat.!V538+Rates!AC538</f>
        <v>4.3494700000000002E-3</v>
      </c>
      <c r="AJ538" s="106">
        <f>+'Regulatory Charge'!AD538+Fuel!AD538+PCM!AE538+Interest!AD538+'O&amp;M'!AF538+'Capex &amp; Depr'!AF538+Debt!AG538+Pat.!W538+Rates!AD538</f>
        <v>3.0971200000000005E-3</v>
      </c>
      <c r="AK538" s="106">
        <f>+'Regulatory Charge'!AE538+Fuel!AE538+PCM!AF538+Interest!AE538+'O&amp;M'!AG538+'Capex &amp; Depr'!AG538+Debt!AH538+Pat.!X538+Rates!AE538</f>
        <v>4.5288699999999991E-3</v>
      </c>
      <c r="AL538" s="106">
        <f>+'Regulatory Charge'!AF538+Fuel!AF538+PCM!AG538+Interest!AF538+'O&amp;M'!AH538+'Capex &amp; Depr'!AH538+Debt!AI538+Pat.!Y538+Rates!AF538</f>
        <v>3.9078699999999999E-3</v>
      </c>
      <c r="AM538" s="106">
        <f>+'Regulatory Charge'!AG538+Fuel!AG538+PCM!AH538+Interest!AG538+'O&amp;M'!AI538+'Capex &amp; Depr'!AI538+Debt!AJ538+Pat.!Z538+Rates!AG538</f>
        <v>6.5816199999999998E-3</v>
      </c>
      <c r="AN538" s="106">
        <f>+'Regulatory Charge'!AH538+Fuel!AH538+PCM!AI538+Interest!AH538+'O&amp;M'!AJ538+'Capex &amp; Depr'!AJ538+Debt!AK538+Pat.!AA538+Rates!AH538</f>
        <v>4.8980200000000003E-3</v>
      </c>
      <c r="AO538" s="106">
        <f>+'Regulatory Charge'!AI538+Fuel!AI538+PCM!AJ538+Interest!AI538+'O&amp;M'!AK538+'Capex &amp; Depr'!AK538+Debt!AL538+Pat.!AB538+Rates!AI538</f>
        <v>3.9078699999999999E-3</v>
      </c>
      <c r="AP538" s="106">
        <f>+'Regulatory Charge'!AJ538+Fuel!AJ538+PCM!AK538+Interest!AJ538+'O&amp;M'!AL538+'Capex &amp; Depr'!AL538+Debt!AM538+Pat.!AC538+Rates!AJ538</f>
        <v>3.4559200000000003E-3</v>
      </c>
      <c r="AQ538" s="106">
        <f>+'Regulatory Charge'!AK538+Fuel!AK538+PCM!AL538+Interest!AK538+'O&amp;M'!AM538+'Capex &amp; Depr'!AM538+Debt!AN538+Pat.!AD538+Rates!AK538</f>
        <v>2.7969700000000002E-3</v>
      </c>
      <c r="AR538" s="224">
        <f t="shared" ref="AR538:AR572" si="11">SUM(AF538:AQ538)</f>
        <v>5.912814000000001E-2</v>
      </c>
      <c r="AS538" s="106">
        <f>+'Regulatory Charge'!AM538+Fuel!AM538+PCM!AN538+Interest!AM538+'O&amp;M'!AO538+'Capex &amp; Depr'!AO538+Debt!AP538+Pat.!AF538+Rates!AM538</f>
        <v>6.0608189999999999E-2</v>
      </c>
      <c r="AT538" s="106">
        <f>+'Regulatory Charge'!AN538+Fuel!AN538+PCM!AO538+Interest!AN538+'O&amp;M'!AP538+'Capex &amp; Depr'!AP538+Debt!AQ538+Pat.!AG538+Rates!AN538</f>
        <v>6.3433739999999988E-2</v>
      </c>
      <c r="AU538" s="106">
        <f>+'Regulatory Charge'!AO538+Fuel!AO538+PCM!AP538+Interest!AO538+'O&amp;M'!AQ538+'Capex &amp; Depr'!AQ538+Debt!AR538+Pat.!AH538+Rates!AO538</f>
        <v>6.5229050999999996E-2</v>
      </c>
      <c r="AV538" s="106">
        <f>+'Regulatory Charge'!AP538+Fuel!AP538+PCM!AQ538+Interest!AP538+'O&amp;M'!AR538+'Capex &amp; Depr'!AR538+Debt!AS538+Pat.!AI538+Rates!AP538</f>
        <v>6.7078221329999993E-2</v>
      </c>
      <c r="AW538" s="106">
        <f>+'Regulatory Charge'!AQ538+Fuel!AQ538+PCM!AR538+Interest!AQ538+'O&amp;M'!AS538+'Capex &amp; Depr'!AS538+Debt!AT538+Pat.!AJ538+Rates!AQ538</f>
        <v>6.8982866769899995E-2</v>
      </c>
      <c r="AX538" s="106">
        <f>+'Regulatory Charge'!AR538+Fuel!AR538+PCM!AS538+Interest!AR538+'O&amp;M'!AT538+'Capex &amp; Depr'!AT538+Debt!AU538+Pat.!AK538+Rates!AR538</f>
        <v>7.0944651572996995E-2</v>
      </c>
      <c r="AY538" s="106">
        <f>+'Regulatory Charge'!AS538+Fuel!AS538+PCM!AT538+Interest!AS538+'O&amp;M'!AU538+'Capex &amp; Depr'!AU538+Debt!AV538+Pat.!AL538+Rates!AS538</f>
        <v>7.2965289920186902E-2</v>
      </c>
      <c r="AZ538" s="106">
        <f>+'Regulatory Charge'!AT538+Fuel!AT538+PCM!AU538+Interest!AT538+'O&amp;M'!AV538+'Capex &amp; Depr'!AV538+Debt!AW538+Pat.!AM538+Rates!AT538</f>
        <v>7.5046547417792514E-2</v>
      </c>
      <c r="BA538" s="106">
        <f>+'Regulatory Charge'!AU538+Fuel!AU538+PCM!AV538+Interest!AU538+'O&amp;M'!AW538+'Capex &amp; Depr'!AW538+Debt!AX538+Pat.!AN538+Rates!AU538</f>
        <v>7.7190242640326298E-2</v>
      </c>
      <c r="BB538" s="106">
        <f>+'Regulatory Charge'!AV538+Fuel!AV538+PCM!AW538+Interest!AV538+'O&amp;M'!AX538+'Capex &amp; Depr'!AX538+Debt!AY538+Pat.!AO538+Rates!AV538</f>
        <v>7.9398248719536088E-2</v>
      </c>
      <c r="BC538" s="106">
        <f>+'Regulatory Charge'!AW538+Fuel!AW538+PCM!AX538+Interest!AW538+'O&amp;M'!AY538+'Capex &amp; Depr'!AY538+Debt!AZ538+Pat.!AP538+Rates!AW538</f>
        <v>8.1672494981122168E-2</v>
      </c>
      <c r="BD538" s="106"/>
      <c r="BE538" s="106"/>
    </row>
    <row r="539" spans="1:57">
      <c r="A539" s="849" t="s">
        <v>796</v>
      </c>
      <c r="B539" s="846" t="s">
        <v>987</v>
      </c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224"/>
      <c r="S539" s="106">
        <f>+'Regulatory Charge'!M539+Fuel!M539+PCM!N539+Interest!M539+'O&amp;M'!O539+'Capex &amp; Depr'!O539+Debt!P539+Pat.!F539+Rates!M539</f>
        <v>1.1105829249790885E-2</v>
      </c>
      <c r="T539" s="106">
        <f>+'Regulatory Charge'!N539+Fuel!N539+PCM!O539+Interest!N539+'O&amp;M'!P539+'Capex &amp; Depr'!P539+Debt!Q539+Pat.!G539+Rates!N539</f>
        <v>6.3546269259724007E-3</v>
      </c>
      <c r="U539" s="106">
        <f>+'Regulatory Charge'!O539+Fuel!O539+PCM!P539+Interest!O539+'O&amp;M'!Q539+'Capex &amp; Depr'!Q539+Debt!R539+Pat.!H539+Rates!O539</f>
        <v>1.3372720383730702E-3</v>
      </c>
      <c r="V539" s="106">
        <f>+'Regulatory Charge'!P539+Fuel!P539+PCM!Q539+Interest!P539+'O&amp;M'!R539+'Capex &amp; Depr'!R539+Debt!S539+Pat.!I539+Rates!P539</f>
        <v>-3.4244112149728126E-3</v>
      </c>
      <c r="W539" s="106">
        <f>+'Regulatory Charge'!Q539+Fuel!Q539+PCM!R539+Interest!Q539+'O&amp;M'!S539+'Capex &amp; Depr'!S539+Debt!T539+Pat.!J539+Rates!Q539</f>
        <v>-1.8022470320995345E-3</v>
      </c>
      <c r="X539" s="106">
        <f>+'Regulatory Charge'!R539+Fuel!R539+PCM!S539+Interest!R539+'O&amp;M'!T539+'Capex &amp; Depr'!T539+Debt!U539+Pat.!K539+Rates!R539</f>
        <v>4.9127032078628242E-3</v>
      </c>
      <c r="Y539" s="106">
        <f>+'Regulatory Charge'!S539+Fuel!S539+PCM!T539+Interest!S539+'O&amp;M'!U539+'Capex &amp; Depr'!U539+Debt!V539+Pat.!L539+Rates!S539</f>
        <v>7.0755887850271889E-3</v>
      </c>
      <c r="Z539" s="106">
        <f>+'Regulatory Charge'!T539+Fuel!T539+PCM!U539+Interest!T539+'O&amp;M'!V539+'Capex &amp; Depr'!V539+Debt!W539+Pat.!M539+Rates!T539</f>
        <v>9.0477529679004621E-3</v>
      </c>
      <c r="AA539" s="106">
        <f>+'Regulatory Charge'!U539+Fuel!U539+PCM!V539+Interest!U539+'O&amp;M'!W539+'Capex &amp; Depr'!W539+Debt!X539+Pat.!N539+Rates!U539</f>
        <v>-1.7005132578712591E-3</v>
      </c>
      <c r="AB539" s="106">
        <f>+'Regulatory Charge'!V539+Fuel!V539+PCM!W539+Interest!V539+'O&amp;M'!X539+'Capex &amp; Depr'!X539+Debt!Y539+Pat.!O539+Rates!V539</f>
        <v>-5.8091860491547235E-4</v>
      </c>
      <c r="AC539" s="106">
        <f>+'Regulatory Charge'!W539+Fuel!W539+PCM!X539+Interest!W539+'O&amp;M'!Y539+'Capex &amp; Depr'!Y539+Debt!Z539+Pat.!P539+Rates!W539</f>
        <v>5.3773720928032695E-3</v>
      </c>
      <c r="AD539" s="106">
        <f>+'Regulatory Charge'!X539+Fuel!X539+PCM!Y539+Interest!X539+'O&amp;M'!Z539+'Capex &amp; Depr'!Z539+Debt!AA539+Pat.!Q539+Rates!X539</f>
        <v>1.6602069767215313E-2</v>
      </c>
      <c r="AE539" s="224">
        <f t="shared" si="10"/>
        <v>5.4305124925086337E-2</v>
      </c>
      <c r="AF539" s="106">
        <f>+'Regulatory Charge'!Z539+Fuel!Z539+PCM!AA539+Interest!Z539+'O&amp;M'!AB539+'Capex &amp; Depr'!AB539+Debt!AC539+Pat.!S539+Rates!Z539</f>
        <v>1.0771747640829938E-2</v>
      </c>
      <c r="AG539" s="106">
        <f>+'Regulatory Charge'!AA539+Fuel!AA539+PCM!AB539+Interest!AA539+'O&amp;M'!AC539+'Capex &amp; Depr'!AC539+Debt!AD539+Pat.!T539+Rates!AA539</f>
        <v>6.0317561092584626E-3</v>
      </c>
      <c r="AH539" s="106">
        <f>+'Regulatory Charge'!AB539+Fuel!AB539+PCM!AC539+Interest!AB539+'O&amp;M'!AD539+'Capex &amp; Depr'!AD539+Debt!AE539+Pat.!U539+Rates!AB539</f>
        <v>9.8973747871570691E-4</v>
      </c>
      <c r="AI539" s="106">
        <f>+'Regulatory Charge'!AC539+Fuel!AC539+PCM!AD539+Interest!AC539+'O&amp;M'!AE539+'Capex &amp; Depr'!AE539+Debt!AF539+Pat.!V539+Rates!AC539</f>
        <v>-3.7562506654843599E-3</v>
      </c>
      <c r="AJ539" s="106">
        <f>+'Regulatory Charge'!AD539+Fuel!AD539+PCM!AE539+Interest!AD539+'O&amp;M'!AF539+'Capex &amp; Depr'!AF539+Debt!AG539+Pat.!W539+Rates!AD539</f>
        <v>-2.1542659086557043E-3</v>
      </c>
      <c r="AK539" s="106">
        <f>+'Regulatory Charge'!AE539+Fuel!AE539+PCM!AF539+Interest!AE539+'O&amp;M'!AG539+'Capex &amp; Depr'!AG539+Debt!AH539+Pat.!X539+Rates!AE539</f>
        <v>4.6077696587441029E-3</v>
      </c>
      <c r="AL539" s="106">
        <f>+'Regulatory Charge'!AF539+Fuel!AF539+PCM!AG539+Interest!AF539+'O&amp;M'!AH539+'Capex &amp; Depr'!AH539+Debt!AI539+Pat.!Y539+Rates!AF539</f>
        <v>6.7437493345156429E-3</v>
      </c>
      <c r="AM539" s="106">
        <f>+'Regulatory Charge'!AG539+Fuel!AG539+PCM!AH539+Interest!AG539+'O&amp;M'!AI539+'Capex &amp; Depr'!AI539+Debt!AJ539+Pat.!Z539+Rates!AG539</f>
        <v>8.6957340913442968E-3</v>
      </c>
      <c r="AN539" s="106">
        <f>+'Regulatory Charge'!AH539+Fuel!AH539+PCM!AI539+Interest!AH539+'O&amp;M'!AJ539+'Capex &amp; Depr'!AJ539+Debt!AK539+Pat.!AA539+Rates!AH539</f>
        <v>-2.0422303412558985E-3</v>
      </c>
      <c r="AO539" s="106">
        <f>+'Regulatory Charge'!AI539+Fuel!AI539+PCM!AJ539+Interest!AI539+'O&amp;M'!AK539+'Capex &amp; Depr'!AK539+Debt!AL539+Pat.!AB539+Rates!AI539</f>
        <v>-9.4279173334333246E-4</v>
      </c>
      <c r="AP539" s="106">
        <f>+'Regulatory Charge'!AJ539+Fuel!AJ539+PCM!AK539+Interest!AJ539+'O&amp;M'!AL539+'Capex &amp; Depr'!AL539+Debt!AM539+Pat.!AC539+Rates!AJ539</f>
        <v>5.0761857623105207E-3</v>
      </c>
      <c r="AQ539" s="106">
        <f>+'Regulatory Charge'!AK539+Fuel!AK539+PCM!AL539+Interest!AK539+'O&amp;M'!AM539+'Capex &amp; Depr'!AM539+Debt!AN539+Pat.!AD539+Rates!AK539</f>
        <v>1.629189279999143E-2</v>
      </c>
      <c r="AR539" s="224">
        <f t="shared" si="11"/>
        <v>5.0313034226970803E-2</v>
      </c>
      <c r="AS539" s="106">
        <f>+'Regulatory Charge'!AM539+Fuel!AM539+PCM!AN539+Interest!AM539+'O&amp;M'!AO539+'Capex &amp; Depr'!AO539+Debt!AP539+Pat.!AF539+Rates!AM539</f>
        <v>5.8042503089565767E-2</v>
      </c>
      <c r="AT539" s="106">
        <f>+'Regulatory Charge'!AN539+Fuel!AN539+PCM!AO539+Interest!AN539+'O&amp;M'!AP539+'Capex &amp; Depr'!AP539+Debt!AQ539+Pat.!AG539+Rates!AN539</f>
        <v>6.5503024545809183E-2</v>
      </c>
      <c r="AU539" s="106">
        <f>+'Regulatory Charge'!AO539+Fuel!AO539+PCM!AP539+Interest!AO539+'O&amp;M'!AQ539+'Capex &amp; Depr'!AQ539+Debt!AR539+Pat.!AH539+Rates!AO539</f>
        <v>6.7468115282183466E-2</v>
      </c>
      <c r="AV539" s="106">
        <f>+'Regulatory Charge'!AP539+Fuel!AP539+PCM!AQ539+Interest!AP539+'O&amp;M'!AR539+'Capex &amp; Depr'!AR539+Debt!AS539+Pat.!AI539+Rates!AP539</f>
        <v>6.9492158740648971E-2</v>
      </c>
      <c r="AW539" s="106">
        <f>+'Regulatory Charge'!AQ539+Fuel!AQ539+PCM!AR539+Interest!AQ539+'O&amp;M'!AS539+'Capex &amp; Depr'!AS539+Debt!AT539+Pat.!AJ539+Rates!AQ539</f>
        <v>7.1576923502868442E-2</v>
      </c>
      <c r="AX539" s="106">
        <f>+'Regulatory Charge'!AR539+Fuel!AR539+PCM!AS539+Interest!AR539+'O&amp;M'!AT539+'Capex &amp; Depr'!AT539+Debt!AU539+Pat.!AK539+Rates!AR539</f>
        <v>7.3724231207954502E-2</v>
      </c>
      <c r="AY539" s="106">
        <f>+'Regulatory Charge'!AS539+Fuel!AS539+PCM!AT539+Interest!AS539+'O&amp;M'!AU539+'Capex &amp; Depr'!AU539+Debt!AV539+Pat.!AL539+Rates!AS539</f>
        <v>7.5935958144193141E-2</v>
      </c>
      <c r="AZ539" s="106">
        <f>+'Regulatory Charge'!AT539+Fuel!AT539+PCM!AU539+Interest!AT539+'O&amp;M'!AV539+'Capex &amp; Depr'!AV539+Debt!AW539+Pat.!AM539+Rates!AT539</f>
        <v>7.821403688851894E-2</v>
      </c>
      <c r="BA539" s="106">
        <f>+'Regulatory Charge'!AU539+Fuel!AU539+PCM!AV539+Interest!AU539+'O&amp;M'!AW539+'Capex &amp; Depr'!AW539+Debt!AX539+Pat.!AN539+Rates!AU539</f>
        <v>8.0560457995174514E-2</v>
      </c>
      <c r="BB539" s="106">
        <f>+'Regulatory Charge'!AV539+Fuel!AV539+PCM!AW539+Interest!AV539+'O&amp;M'!AX539+'Capex &amp; Depr'!AX539+Debt!AY539+Pat.!AO539+Rates!AV539</f>
        <v>8.2977271735029751E-2</v>
      </c>
      <c r="BC539" s="106">
        <f>+'Regulatory Charge'!AW539+Fuel!AW539+PCM!AX539+Interest!AW539+'O&amp;M'!AY539+'Capex &amp; Depr'!AY539+Debt!AZ539+Pat.!AP539+Rates!AW539</f>
        <v>8.5466589887080641E-2</v>
      </c>
      <c r="BD539" s="106"/>
      <c r="BE539" s="106"/>
    </row>
    <row r="540" spans="1:57">
      <c r="A540" s="849">
        <v>568.1</v>
      </c>
      <c r="B540" s="846" t="s">
        <v>987</v>
      </c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224"/>
      <c r="S540" s="106">
        <f>+'Regulatory Charge'!M540+Fuel!M540+PCM!N540+Interest!M540+'O&amp;M'!O540+'Capex &amp; Depr'!O540+Debt!P540+Pat.!F540+Rates!M540</f>
        <v>1.3201930000000001E-2</v>
      </c>
      <c r="T540" s="106">
        <f>+'Regulatory Charge'!N540+Fuel!N540+PCM!O540+Interest!N540+'O&amp;M'!P540+'Capex &amp; Depr'!P540+Debt!Q540+Pat.!G540+Rates!N540</f>
        <v>4.7897300000000007E-3</v>
      </c>
      <c r="U540" s="106">
        <f>+'Regulatory Charge'!O540+Fuel!O540+PCM!P540+Interest!O540+'O&amp;M'!Q540+'Capex &amp; Depr'!Q540+Debt!R540+Pat.!H540+Rates!O540</f>
        <v>2.8467129999999997E-2</v>
      </c>
      <c r="V540" s="106">
        <f>+'Regulatory Charge'!P540+Fuel!P540+PCM!Q540+Interest!P540+'O&amp;M'!R540+'Capex &amp; Depr'!R540+Debt!S540+Pat.!I540+Rates!P540</f>
        <v>4.6507300000000005E-3</v>
      </c>
      <c r="W540" s="106">
        <f>+'Regulatory Charge'!Q540+Fuel!Q540+PCM!R540+Interest!Q540+'O&amp;M'!S540+'Capex &amp; Depr'!S540+Debt!T540+Pat.!J540+Rates!Q540</f>
        <v>5.0271300000000003E-3</v>
      </c>
      <c r="X540" s="106">
        <f>+'Regulatory Charge'!R540+Fuel!R540+PCM!S540+Interest!R540+'O&amp;M'!T540+'Capex &amp; Depr'!T540+Debt!U540+Pat.!K540+Rates!R540</f>
        <v>2.8411129999999996E-2</v>
      </c>
      <c r="Y540" s="106">
        <f>+'Regulatory Charge'!S540+Fuel!S540+PCM!T540+Interest!S540+'O&amp;M'!U540+'Capex &amp; Depr'!U540+Debt!V540+Pat.!L540+Rates!S540</f>
        <v>4.6907300000000006E-3</v>
      </c>
      <c r="Z540" s="106">
        <f>+'Regulatory Charge'!T540+Fuel!T540+PCM!U540+Interest!T540+'O&amp;M'!V540+'Capex &amp; Depr'!V540+Debt!W540+Pat.!M540+Rates!T540</f>
        <v>4.7677300000000004E-3</v>
      </c>
      <c r="AA540" s="106">
        <f>+'Regulatory Charge'!U540+Fuel!U540+PCM!V540+Interest!U540+'O&amp;M'!W540+'Capex &amp; Depr'!W540+Debt!X540+Pat.!N540+Rates!U540</f>
        <v>2.8427129999999998E-2</v>
      </c>
      <c r="AB540" s="106">
        <f>+'Regulatory Charge'!V540+Fuel!V540+PCM!W540+Interest!V540+'O&amp;M'!X540+'Capex &amp; Depr'!X540+Debt!Y540+Pat.!O540+Rates!V540</f>
        <v>4.6573299999999986E-3</v>
      </c>
      <c r="AC540" s="106">
        <f>+'Regulatory Charge'!W540+Fuel!W540+PCM!X540+Interest!W540+'O&amp;M'!Y540+'Capex &amp; Depr'!Y540+Debt!Z540+Pat.!P540+Rates!W540</f>
        <v>4.6511299999999998E-3</v>
      </c>
      <c r="AD540" s="106">
        <f>+'Regulatory Charge'!X540+Fuel!X540+PCM!Y540+Interest!X540+'O&amp;M'!Z540+'Capex &amp; Depr'!Z540+Debt!AA540+Pat.!Q540+Rates!X540</f>
        <v>2.9413930000000001E-2</v>
      </c>
      <c r="AE540" s="224">
        <f t="shared" si="10"/>
        <v>0.16115575999999998</v>
      </c>
      <c r="AF540" s="106">
        <f>+'Regulatory Charge'!Z540+Fuel!Z540+PCM!AA540+Interest!Z540+'O&amp;M'!AB540+'Capex &amp; Depr'!AB540+Debt!AC540+Pat.!S540+Rates!Z540</f>
        <v>1.2833184499999999E-2</v>
      </c>
      <c r="AG540" s="106">
        <f>+'Regulatory Charge'!AA540+Fuel!AA540+PCM!AB540+Interest!AA540+'O&amp;M'!AC540+'Capex &amp; Depr'!AC540+Debt!AD540+Pat.!T540+Rates!AA540</f>
        <v>4.6720844999999997E-3</v>
      </c>
      <c r="AH540" s="106">
        <f>+'Regulatory Charge'!AB540+Fuel!AB540+PCM!AC540+Interest!AB540+'O&amp;M'!AD540+'Capex &amp; Depr'!AD540+Debt!AE540+Pat.!U540+Rates!AB540</f>
        <v>3.9200984500000008E-2</v>
      </c>
      <c r="AI540" s="106">
        <f>+'Regulatory Charge'!AC540+Fuel!AC540+PCM!AD540+Interest!AC540+'O&amp;M'!AE540+'Capex &amp; Depr'!AE540+Debt!AF540+Pat.!V540+Rates!AC540</f>
        <v>4.5320845000000002E-3</v>
      </c>
      <c r="AJ540" s="106">
        <f>+'Regulatory Charge'!AD540+Fuel!AD540+PCM!AE540+Interest!AD540+'O&amp;M'!AF540+'Capex &amp; Depr'!AF540+Debt!AG540+Pat.!W540+Rates!AD540</f>
        <v>4.6589844999999994E-3</v>
      </c>
      <c r="AK540" s="106">
        <f>+'Regulatory Charge'!AE540+Fuel!AE540+PCM!AF540+Interest!AE540+'O&amp;M'!AG540+'Capex &amp; Depr'!AG540+Debt!AH540+Pat.!X540+Rates!AE540</f>
        <v>2.9243484500000003E-2</v>
      </c>
      <c r="AL540" s="106">
        <f>+'Regulatory Charge'!AF540+Fuel!AF540+PCM!AG540+Interest!AF540+'O&amp;M'!AH540+'Capex &amp; Depr'!AH540+Debt!AI540+Pat.!Y540+Rates!AF540</f>
        <v>4.5735845000000001E-3</v>
      </c>
      <c r="AM540" s="106">
        <f>+'Regulatory Charge'!AG540+Fuel!AG540+PCM!AH540+Interest!AG540+'O&amp;M'!AI540+'Capex &amp; Depr'!AI540+Debt!AJ540+Pat.!Z540+Rates!AG540</f>
        <v>4.6704844999999997E-3</v>
      </c>
      <c r="AN540" s="106">
        <f>+'Regulatory Charge'!AH540+Fuel!AH540+PCM!AI540+Interest!AH540+'O&amp;M'!AJ540+'Capex &amp; Depr'!AJ540+Debt!AK540+Pat.!AA540+Rates!AH540</f>
        <v>2.9258984500000002E-2</v>
      </c>
      <c r="AO540" s="106">
        <f>+'Regulatory Charge'!AI540+Fuel!AI540+PCM!AJ540+Interest!AI540+'O&amp;M'!AK540+'Capex &amp; Depr'!AK540+Debt!AL540+Pat.!AB540+Rates!AI540</f>
        <v>4.5386845E-3</v>
      </c>
      <c r="AP540" s="106">
        <f>+'Regulatory Charge'!AJ540+Fuel!AJ540+PCM!AK540+Interest!AJ540+'O&amp;M'!AL540+'Capex &amp; Depr'!AL540+Debt!AM540+Pat.!AC540+Rates!AJ540</f>
        <v>4.5310845000000001E-3</v>
      </c>
      <c r="AQ540" s="106">
        <f>+'Regulatory Charge'!AK540+Fuel!AK540+PCM!AL540+Interest!AK540+'O&amp;M'!AM540+'Capex &amp; Depr'!AM540+Debt!AN540+Pat.!AD540+Rates!AK540</f>
        <v>3.0292984500000002E-2</v>
      </c>
      <c r="AR540" s="224">
        <f t="shared" si="11"/>
        <v>0.17300661400000003</v>
      </c>
      <c r="AS540" s="106">
        <f>+'Regulatory Charge'!AM540+Fuel!AM540+PCM!AN540+Interest!AM540+'O&amp;M'!AO540+'Capex &amp; Depr'!AO540+Debt!AP540+Pat.!AF540+Rates!AM540</f>
        <v>0.17072340799999999</v>
      </c>
      <c r="AT540" s="106">
        <f>+'Regulatory Charge'!AN540+Fuel!AN540+PCM!AO540+Interest!AN540+'O&amp;M'!AP540+'Capex &amp; Depr'!AP540+Debt!AQ540+Pat.!AG540+Rates!AN540</f>
        <v>0.1774916</v>
      </c>
      <c r="AU540" s="106">
        <f>+'Regulatory Charge'!AO540+Fuel!AO540+PCM!AP540+Interest!AO540+'O&amp;M'!AQ540+'Capex &amp; Depr'!AQ540+Debt!AR540+Pat.!AH540+Rates!AO540</f>
        <v>0.18281634800000002</v>
      </c>
      <c r="AV540" s="106">
        <f>+'Regulatory Charge'!AP540+Fuel!AP540+PCM!AQ540+Interest!AP540+'O&amp;M'!AR540+'Capex &amp; Depr'!AR540+Debt!AS540+Pat.!AI540+Rates!AP540</f>
        <v>0.18830083844000003</v>
      </c>
      <c r="AW540" s="106">
        <f>+'Regulatory Charge'!AQ540+Fuel!AQ540+PCM!AR540+Interest!AQ540+'O&amp;M'!AS540+'Capex &amp; Depr'!AS540+Debt!AT540+Pat.!AJ540+Rates!AQ540</f>
        <v>0.19394986359320004</v>
      </c>
      <c r="AX540" s="106">
        <f>+'Regulatory Charge'!AR540+Fuel!AR540+PCM!AS540+Interest!AR540+'O&amp;M'!AT540+'Capex &amp; Depr'!AT540+Debt!AU540+Pat.!AK540+Rates!AR540</f>
        <v>0.19976835950099606</v>
      </c>
      <c r="AY540" s="106">
        <f>+'Regulatory Charge'!AS540+Fuel!AS540+PCM!AT540+Interest!AS540+'O&amp;M'!AU540+'Capex &amp; Depr'!AU540+Debt!AV540+Pat.!AL540+Rates!AS540</f>
        <v>0.20576141028602593</v>
      </c>
      <c r="AZ540" s="106">
        <f>+'Regulatory Charge'!AT540+Fuel!AT540+PCM!AU540+Interest!AT540+'O&amp;M'!AV540+'Capex &amp; Depr'!AV540+Debt!AW540+Pat.!AM540+Rates!AT540</f>
        <v>0.21193425259460671</v>
      </c>
      <c r="BA540" s="106">
        <f>+'Regulatory Charge'!AU540+Fuel!AU540+PCM!AV540+Interest!AU540+'O&amp;M'!AW540+'Capex &amp; Depr'!AW540+Debt!AX540+Pat.!AN540+Rates!AU540</f>
        <v>0.21829228017244492</v>
      </c>
      <c r="BB540" s="106">
        <f>+'Regulatory Charge'!AV540+Fuel!AV540+PCM!AW540+Interest!AV540+'O&amp;M'!AX540+'Capex &amp; Depr'!AX540+Debt!AY540+Pat.!AO540+Rates!AV540</f>
        <v>0.22484104857761827</v>
      </c>
      <c r="BC540" s="106">
        <f>+'Regulatory Charge'!AW540+Fuel!AW540+PCM!AX540+Interest!AW540+'O&amp;M'!AY540+'Capex &amp; Depr'!AY540+Debt!AZ540+Pat.!AP540+Rates!AW540</f>
        <v>0.23158628003494683</v>
      </c>
      <c r="BD540" s="106"/>
      <c r="BE540" s="106"/>
    </row>
    <row r="541" spans="1:57">
      <c r="A541" s="849" t="s">
        <v>798</v>
      </c>
      <c r="B541" s="846" t="s">
        <v>988</v>
      </c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224"/>
      <c r="S541" s="106">
        <f>+'Regulatory Charge'!M541+Fuel!M541+PCM!N541+Interest!M541+'O&amp;M'!O541+'Capex &amp; Depr'!O541+Debt!P541+Pat.!F541+Rates!M541</f>
        <v>2.6975492651909044E-2</v>
      </c>
      <c r="T541" s="106">
        <f>+'Regulatory Charge'!N541+Fuel!N541+PCM!O541+Interest!N541+'O&amp;M'!P541+'Capex &amp; Depr'!P541+Debt!Q541+Pat.!G541+Rates!N541</f>
        <v>2.6070274777683901E-2</v>
      </c>
      <c r="U541" s="106">
        <f>+'Regulatory Charge'!O541+Fuel!O541+PCM!P541+Interest!O541+'O&amp;M'!Q541+'Capex &amp; Depr'!Q541+Debt!R541+Pat.!H541+Rates!O541</f>
        <v>2.8061754100979209E-2</v>
      </c>
      <c r="V541" s="106">
        <f>+'Regulatory Charge'!P541+Fuel!P541+PCM!Q541+Interest!P541+'O&amp;M'!R541+'Capex &amp; Depr'!R541+Debt!S541+Pat.!I541+Rates!P541</f>
        <v>2.6794449077064013E-2</v>
      </c>
      <c r="W541" s="106">
        <f>+'Regulatory Charge'!Q541+Fuel!Q541+PCM!R541+Interest!Q541+'O&amp;M'!S541+'Capex &amp; Depr'!S541+Debt!T541+Pat.!J541+Rates!Q541</f>
        <v>2.8423841250669258E-2</v>
      </c>
      <c r="X541" s="106">
        <f>+'Regulatory Charge'!R541+Fuel!R541+PCM!S541+Interest!R541+'O&amp;M'!T541+'Capex &amp; Depr'!T541+Debt!U541+Pat.!K541+Rates!R541</f>
        <v>2.4621926178923691E-2</v>
      </c>
      <c r="Y541" s="106">
        <f>+'Regulatory Charge'!S541+Fuel!S541+PCM!T541+Interest!S541+'O&amp;M'!U541+'Capex &amp; Depr'!U541+Debt!V541+Pat.!L541+Rates!S541</f>
        <v>2.6794449077064013E-2</v>
      </c>
      <c r="Z541" s="106">
        <f>+'Regulatory Charge'!T541+Fuel!T541+PCM!U541+Interest!T541+'O&amp;M'!V541+'Capex &amp; Depr'!V541+Debt!W541+Pat.!M541+Rates!T541</f>
        <v>2.8423841250669258E-2</v>
      </c>
      <c r="AA541" s="106">
        <f>+'Regulatory Charge'!U541+Fuel!U541+PCM!V541+Interest!U541+'O&amp;M'!W541+'Capex &amp; Depr'!W541+Debt!X541+Pat.!N541+Rates!U541</f>
        <v>2.4658709713189612E-2</v>
      </c>
      <c r="AB541" s="106">
        <f>+'Regulatory Charge'!V541+Fuel!V541+PCM!W541+Interest!V541+'O&amp;M'!X541+'Capex &amp; Depr'!X541+Debt!Y541+Pat.!O541+Rates!V541</f>
        <v>2.9298382118178645E-2</v>
      </c>
      <c r="AC541" s="106">
        <f>+'Regulatory Charge'!W541+Fuel!W541+PCM!X541+Interest!W541+'O&amp;M'!Y541+'Capex &amp; Depr'!Y541+Debt!Z541+Pat.!P541+Rates!W541</f>
        <v>2.438498884370148E-2</v>
      </c>
      <c r="AD541" s="106">
        <f>+'Regulatory Charge'!X541+Fuel!X541+PCM!Y541+Interest!X541+'O&amp;M'!Z541+'Capex &amp; Depr'!Z541+Debt!AA541+Pat.!Q541+Rates!X541</f>
        <v>2.511289895843884E-2</v>
      </c>
      <c r="AE541" s="224">
        <f t="shared" si="10"/>
        <v>0.31962100799847099</v>
      </c>
      <c r="AF541" s="106">
        <f>+'Regulatory Charge'!Z541+Fuel!Z541+PCM!AA541+Interest!Z541+'O&amp;M'!AB541+'Capex &amp; Depr'!AB541+Debt!AC541+Pat.!S541+Rates!Z541</f>
        <v>2.6639661766990359E-2</v>
      </c>
      <c r="AG541" s="106">
        <f>+'Regulatory Charge'!AA541+Fuel!AA541+PCM!AB541+Interest!AA541+'O&amp;M'!AC541+'Capex &amp; Depr'!AC541+Debt!AD541+Pat.!T541+Rates!AA541</f>
        <v>2.5745713385547733E-2</v>
      </c>
      <c r="AH541" s="106">
        <f>+'Regulatory Charge'!AB541+Fuel!AB541+PCM!AC541+Interest!AB541+'O&amp;M'!AD541+'Capex &amp; Depr'!AD541+Debt!AE541+Pat.!U541+Rates!AB541</f>
        <v>2.7712399824721515E-2</v>
      </c>
      <c r="AI541" s="106">
        <f>+'Regulatory Charge'!AC541+Fuel!AC541+PCM!AD541+Interest!AC541+'O&amp;M'!AE541+'Capex &amp; Depr'!AE541+Debt!AF541+Pat.!V541+Rates!AC541</f>
        <v>2.6460872090701835E-2</v>
      </c>
      <c r="AJ541" s="106">
        <f>+'Regulatory Charge'!AD541+Fuel!AD541+PCM!AE541+Interest!AD541+'O&amp;M'!AF541+'Capex &amp; Depr'!AF541+Debt!AG541+Pat.!W541+Rates!AD541</f>
        <v>2.806997917729857E-2</v>
      </c>
      <c r="AK541" s="106">
        <f>+'Regulatory Charge'!AE541+Fuel!AE541+PCM!AF541+Interest!AE541+'O&amp;M'!AG541+'Capex &amp; Depr'!AG541+Debt!AH541+Pat.!X541+Rates!AE541</f>
        <v>2.4315395975239525E-2</v>
      </c>
      <c r="AL541" s="106">
        <f>+'Regulatory Charge'!AF541+Fuel!AF541+PCM!AG541+Interest!AF541+'O&amp;M'!AH541+'Capex &amp; Depr'!AH541+Debt!AI541+Pat.!Y541+Rates!AF541</f>
        <v>2.6460872090701835E-2</v>
      </c>
      <c r="AM541" s="106">
        <f>+'Regulatory Charge'!AG541+Fuel!AG541+PCM!AH541+Interest!AG541+'O&amp;M'!AI541+'Capex &amp; Depr'!AI541+Debt!AJ541+Pat.!Z541+Rates!AG541</f>
        <v>2.806997917729857E-2</v>
      </c>
      <c r="AN541" s="106">
        <f>+'Regulatory Charge'!AH541+Fuel!AH541+PCM!AI541+Interest!AH541+'O&amp;M'!AJ541+'Capex &amp; Depr'!AJ541+Debt!AK541+Pat.!AA541+Rates!AH541</f>
        <v>2.4315395975239525E-2</v>
      </c>
      <c r="AO541" s="106">
        <f>+'Regulatory Charge'!AI541+Fuel!AI541+PCM!AJ541+Interest!AI541+'O&amp;M'!AK541+'Capex &amp; Depr'!AK541+Debt!AL541+Pat.!AB541+Rates!AI541</f>
        <v>2.893461883250787E-2</v>
      </c>
      <c r="AP541" s="106">
        <f>+'Regulatory Charge'!AJ541+Fuel!AJ541+PCM!AK541+Interest!AJ541+'O&amp;M'!AL541+'Capex &amp; Depr'!AL541+Debt!AM541+Pat.!AC541+Rates!AJ541</f>
        <v>2.4082229338857484E-2</v>
      </c>
      <c r="AQ541" s="106">
        <f>+'Regulatory Charge'!AK541+Fuel!AK541+PCM!AL541+Interest!AK541+'O&amp;M'!AM541+'Capex &amp; Depr'!AM541+Debt!AN541+Pat.!AD541+Rates!AK541</f>
        <v>2.4801101856435314E-2</v>
      </c>
      <c r="AR541" s="224">
        <f t="shared" si="11"/>
        <v>0.31560821949154011</v>
      </c>
      <c r="AS541" s="106">
        <f>+'Regulatory Charge'!AM541+Fuel!AM541+PCM!AN541+Interest!AM541+'O&amp;M'!AO541+'Capex &amp; Depr'!AO541+Debt!AP541+Pat.!AF541+Rates!AM541</f>
        <v>0.32337138222309486</v>
      </c>
      <c r="AT541" s="106">
        <f>+'Regulatory Charge'!AN541+Fuel!AN541+PCM!AO541+Interest!AN541+'O&amp;M'!AP541+'Capex &amp; Depr'!AP541+Debt!AQ541+Pat.!AG541+Rates!AN541</f>
        <v>0.33086463336189526</v>
      </c>
      <c r="AU541" s="106">
        <f>+'Regulatory Charge'!AO541+Fuel!AO541+PCM!AP541+Interest!AO541+'O&amp;M'!AQ541+'Capex &amp; Depr'!AQ541+Debt!AR541+Pat.!AH541+Rates!AO541</f>
        <v>0.34079057236275212</v>
      </c>
      <c r="AV541" s="106">
        <f>+'Regulatory Charge'!AP541+Fuel!AP541+PCM!AQ541+Interest!AP541+'O&amp;M'!AR541+'Capex &amp; Depr'!AR541+Debt!AS541+Pat.!AI541+Rates!AP541</f>
        <v>0.35101428953363467</v>
      </c>
      <c r="AW541" s="106">
        <f>+'Regulatory Charge'!AQ541+Fuel!AQ541+PCM!AR541+Interest!AQ541+'O&amp;M'!AS541+'Capex &amp; Depr'!AS541+Debt!AT541+Pat.!AJ541+Rates!AQ541</f>
        <v>0.36154471821964373</v>
      </c>
      <c r="AX541" s="106">
        <f>+'Regulatory Charge'!AR541+Fuel!AR541+PCM!AS541+Interest!AR541+'O&amp;M'!AT541+'Capex &amp; Depr'!AT541+Debt!AU541+Pat.!AK541+Rates!AR541</f>
        <v>0.37239105976623305</v>
      </c>
      <c r="AY541" s="106">
        <f>+'Regulatory Charge'!AS541+Fuel!AS541+PCM!AT541+Interest!AS541+'O&amp;M'!AU541+'Capex &amp; Depr'!AU541+Debt!AV541+Pat.!AL541+Rates!AS541</f>
        <v>0.38356279155922007</v>
      </c>
      <c r="AZ541" s="106">
        <f>+'Regulatory Charge'!AT541+Fuel!AT541+PCM!AU541+Interest!AT541+'O&amp;M'!AV541+'Capex &amp; Depr'!AV541+Debt!AW541+Pat.!AM541+Rates!AT541</f>
        <v>0.39506967530599668</v>
      </c>
      <c r="BA541" s="106">
        <f>+'Regulatory Charge'!AU541+Fuel!AU541+PCM!AV541+Interest!AU541+'O&amp;M'!AW541+'Capex &amp; Depr'!AW541+Debt!AX541+Pat.!AN541+Rates!AU541</f>
        <v>0.40692176556517662</v>
      </c>
      <c r="BB541" s="106">
        <f>+'Regulatory Charge'!AV541+Fuel!AV541+PCM!AW541+Interest!AV541+'O&amp;M'!AX541+'Capex &amp; Depr'!AX541+Debt!AY541+Pat.!AO541+Rates!AV541</f>
        <v>0.41912941853213193</v>
      </c>
      <c r="BC541" s="106">
        <f>+'Regulatory Charge'!AW541+Fuel!AW541+PCM!AX541+Interest!AW541+'O&amp;M'!AY541+'Capex &amp; Depr'!AY541+Debt!AZ541+Pat.!AP541+Rates!AW541</f>
        <v>0.4317033010880959</v>
      </c>
      <c r="BD541" s="106"/>
      <c r="BE541" s="106"/>
    </row>
    <row r="542" spans="1:57">
      <c r="A542" s="849" t="s">
        <v>102</v>
      </c>
      <c r="B542" s="846" t="s">
        <v>989</v>
      </c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224"/>
      <c r="S542" s="106">
        <f>+'Regulatory Charge'!M542+Fuel!M542+PCM!N542+Interest!M542+'O&amp;M'!O542+'Capex &amp; Depr'!O542+Debt!P542+Pat.!F542+Rates!M542</f>
        <v>-9.1999999999999998E-3</v>
      </c>
      <c r="T542" s="106">
        <f>+'Regulatory Charge'!N542+Fuel!N542+PCM!O542+Interest!N542+'O&amp;M'!P542+'Capex &amp; Depr'!P542+Debt!Q542+Pat.!G542+Rates!N542</f>
        <v>-9.1999999999999998E-3</v>
      </c>
      <c r="U542" s="106">
        <f>+'Regulatory Charge'!O542+Fuel!O542+PCM!P542+Interest!O542+'O&amp;M'!Q542+'Capex &amp; Depr'!Q542+Debt!R542+Pat.!H542+Rates!O542</f>
        <v>-9.1999999999999998E-3</v>
      </c>
      <c r="V542" s="106">
        <f>+'Regulatory Charge'!P542+Fuel!P542+PCM!Q542+Interest!P542+'O&amp;M'!R542+'Capex &amp; Depr'!R542+Debt!S542+Pat.!I542+Rates!P542</f>
        <v>-9.1999999999999998E-3</v>
      </c>
      <c r="W542" s="106">
        <f>+'Regulatory Charge'!Q542+Fuel!Q542+PCM!R542+Interest!Q542+'O&amp;M'!S542+'Capex &amp; Depr'!S542+Debt!T542+Pat.!J542+Rates!Q542</f>
        <v>-9.1999999999999998E-3</v>
      </c>
      <c r="X542" s="106">
        <f>+'Regulatory Charge'!R542+Fuel!R542+PCM!S542+Interest!R542+'O&amp;M'!T542+'Capex &amp; Depr'!T542+Debt!U542+Pat.!K542+Rates!R542</f>
        <v>-9.1999999999999998E-3</v>
      </c>
      <c r="Y542" s="106">
        <f>+'Regulatory Charge'!S542+Fuel!S542+PCM!T542+Interest!S542+'O&amp;M'!U542+'Capex &amp; Depr'!U542+Debt!V542+Pat.!L542+Rates!S542</f>
        <v>-9.1999999999999998E-3</v>
      </c>
      <c r="Z542" s="106">
        <f>+'Regulatory Charge'!T542+Fuel!T542+PCM!U542+Interest!T542+'O&amp;M'!V542+'Capex &amp; Depr'!V542+Debt!W542+Pat.!M542+Rates!T542</f>
        <v>-9.1999999999999998E-3</v>
      </c>
      <c r="AA542" s="106">
        <f>+'Regulatory Charge'!U542+Fuel!U542+PCM!V542+Interest!U542+'O&amp;M'!W542+'Capex &amp; Depr'!W542+Debt!X542+Pat.!N542+Rates!U542</f>
        <v>-9.1999999999999998E-3</v>
      </c>
      <c r="AB542" s="106">
        <f>+'Regulatory Charge'!V542+Fuel!V542+PCM!W542+Interest!V542+'O&amp;M'!X542+'Capex &amp; Depr'!X542+Debt!Y542+Pat.!O542+Rates!V542</f>
        <v>-9.1999999999999998E-3</v>
      </c>
      <c r="AC542" s="106">
        <f>+'Regulatory Charge'!W542+Fuel!W542+PCM!X542+Interest!W542+'O&amp;M'!Y542+'Capex &amp; Depr'!Y542+Debt!Z542+Pat.!P542+Rates!W542</f>
        <v>-8.0000000000000002E-3</v>
      </c>
      <c r="AD542" s="106">
        <f>+'Regulatory Charge'!X542+Fuel!X542+PCM!Y542+Interest!X542+'O&amp;M'!Z542+'Capex &amp; Depr'!Z542+Debt!AA542+Pat.!Q542+Rates!X542</f>
        <v>-8.0000000000000002E-3</v>
      </c>
      <c r="AE542" s="224">
        <f t="shared" si="10"/>
        <v>-0.10800000000000001</v>
      </c>
      <c r="AF542" s="106">
        <f>+'Regulatory Charge'!Z542+Fuel!Z542+PCM!AA542+Interest!Z542+'O&amp;M'!AB542+'Capex &amp; Depr'!AB542+Debt!AC542+Pat.!S542+Rates!Z542</f>
        <v>-9.1999999999999998E-3</v>
      </c>
      <c r="AG542" s="106">
        <f>+'Regulatory Charge'!AA542+Fuel!AA542+PCM!AB542+Interest!AA542+'O&amp;M'!AC542+'Capex &amp; Depr'!AC542+Debt!AD542+Pat.!T542+Rates!AA542</f>
        <v>-9.1999999999999998E-3</v>
      </c>
      <c r="AH542" s="106">
        <f>+'Regulatory Charge'!AB542+Fuel!AB542+PCM!AC542+Interest!AB542+'O&amp;M'!AD542+'Capex &amp; Depr'!AD542+Debt!AE542+Pat.!U542+Rates!AB542</f>
        <v>-9.1999999999999998E-3</v>
      </c>
      <c r="AI542" s="106">
        <f>+'Regulatory Charge'!AC542+Fuel!AC542+PCM!AD542+Interest!AC542+'O&amp;M'!AE542+'Capex &amp; Depr'!AE542+Debt!AF542+Pat.!V542+Rates!AC542</f>
        <v>-9.1999999999999998E-3</v>
      </c>
      <c r="AJ542" s="106">
        <f>+'Regulatory Charge'!AD542+Fuel!AD542+PCM!AE542+Interest!AD542+'O&amp;M'!AF542+'Capex &amp; Depr'!AF542+Debt!AG542+Pat.!W542+Rates!AD542</f>
        <v>-9.1999999999999998E-3</v>
      </c>
      <c r="AK542" s="106">
        <f>+'Regulatory Charge'!AE542+Fuel!AE542+PCM!AF542+Interest!AE542+'O&amp;M'!AG542+'Capex &amp; Depr'!AG542+Debt!AH542+Pat.!X542+Rates!AE542</f>
        <v>-9.1999999999999998E-3</v>
      </c>
      <c r="AL542" s="106">
        <f>+'Regulatory Charge'!AF542+Fuel!AF542+PCM!AG542+Interest!AF542+'O&amp;M'!AH542+'Capex &amp; Depr'!AH542+Debt!AI542+Pat.!Y542+Rates!AF542</f>
        <v>-9.1999999999999998E-3</v>
      </c>
      <c r="AM542" s="106">
        <f>+'Regulatory Charge'!AG542+Fuel!AG542+PCM!AH542+Interest!AG542+'O&amp;M'!AI542+'Capex &amp; Depr'!AI542+Debt!AJ542+Pat.!Z542+Rates!AG542</f>
        <v>-9.1999999999999998E-3</v>
      </c>
      <c r="AN542" s="106">
        <f>+'Regulatory Charge'!AH542+Fuel!AH542+PCM!AI542+Interest!AH542+'O&amp;M'!AJ542+'Capex &amp; Depr'!AJ542+Debt!AK542+Pat.!AA542+Rates!AH542</f>
        <v>-9.1999999999999998E-3</v>
      </c>
      <c r="AO542" s="106">
        <f>+'Regulatory Charge'!AI542+Fuel!AI542+PCM!AJ542+Interest!AI542+'O&amp;M'!AK542+'Capex &amp; Depr'!AK542+Debt!AL542+Pat.!AB542+Rates!AI542</f>
        <v>-9.1999999999999998E-3</v>
      </c>
      <c r="AP542" s="106">
        <f>+'Regulatory Charge'!AJ542+Fuel!AJ542+PCM!AK542+Interest!AJ542+'O&amp;M'!AL542+'Capex &amp; Depr'!AL542+Debt!AM542+Pat.!AC542+Rates!AJ542</f>
        <v>-8.0000000000000002E-3</v>
      </c>
      <c r="AQ542" s="106">
        <f>+'Regulatory Charge'!AK542+Fuel!AK542+PCM!AL542+Interest!AK542+'O&amp;M'!AM542+'Capex &amp; Depr'!AM542+Debt!AN542+Pat.!AD542+Rates!AK542</f>
        <v>-8.0000000000000002E-3</v>
      </c>
      <c r="AR542" s="224">
        <f t="shared" si="11"/>
        <v>-0.10800000000000001</v>
      </c>
      <c r="AS542" s="106">
        <f>+'Regulatory Charge'!AM542+Fuel!AM542+PCM!AN542+Interest!AM542+'O&amp;M'!AO542+'Capex &amp; Depr'!AO542+Debt!AP542+Pat.!AF542+Rates!AM542</f>
        <v>-0.10800000000000001</v>
      </c>
      <c r="AT542" s="106">
        <f>+'Regulatory Charge'!AN542+Fuel!AN542+PCM!AO542+Interest!AN542+'O&amp;M'!AP542+'Capex &amp; Depr'!AP542+Debt!AQ542+Pat.!AG542+Rates!AN542</f>
        <v>-0.10800000000000001</v>
      </c>
      <c r="AU542" s="106">
        <f>+'Regulatory Charge'!AO542+Fuel!AO542+PCM!AP542+Interest!AO542+'O&amp;M'!AQ542+'Capex &amp; Depr'!AQ542+Debt!AR542+Pat.!AH542+Rates!AO542</f>
        <v>-0.11124000000000002</v>
      </c>
      <c r="AV542" s="106">
        <f>+'Regulatory Charge'!AP542+Fuel!AP542+PCM!AQ542+Interest!AP542+'O&amp;M'!AR542+'Capex &amp; Depr'!AR542+Debt!AS542+Pat.!AI542+Rates!AP542</f>
        <v>-0.11457720000000002</v>
      </c>
      <c r="AW542" s="106">
        <f>+'Regulatory Charge'!AQ542+Fuel!AQ542+PCM!AR542+Interest!AQ542+'O&amp;M'!AS542+'Capex &amp; Depr'!AS542+Debt!AT542+Pat.!AJ542+Rates!AQ542</f>
        <v>-0.11801451600000003</v>
      </c>
      <c r="AX542" s="106">
        <f>+'Regulatory Charge'!AR542+Fuel!AR542+PCM!AS542+Interest!AR542+'O&amp;M'!AT542+'Capex &amp; Depr'!AT542+Debt!AU542+Pat.!AK542+Rates!AR542</f>
        <v>-0.12155495148000003</v>
      </c>
      <c r="AY542" s="106">
        <f>+'Regulatory Charge'!AS542+Fuel!AS542+PCM!AT542+Interest!AS542+'O&amp;M'!AU542+'Capex &amp; Depr'!AU542+Debt!AV542+Pat.!AL542+Rates!AS542</f>
        <v>-0.12520160002440003</v>
      </c>
      <c r="AZ542" s="106">
        <f>+'Regulatory Charge'!AT542+Fuel!AT542+PCM!AU542+Interest!AT542+'O&amp;M'!AV542+'Capex &amp; Depr'!AV542+Debt!AW542+Pat.!AM542+Rates!AT542</f>
        <v>-0.12895764802513204</v>
      </c>
      <c r="BA542" s="106">
        <f>+'Regulatory Charge'!AU542+Fuel!AU542+PCM!AV542+Interest!AU542+'O&amp;M'!AW542+'Capex &amp; Depr'!AW542+Debt!AX542+Pat.!AN542+Rates!AU542</f>
        <v>-0.13282637746588602</v>
      </c>
      <c r="BB542" s="106">
        <f>+'Regulatory Charge'!AV542+Fuel!AV542+PCM!AW542+Interest!AV542+'O&amp;M'!AX542+'Capex &amp; Depr'!AX542+Debt!AY542+Pat.!AO542+Rates!AV542</f>
        <v>-0.1368111687898626</v>
      </c>
      <c r="BC542" s="106">
        <f>+'Regulatory Charge'!AW542+Fuel!AW542+PCM!AX542+Interest!AW542+'O&amp;M'!AY542+'Capex &amp; Depr'!AY542+Debt!AZ542+Pat.!AP542+Rates!AW542</f>
        <v>-0.14091550385355847</v>
      </c>
      <c r="BD542" s="106"/>
      <c r="BE542" s="106"/>
    </row>
    <row r="543" spans="1:57">
      <c r="A543" s="849">
        <v>569.1</v>
      </c>
      <c r="B543" s="846" t="s">
        <v>989</v>
      </c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224"/>
      <c r="S543" s="106">
        <f>+'Regulatory Charge'!M543+Fuel!M543+PCM!N543+Interest!M543+'O&amp;M'!O543+'Capex &amp; Depr'!O543+Debt!P543+Pat.!F543+Rates!M543</f>
        <v>1.30488E-3</v>
      </c>
      <c r="T543" s="106">
        <f>+'Regulatory Charge'!N543+Fuel!N543+PCM!O543+Interest!N543+'O&amp;M'!P543+'Capex &amp; Depr'!P543+Debt!Q543+Pat.!G543+Rates!N543</f>
        <v>1.3023800000000001E-3</v>
      </c>
      <c r="U543" s="106">
        <f>+'Regulatory Charge'!O543+Fuel!O543+PCM!P543+Interest!O543+'O&amp;M'!Q543+'Capex &amp; Depr'!Q543+Debt!R543+Pat.!H543+Rates!O543</f>
        <v>1.867503E-3</v>
      </c>
      <c r="V543" s="106">
        <f>+'Regulatory Charge'!P543+Fuel!P543+PCM!Q543+Interest!P543+'O&amp;M'!R543+'Capex &amp; Depr'!R543+Debt!S543+Pat.!I543+Rates!P543</f>
        <v>1.4589799999999999E-3</v>
      </c>
      <c r="W543" s="106">
        <f>+'Regulatory Charge'!Q543+Fuel!Q543+PCM!R543+Interest!Q543+'O&amp;M'!S543+'Capex &amp; Depr'!S543+Debt!T543+Pat.!J543+Rates!Q543</f>
        <v>2.04178E-3</v>
      </c>
      <c r="X543" s="106">
        <f>+'Regulatory Charge'!R543+Fuel!R543+PCM!S543+Interest!R543+'O&amp;M'!T543+'Capex &amp; Depr'!T543+Debt!U543+Pat.!K543+Rates!R543</f>
        <v>3.2100100000000001E-3</v>
      </c>
      <c r="Y543" s="106">
        <f>+'Regulatory Charge'!S543+Fuel!S543+PCM!T543+Interest!S543+'O&amp;M'!U543+'Capex &amp; Depr'!U543+Debt!V543+Pat.!L543+Rates!S543</f>
        <v>3.1851800000000001E-3</v>
      </c>
      <c r="Z543" s="106">
        <f>+'Regulatory Charge'!T543+Fuel!T543+PCM!U543+Interest!T543+'O&amp;M'!V543+'Capex &amp; Depr'!V543+Debt!W543+Pat.!M543+Rates!T543</f>
        <v>2.0851799999999998E-3</v>
      </c>
      <c r="AA543" s="106">
        <f>+'Regulatory Charge'!U543+Fuel!U543+PCM!V543+Interest!U543+'O&amp;M'!W543+'Capex &amp; Depr'!W543+Debt!X543+Pat.!N543+Rates!U543</f>
        <v>1.4833070000000001E-3</v>
      </c>
      <c r="AB543" s="106">
        <f>+'Regulatory Charge'!V543+Fuel!V543+PCM!W543+Interest!V543+'O&amp;M'!X543+'Capex &amp; Depr'!X543+Debt!Y543+Pat.!O543+Rates!V543</f>
        <v>1.2523800000000002E-3</v>
      </c>
      <c r="AC543" s="106">
        <f>+'Regulatory Charge'!W543+Fuel!W543+PCM!X543+Interest!W543+'O&amp;M'!Y543+'Capex &amp; Depr'!Y543+Debt!Z543+Pat.!P543+Rates!W543</f>
        <v>1.3023800000000001E-3</v>
      </c>
      <c r="AD543" s="106">
        <f>+'Regulatory Charge'!X543+Fuel!X543+PCM!Y543+Interest!X543+'O&amp;M'!Z543+'Capex &amp; Depr'!Z543+Debt!AA543+Pat.!Q543+Rates!X543</f>
        <v>1.3006500000000004E-3</v>
      </c>
      <c r="AE543" s="224">
        <f t="shared" si="10"/>
        <v>2.1794609999999999E-2</v>
      </c>
      <c r="AF543" s="106">
        <f>+'Regulatory Charge'!Z543+Fuel!Z543+PCM!AA543+Interest!Z543+'O&amp;M'!AB543+'Capex &amp; Depr'!AB543+Debt!AC543+Pat.!S543+Rates!Z543</f>
        <v>1.3519854000000001E-3</v>
      </c>
      <c r="AG543" s="106">
        <f>+'Regulatory Charge'!AA543+Fuel!AA543+PCM!AB543+Interest!AA543+'O&amp;M'!AC543+'Capex &amp; Depr'!AC543+Debt!AD543+Pat.!T543+Rates!AA543</f>
        <v>1.3494104000000002E-3</v>
      </c>
      <c r="AH543" s="106">
        <f>+'Regulatory Charge'!AB543+Fuel!AB543+PCM!AC543+Interest!AB543+'O&amp;M'!AD543+'Capex &amp; Depr'!AD543+Debt!AE543+Pat.!U543+Rates!AB543</f>
        <v>1.9706067166000004E-3</v>
      </c>
      <c r="AI543" s="106">
        <f>+'Regulatory Charge'!AC543+Fuel!AC543+PCM!AD543+Interest!AC543+'O&amp;M'!AE543+'Capex &amp; Depr'!AE543+Debt!AF543+Pat.!V543+Rates!AC543</f>
        <v>1.6769745528000001E-3</v>
      </c>
      <c r="AJ543" s="106">
        <f>+'Regulatory Charge'!AD543+Fuel!AD543+PCM!AE543+Interest!AD543+'O&amp;M'!AF543+'Capex &amp; Depr'!AF543+Debt!AG543+Pat.!W543+Rates!AD543</f>
        <v>2.4108574866000001E-3</v>
      </c>
      <c r="AK543" s="106">
        <f>+'Regulatory Charge'!AE543+Fuel!AE543+PCM!AF543+Interest!AE543+'O&amp;M'!AG543+'Capex &amp; Depr'!AG543+Debt!AH543+Pat.!X543+Rates!AE543</f>
        <v>3.5817029350000001E-3</v>
      </c>
      <c r="AL543" s="106">
        <f>+'Regulatory Charge'!AF543+Fuel!AF543+PCM!AG543+Interest!AF543+'O&amp;M'!AH543+'Capex &amp; Depr'!AH543+Debt!AI543+Pat.!Y543+Rates!AF543</f>
        <v>3.6320665668999998E-3</v>
      </c>
      <c r="AM543" s="106">
        <f>+'Regulatory Charge'!AG543+Fuel!AG543+PCM!AH543+Interest!AG543+'O&amp;M'!AI543+'Capex &amp; Depr'!AI543+Debt!AJ543+Pat.!Z543+Rates!AG543</f>
        <v>3.5222944000000002E-3</v>
      </c>
      <c r="AN543" s="106">
        <f>+'Regulatory Charge'!AH543+Fuel!AH543+PCM!AI543+Interest!AH543+'O&amp;M'!AJ543+'Capex &amp; Depr'!AJ543+Debt!AK543+Pat.!AA543+Rates!AH543</f>
        <v>2.4203652099999994E-3</v>
      </c>
      <c r="AO543" s="106">
        <f>+'Regulatory Charge'!AI543+Fuel!AI543+PCM!AJ543+Interest!AI543+'O&amp;M'!AK543+'Capex &amp; Depr'!AK543+Debt!AL543+Pat.!AB543+Rates!AI543</f>
        <v>1.9796820338000001E-3</v>
      </c>
      <c r="AP543" s="106">
        <f>+'Regulatory Charge'!AJ543+Fuel!AJ543+PCM!AK543+Interest!AJ543+'O&amp;M'!AL543+'Capex &amp; Depr'!AL543+Debt!AM543+Pat.!AC543+Rates!AJ543</f>
        <v>2.0651987571999996E-3</v>
      </c>
      <c r="AQ543" s="106">
        <f>+'Regulatory Charge'!AK543+Fuel!AK543+PCM!AL543+Interest!AK543+'O&amp;M'!AM543+'Capex &amp; Depr'!AM543+Debt!AN543+Pat.!AD543+Rates!AK543</f>
        <v>1.7576285E-3</v>
      </c>
      <c r="AR543" s="224">
        <f t="shared" si="11"/>
        <v>2.77187729589E-2</v>
      </c>
      <c r="AS543" s="106">
        <f>+'Regulatory Charge'!AM543+Fuel!AM543+PCM!AN543+Interest!AM543+'O&amp;M'!AO543+'Capex &amp; Depr'!AO543+Debt!AP543+Pat.!AF543+Rates!AM543</f>
        <v>2.8329698200907007E-2</v>
      </c>
      <c r="AT543" s="106">
        <f>+'Regulatory Charge'!AN543+Fuel!AN543+PCM!AO543+Interest!AN543+'O&amp;M'!AP543+'Capex &amp; Depr'!AP543+Debt!AQ543+Pat.!AG543+Rates!AN543</f>
        <v>2.9398341913736997E-2</v>
      </c>
      <c r="AU543" s="106">
        <f>+'Regulatory Charge'!AO543+Fuel!AO543+PCM!AP543+Interest!AO543+'O&amp;M'!AQ543+'Capex &amp; Depr'!AQ543+Debt!AR543+Pat.!AH543+Rates!AO543</f>
        <v>3.0280292171149109E-2</v>
      </c>
      <c r="AV543" s="106">
        <f>+'Regulatory Charge'!AP543+Fuel!AP543+PCM!AQ543+Interest!AP543+'O&amp;M'!AR543+'Capex &amp; Depr'!AR543+Debt!AS543+Pat.!AI543+Rates!AP543</f>
        <v>3.1188700936283582E-2</v>
      </c>
      <c r="AW543" s="106">
        <f>+'Regulatory Charge'!AQ543+Fuel!AQ543+PCM!AR543+Interest!AQ543+'O&amp;M'!AS543+'Capex &amp; Depr'!AS543+Debt!AT543+Pat.!AJ543+Rates!AQ543</f>
        <v>3.2124361964372093E-2</v>
      </c>
      <c r="AX543" s="106">
        <f>+'Regulatory Charge'!AR543+Fuel!AR543+PCM!AS543+Interest!AR543+'O&amp;M'!AT543+'Capex &amp; Depr'!AT543+Debt!AU543+Pat.!AK543+Rates!AR543</f>
        <v>3.3088092823303258E-2</v>
      </c>
      <c r="AY543" s="106">
        <f>+'Regulatory Charge'!AS543+Fuel!AS543+PCM!AT543+Interest!AS543+'O&amp;M'!AU543+'Capex &amp; Depr'!AU543+Debt!AV543+Pat.!AL543+Rates!AS543</f>
        <v>3.4080735608002358E-2</v>
      </c>
      <c r="AZ543" s="106">
        <f>+'Regulatory Charge'!AT543+Fuel!AT543+PCM!AU543+Interest!AT543+'O&amp;M'!AV543+'Capex &amp; Depr'!AV543+Debt!AW543+Pat.!AM543+Rates!AT543</f>
        <v>3.5103157676242426E-2</v>
      </c>
      <c r="BA543" s="106">
        <f>+'Regulatory Charge'!AU543+Fuel!AU543+PCM!AV543+Interest!AU543+'O&amp;M'!AW543+'Capex &amp; Depr'!AW543+Debt!AX543+Pat.!AN543+Rates!AU543</f>
        <v>3.6156252406529699E-2</v>
      </c>
      <c r="BB543" s="106">
        <f>+'Regulatory Charge'!AV543+Fuel!AV543+PCM!AW543+Interest!AV543+'O&amp;M'!AX543+'Capex &amp; Depr'!AX543+Debt!AY543+Pat.!AO543+Rates!AV543</f>
        <v>3.7240939978725587E-2</v>
      </c>
      <c r="BC543" s="106">
        <f>+'Regulatory Charge'!AW543+Fuel!AW543+PCM!AX543+Interest!AW543+'O&amp;M'!AY543+'Capex &amp; Depr'!AY543+Debt!AZ543+Pat.!AP543+Rates!AW543</f>
        <v>3.8358168178087355E-2</v>
      </c>
      <c r="BD543" s="106"/>
      <c r="BE543" s="106"/>
    </row>
    <row r="544" spans="1:57">
      <c r="A544" s="849" t="s">
        <v>800</v>
      </c>
      <c r="B544" s="846" t="s">
        <v>990</v>
      </c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224"/>
      <c r="S544" s="106">
        <f>+'Regulatory Charge'!M544+Fuel!M544+PCM!N544+Interest!M544+'O&amp;M'!O544+'Capex &amp; Depr'!O544+Debt!P544+Pat.!F544+Rates!M544</f>
        <v>0.1166560427734385</v>
      </c>
      <c r="T544" s="106">
        <f>+'Regulatory Charge'!N544+Fuel!N544+PCM!O544+Interest!N544+'O&amp;M'!P544+'Capex &amp; Depr'!P544+Debt!Q544+Pat.!G544+Rates!N544</f>
        <v>0.112741410465605</v>
      </c>
      <c r="U544" s="106">
        <f>+'Regulatory Charge'!O544+Fuel!O544+PCM!P544+Interest!O544+'O&amp;M'!Q544+'Capex &amp; Depr'!Q544+Debt!R544+Pat.!H544+Rates!O544</f>
        <v>0.12135360154283871</v>
      </c>
      <c r="V544" s="106">
        <f>+'Regulatory Charge'!P544+Fuel!P544+PCM!Q544+Interest!P544+'O&amp;M'!R544+'Capex &amp; Depr'!R544+Debt!S544+Pat.!I544+Rates!P544</f>
        <v>0.1158731163118718</v>
      </c>
      <c r="W544" s="106">
        <f>+'Regulatory Charge'!Q544+Fuel!Q544+PCM!R544+Interest!Q544+'O&amp;M'!S544+'Capex &amp; Depr'!S544+Debt!T544+Pat.!J544+Rates!Q544</f>
        <v>0.12291945446597213</v>
      </c>
      <c r="X544" s="106">
        <f>+'Regulatory Charge'!R544+Fuel!R544+PCM!S544+Interest!R544+'O&amp;M'!T544+'Capex &amp; Depr'!T544+Debt!U544+Pat.!K544+Rates!R544</f>
        <v>0.10647799877307139</v>
      </c>
      <c r="Y544" s="106">
        <f>+'Regulatory Charge'!S544+Fuel!S544+PCM!T544+Interest!S544+'O&amp;M'!U544+'Capex &amp; Depr'!U544+Debt!V544+Pat.!L544+Rates!S544</f>
        <v>0.1158731163118718</v>
      </c>
      <c r="Z544" s="106">
        <f>+'Regulatory Charge'!T544+Fuel!T544+PCM!U544+Interest!T544+'O&amp;M'!V544+'Capex &amp; Depr'!V544+Debt!W544+Pat.!M544+Rates!T544</f>
        <v>0.12291945446597213</v>
      </c>
      <c r="AA544" s="106">
        <f>+'Regulatory Charge'!U544+Fuel!U544+PCM!V544+Interest!U544+'O&amp;M'!W544+'Capex &amp; Depr'!W544+Debt!X544+Pat.!N544+Rates!U544</f>
        <v>0.1065324590148041</v>
      </c>
      <c r="AB544" s="106">
        <f>+'Regulatory Charge'!V544+Fuel!V544+PCM!W544+Interest!V544+'O&amp;M'!X544+'Capex &amp; Depr'!X544+Debt!Y544+Pat.!O544+Rates!V544</f>
        <v>0.12793159465891574</v>
      </c>
      <c r="AC544" s="106">
        <f>+'Regulatory Charge'!W544+Fuel!W544+PCM!X544+Interest!W544+'O&amp;M'!Y544+'Capex &amp; Depr'!Y544+Debt!Z544+Pat.!P544+Rates!W544</f>
        <v>0.10647722785276215</v>
      </c>
      <c r="AD544" s="106">
        <f>+'Regulatory Charge'!X544+Fuel!X544+PCM!Y544+Interest!X544+'O&amp;M'!Z544+'Capex &amp; Depr'!Z544+Debt!AA544+Pat.!Q544+Rates!X544</f>
        <v>0.10965565256478489</v>
      </c>
      <c r="AE544" s="224">
        <f t="shared" si="10"/>
        <v>1.3854111292019082</v>
      </c>
      <c r="AF544" s="106">
        <f>+'Regulatory Charge'!Z544+Fuel!Z544+PCM!AA544+Interest!Z544+'O&amp;M'!AB544+'Capex &amp; Depr'!AB544+Debt!AC544+Pat.!S544+Rates!Z544</f>
        <v>0.1150611765706193</v>
      </c>
      <c r="AG544" s="106">
        <f>+'Regulatory Charge'!AA544+Fuel!AA544+PCM!AB544+Interest!AA544+'O&amp;M'!AC544+'Capex &amp; Depr'!AC544+Debt!AD544+Pat.!T544+Rates!AA544</f>
        <v>0.11120006326288041</v>
      </c>
      <c r="AH544" s="106">
        <f>+'Regulatory Charge'!AB544+Fuel!AB544+PCM!AC544+Interest!AB544+'O&amp;M'!AD544+'Capex &amp; Depr'!AD544+Debt!AE544+Pat.!U544+Rates!AB544</f>
        <v>0.11969451253990598</v>
      </c>
      <c r="AI544" s="106">
        <f>+'Regulatory Charge'!AC544+Fuel!AC544+PCM!AD544+Interest!AC544+'O&amp;M'!AE544+'Capex &amp; Depr'!AE544+Debt!AF544+Pat.!V544+Rates!AC544</f>
        <v>0.11428895390907154</v>
      </c>
      <c r="AJ544" s="106">
        <f>+'Regulatory Charge'!AD544+Fuel!AD544+PCM!AE544+Interest!AD544+'O&amp;M'!AF544+'Capex &amp; Depr'!AF544+Debt!AG544+Pat.!W544+Rates!AD544</f>
        <v>0.12123895786300155</v>
      </c>
      <c r="AK544" s="106">
        <f>+'Regulatory Charge'!AE544+Fuel!AE544+PCM!AF544+Interest!AE544+'O&amp;M'!AG544+'Capex &amp; Depr'!AG544+Debt!AH544+Pat.!X544+Rates!AE544</f>
        <v>0.10502228197049815</v>
      </c>
      <c r="AL544" s="106">
        <f>+'Regulatory Charge'!AF544+Fuel!AF544+PCM!AG544+Interest!AF544+'O&amp;M'!AH544+'Capex &amp; Depr'!AH544+Debt!AI544+Pat.!Y544+Rates!AF544</f>
        <v>0.11428895390907154</v>
      </c>
      <c r="AM544" s="106">
        <f>+'Regulatory Charge'!AG544+Fuel!AG544+PCM!AH544+Interest!AG544+'O&amp;M'!AI544+'Capex &amp; Depr'!AI544+Debt!AJ544+Pat.!Z544+Rates!AG544</f>
        <v>0.12123895786300155</v>
      </c>
      <c r="AN544" s="106">
        <f>+'Regulatory Charge'!AH544+Fuel!AH544+PCM!AI544+Interest!AH544+'O&amp;M'!AJ544+'Capex &amp; Depr'!AJ544+Debt!AK544+Pat.!AA544+Rates!AH544</f>
        <v>0.10505667827762596</v>
      </c>
      <c r="AO544" s="106">
        <f>+'Regulatory Charge'!AI544+Fuel!AI544+PCM!AJ544+Interest!AI544+'O&amp;M'!AK544+'Capex &amp; Depr'!AK544+Debt!AL544+Pat.!AB544+Rates!AI544</f>
        <v>0.12615908052561556</v>
      </c>
      <c r="AP544" s="106">
        <f>+'Regulatory Charge'!AJ544+Fuel!AJ544+PCM!AK544+Interest!AJ544+'O&amp;M'!AL544+'Capex &amp; Depr'!AL544+Debt!AM544+Pat.!AC544+Rates!AJ544</f>
        <v>0.1050019676424378</v>
      </c>
      <c r="AQ544" s="106">
        <f>+'Regulatory Charge'!AK544+Fuel!AK544+PCM!AL544+Interest!AK544+'O&amp;M'!AM544+'Capex &amp; Depr'!AM544+Debt!AN544+Pat.!AD544+Rates!AK544</f>
        <v>0.1081363547362419</v>
      </c>
      <c r="AR544" s="224">
        <f t="shared" si="11"/>
        <v>1.3663879390699714</v>
      </c>
      <c r="AS544" s="106">
        <f>+'Regulatory Charge'!AM544+Fuel!AM544+PCM!AN544+Interest!AM544+'O&amp;M'!AO544+'Capex &amp; Depr'!AO544+Debt!AP544+Pat.!AF544+Rates!AM544</f>
        <v>1.3999352855861877</v>
      </c>
      <c r="AT544" s="106">
        <f>+'Regulatory Charge'!AN544+Fuel!AN544+PCM!AO544+Interest!AN544+'O&amp;M'!AP544+'Capex &amp; Depr'!AP544+Debt!AQ544+Pat.!AG544+Rates!AN544</f>
        <v>1.4342830065768843</v>
      </c>
      <c r="AU544" s="106">
        <f>+'Regulatory Charge'!AO544+Fuel!AO544+PCM!AP544+Interest!AO544+'O&amp;M'!AQ544+'Capex &amp; Depr'!AQ544+Debt!AR544+Pat.!AH544+Rates!AO544</f>
        <v>1.4773114967741909</v>
      </c>
      <c r="AV544" s="106">
        <f>+'Regulatory Charge'!AP544+Fuel!AP544+PCM!AQ544+Interest!AP544+'O&amp;M'!AR544+'Capex &amp; Depr'!AR544+Debt!AS544+Pat.!AI544+Rates!AP544</f>
        <v>1.5216308416774167</v>
      </c>
      <c r="AW544" s="106">
        <f>+'Regulatory Charge'!AQ544+Fuel!AQ544+PCM!AR544+Interest!AQ544+'O&amp;M'!AS544+'Capex &amp; Depr'!AS544+Debt!AT544+Pat.!AJ544+Rates!AQ544</f>
        <v>1.5672797669277392</v>
      </c>
      <c r="AX544" s="106">
        <f>+'Regulatory Charge'!AR544+Fuel!AR544+PCM!AS544+Interest!AR544+'O&amp;M'!AT544+'Capex &amp; Depr'!AT544+Debt!AU544+Pat.!AK544+Rates!AR544</f>
        <v>1.6142981599355715</v>
      </c>
      <c r="AY544" s="106">
        <f>+'Regulatory Charge'!AS544+Fuel!AS544+PCM!AT544+Interest!AS544+'O&amp;M'!AU544+'Capex &amp; Depr'!AU544+Debt!AV544+Pat.!AL544+Rates!AS544</f>
        <v>1.6627271047336387</v>
      </c>
      <c r="AZ544" s="106">
        <f>+'Regulatory Charge'!AT544+Fuel!AT544+PCM!AU544+Interest!AT544+'O&amp;M'!AV544+'Capex &amp; Depr'!AV544+Debt!AW544+Pat.!AM544+Rates!AT544</f>
        <v>1.7126089178756478</v>
      </c>
      <c r="BA544" s="106">
        <f>+'Regulatory Charge'!AU544+Fuel!AU544+PCM!AV544+Interest!AU544+'O&amp;M'!AW544+'Capex &amp; Depr'!AW544+Debt!AX544+Pat.!AN544+Rates!AU544</f>
        <v>1.7639871854119173</v>
      </c>
      <c r="BB544" s="106">
        <f>+'Regulatory Charge'!AV544+Fuel!AV544+PCM!AW544+Interest!AV544+'O&amp;M'!AX544+'Capex &amp; Depr'!AX544+Debt!AY544+Pat.!AO544+Rates!AV544</f>
        <v>1.8169068009742748</v>
      </c>
      <c r="BC544" s="106">
        <f>+'Regulatory Charge'!AW544+Fuel!AW544+PCM!AX544+Interest!AW544+'O&amp;M'!AY544+'Capex &amp; Depr'!AY544+Debt!AZ544+Pat.!AP544+Rates!AW544</f>
        <v>1.8714140050035031</v>
      </c>
      <c r="BD544" s="106"/>
      <c r="BE544" s="106"/>
    </row>
    <row r="545" spans="1:57">
      <c r="A545" s="849">
        <v>570.1</v>
      </c>
      <c r="B545" s="846" t="s">
        <v>990</v>
      </c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224"/>
      <c r="S545" s="106">
        <f>+'Regulatory Charge'!M545+Fuel!M545+PCM!N545+Interest!M545+'O&amp;M'!O545+'Capex &amp; Depr'!O545+Debt!P545+Pat.!F545+Rates!M545</f>
        <v>1.8268320000000001E-2</v>
      </c>
      <c r="T545" s="106">
        <f>+'Regulatory Charge'!N545+Fuel!N545+PCM!O545+Interest!N545+'O&amp;M'!P545+'Capex &amp; Depr'!P545+Debt!Q545+Pat.!G545+Rates!N545</f>
        <v>1.8233320000000001E-2</v>
      </c>
      <c r="U545" s="106">
        <f>+'Regulatory Charge'!O545+Fuel!O545+PCM!P545+Interest!O545+'O&amp;M'!Q545+'Capex &amp; Depr'!Q545+Debt!R545+Pat.!H545+Rates!O545</f>
        <v>2.6145041999999997E-2</v>
      </c>
      <c r="V545" s="106">
        <f>+'Regulatory Charge'!P545+Fuel!P545+PCM!Q545+Interest!P545+'O&amp;M'!R545+'Capex &amp; Depr'!R545+Debt!S545+Pat.!I545+Rates!P545</f>
        <v>2.0425720000000001E-2</v>
      </c>
      <c r="W545" s="106">
        <f>+'Regulatory Charge'!Q545+Fuel!Q545+PCM!R545+Interest!Q545+'O&amp;M'!S545+'Capex &amp; Depr'!S545+Debt!T545+Pat.!J545+Rates!Q545</f>
        <v>2.858492E-2</v>
      </c>
      <c r="X545" s="106">
        <f>+'Regulatory Charge'!R545+Fuel!R545+PCM!S545+Interest!R545+'O&amp;M'!T545+'Capex &amp; Depr'!T545+Debt!U545+Pat.!K545+Rates!R545</f>
        <v>4.4940140000000003E-2</v>
      </c>
      <c r="Y545" s="106">
        <f>+'Regulatory Charge'!S545+Fuel!S545+PCM!T545+Interest!S545+'O&amp;M'!U545+'Capex &amp; Depr'!U545+Debt!V545+Pat.!L545+Rates!S545</f>
        <v>4.4592520000000004E-2</v>
      </c>
      <c r="Z545" s="106">
        <f>+'Regulatory Charge'!T545+Fuel!T545+PCM!U545+Interest!T545+'O&amp;M'!V545+'Capex &amp; Depr'!V545+Debt!W545+Pat.!M545+Rates!T545</f>
        <v>2.919252E-2</v>
      </c>
      <c r="AA545" s="106">
        <f>+'Regulatory Charge'!U545+Fuel!U545+PCM!V545+Interest!U545+'O&amp;M'!W545+'Capex &amp; Depr'!W545+Debt!X545+Pat.!N545+Rates!U545</f>
        <v>2.0766297999999996E-2</v>
      </c>
      <c r="AB545" s="106">
        <f>+'Regulatory Charge'!V545+Fuel!V545+PCM!W545+Interest!V545+'O&amp;M'!X545+'Capex &amp; Depr'!X545+Debt!Y545+Pat.!O545+Rates!V545</f>
        <v>1.7533319999999998E-2</v>
      </c>
      <c r="AC545" s="106">
        <f>+'Regulatory Charge'!W545+Fuel!W545+PCM!X545+Interest!W545+'O&amp;M'!Y545+'Capex &amp; Depr'!Y545+Debt!Z545+Pat.!P545+Rates!W545</f>
        <v>1.8233320000000001E-2</v>
      </c>
      <c r="AD545" s="106">
        <f>+'Regulatory Charge'!X545+Fuel!X545+PCM!Y545+Interest!X545+'O&amp;M'!Z545+'Capex &amp; Depr'!Z545+Debt!AA545+Pat.!Q545+Rates!X545</f>
        <v>1.8209099999999999E-2</v>
      </c>
      <c r="AE545" s="224">
        <f t="shared" si="10"/>
        <v>0.30512454</v>
      </c>
      <c r="AF545" s="106">
        <f>+'Regulatory Charge'!Z545+Fuel!Z545+PCM!AA545+Interest!Z545+'O&amp;M'!AB545+'Capex &amp; Depr'!AB545+Debt!AC545+Pat.!S545+Rates!Z545</f>
        <v>1.8927795600000002E-2</v>
      </c>
      <c r="AG545" s="106">
        <f>+'Regulatory Charge'!AA545+Fuel!AA545+PCM!AB545+Interest!AA545+'O&amp;M'!AC545+'Capex &amp; Depr'!AC545+Debt!AD545+Pat.!T545+Rates!AA545</f>
        <v>1.8891745600000003E-2</v>
      </c>
      <c r="AH545" s="106">
        <f>+'Regulatory Charge'!AB545+Fuel!AB545+PCM!AC545+Interest!AB545+'O&amp;M'!AD545+'Capex &amp; Depr'!AD545+Debt!AE545+Pat.!U545+Rates!AB545</f>
        <v>2.7588494032400004E-2</v>
      </c>
      <c r="AI545" s="106">
        <f>+'Regulatory Charge'!AC545+Fuel!AC545+PCM!AD545+Interest!AC545+'O&amp;M'!AE545+'Capex &amp; Depr'!AE545+Debt!AF545+Pat.!V545+Rates!AC545</f>
        <v>2.3477643739199999E-2</v>
      </c>
      <c r="AJ545" s="106">
        <f>+'Regulatory Charge'!AD545+Fuel!AD545+PCM!AE545+Interest!AD545+'O&amp;M'!AF545+'Capex &amp; Depr'!AF545+Debt!AG545+Pat.!W545+Rates!AD545</f>
        <v>3.375200481240001E-2</v>
      </c>
      <c r="AK545" s="106">
        <f>+'Regulatory Charge'!AE545+Fuel!AE545+PCM!AF545+Interest!AE545+'O&amp;M'!AG545+'Capex &amp; Depr'!AG545+Debt!AH545+Pat.!X545+Rates!AE545</f>
        <v>5.0143841090000002E-2</v>
      </c>
      <c r="AL545" s="106">
        <f>+'Regulatory Charge'!AF545+Fuel!AF545+PCM!AG545+Interest!AF545+'O&amp;M'!AH545+'Capex &amp; Depr'!AH545+Debt!AI545+Pat.!Y545+Rates!AF545</f>
        <v>5.0848931936600006E-2</v>
      </c>
      <c r="AM545" s="106">
        <f>+'Regulatory Charge'!AG545+Fuel!AG545+PCM!AH545+Interest!AG545+'O&amp;M'!AI545+'Capex &amp; Depr'!AI545+Debt!AJ545+Pat.!Z545+Rates!AG545</f>
        <v>4.9312121600000008E-2</v>
      </c>
      <c r="AN545" s="106">
        <f>+'Regulatory Charge'!AH545+Fuel!AH545+PCM!AI545+Interest!AH545+'O&amp;M'!AJ545+'Capex &amp; Depr'!AJ545+Debt!AK545+Pat.!AA545+Rates!AH545</f>
        <v>3.3885112940000003E-2</v>
      </c>
      <c r="AO545" s="106">
        <f>+'Regulatory Charge'!AI545+Fuel!AI545+PCM!AJ545+Interest!AI545+'O&amp;M'!AK545+'Capex &amp; Depr'!AK545+Debt!AL545+Pat.!AB545+Rates!AI545</f>
        <v>2.7715548473200007E-2</v>
      </c>
      <c r="AP545" s="106">
        <f>+'Regulatory Charge'!AJ545+Fuel!AJ545+PCM!AK545+Interest!AJ545+'O&amp;M'!AL545+'Capex &amp; Depr'!AL545+Debt!AM545+Pat.!AC545+Rates!AJ545</f>
        <v>2.8912782600800008E-2</v>
      </c>
      <c r="AQ545" s="106">
        <f>+'Regulatory Charge'!AK545+Fuel!AK545+PCM!AL545+Interest!AK545+'O&amp;M'!AM545+'Capex &amp; Depr'!AM545+Debt!AN545+Pat.!AD545+Rates!AK545</f>
        <v>2.4606799000000002E-2</v>
      </c>
      <c r="AR545" s="224">
        <f t="shared" si="11"/>
        <v>0.38806282142460002</v>
      </c>
      <c r="AS545" s="106">
        <f>+'Regulatory Charge'!AM545+Fuel!AM545+PCM!AN545+Interest!AM545+'O&amp;M'!AO545+'Capex &amp; Depr'!AO545+Debt!AP545+Pat.!AF545+Rates!AM545</f>
        <v>0.39661577481269805</v>
      </c>
      <c r="AT545" s="106">
        <f>+'Regulatory Charge'!AN545+Fuel!AN545+PCM!AO545+Interest!AN545+'O&amp;M'!AP545+'Capex &amp; Depr'!AP545+Debt!AQ545+Pat.!AG545+Rates!AN545</f>
        <v>0.41157678679231813</v>
      </c>
      <c r="AU545" s="106">
        <f>+'Regulatory Charge'!AO545+Fuel!AO545+PCM!AP545+Interest!AO545+'O&amp;M'!AQ545+'Capex &amp; Depr'!AQ545+Debt!AR545+Pat.!AH545+Rates!AO545</f>
        <v>0.42392409039608769</v>
      </c>
      <c r="AV545" s="106">
        <f>+'Regulatory Charge'!AP545+Fuel!AP545+PCM!AQ545+Interest!AP545+'O&amp;M'!AR545+'Capex &amp; Depr'!AR545+Debt!AS545+Pat.!AI545+Rates!AP545</f>
        <v>0.43664181310797034</v>
      </c>
      <c r="AW545" s="106">
        <f>+'Regulatory Charge'!AQ545+Fuel!AQ545+PCM!AR545+Interest!AQ545+'O&amp;M'!AS545+'Capex &amp; Depr'!AS545+Debt!AT545+Pat.!AJ545+Rates!AQ545</f>
        <v>0.44974106750120946</v>
      </c>
      <c r="AX545" s="106">
        <f>+'Regulatory Charge'!AR545+Fuel!AR545+PCM!AS545+Interest!AR545+'O&amp;M'!AT545+'Capex &amp; Depr'!AT545+Debt!AU545+Pat.!AK545+Rates!AR545</f>
        <v>0.46323329952624576</v>
      </c>
      <c r="AY545" s="106">
        <f>+'Regulatory Charge'!AS545+Fuel!AS545+PCM!AT545+Interest!AS545+'O&amp;M'!AU545+'Capex &amp; Depr'!AU545+Debt!AV545+Pat.!AL545+Rates!AS545</f>
        <v>0.47713029851203315</v>
      </c>
      <c r="AZ545" s="106">
        <f>+'Regulatory Charge'!AT545+Fuel!AT545+PCM!AU545+Interest!AT545+'O&amp;M'!AV545+'Capex &amp; Depr'!AV545+Debt!AW545+Pat.!AM545+Rates!AT545</f>
        <v>0.49144420746739415</v>
      </c>
      <c r="BA545" s="106">
        <f>+'Regulatory Charge'!AU545+Fuel!AU545+PCM!AV545+Interest!AU545+'O&amp;M'!AW545+'Capex &amp; Depr'!AW545+Debt!AX545+Pat.!AN545+Rates!AU545</f>
        <v>0.506187533691416</v>
      </c>
      <c r="BB545" s="106">
        <f>+'Regulatory Charge'!AV545+Fuel!AV545+PCM!AW545+Interest!AV545+'O&amp;M'!AX545+'Capex &amp; Depr'!AX545+Debt!AY545+Pat.!AO545+Rates!AV545</f>
        <v>0.52137315970215847</v>
      </c>
      <c r="BC545" s="106">
        <f>+'Regulatory Charge'!AW545+Fuel!AW545+PCM!AX545+Interest!AW545+'O&amp;M'!AY545+'Capex &amp; Depr'!AY545+Debt!AZ545+Pat.!AP545+Rates!AW545</f>
        <v>0.53701435449322321</v>
      </c>
      <c r="BD545" s="106"/>
      <c r="BE545" s="106"/>
    </row>
    <row r="546" spans="1:57">
      <c r="A546" s="849" t="s">
        <v>802</v>
      </c>
      <c r="B546" s="846" t="s">
        <v>991</v>
      </c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224"/>
      <c r="S546" s="106">
        <f>+'Regulatory Charge'!M546+Fuel!M546+PCM!N546+Interest!M546+'O&amp;M'!O546+'Capex &amp; Depr'!O546+Debt!P546+Pat.!F546+Rates!M546</f>
        <v>9.5071673118463138E-2</v>
      </c>
      <c r="T546" s="106">
        <f>+'Regulatory Charge'!N546+Fuel!N546+PCM!O546+Interest!N546+'O&amp;M'!P546+'Capex &amp; Depr'!P546+Debt!Q546+Pat.!G546+Rates!N546</f>
        <v>9.1881348517172431E-2</v>
      </c>
      <c r="U546" s="106">
        <f>+'Regulatory Charge'!O546+Fuel!O546+PCM!P546+Interest!O546+'O&amp;M'!Q546+'Capex &amp; Depr'!Q546+Debt!R546+Pat.!H546+Rates!O546</f>
        <v>9.8900062640011985E-2</v>
      </c>
      <c r="V546" s="106">
        <f>+'Regulatory Charge'!P546+Fuel!P546+PCM!Q546+Interest!P546+'O&amp;M'!R546+'Capex &amp; Depr'!R546+Debt!S546+Pat.!I546+Rates!P546</f>
        <v>9.443360819820501E-2</v>
      </c>
      <c r="W546" s="106">
        <f>+'Regulatory Charge'!Q546+Fuel!Q546+PCM!R546+Interest!Q546+'O&amp;M'!S546+'Capex &amp; Depr'!S546+Debt!T546+Pat.!J546+Rates!Q546</f>
        <v>0.10017619248052828</v>
      </c>
      <c r="X546" s="106">
        <f>+'Regulatory Charge'!R546+Fuel!R546+PCM!S546+Interest!R546+'O&amp;M'!T546+'Capex &amp; Depr'!T546+Debt!U546+Pat.!K546+Rates!R546</f>
        <v>8.6776829155107302E-2</v>
      </c>
      <c r="Y546" s="106">
        <f>+'Regulatory Charge'!S546+Fuel!S546+PCM!T546+Interest!S546+'O&amp;M'!U546+'Capex &amp; Depr'!U546+Debt!V546+Pat.!L546+Rates!S546</f>
        <v>9.443360819820501E-2</v>
      </c>
      <c r="Z546" s="106">
        <f>+'Regulatory Charge'!T546+Fuel!T546+PCM!U546+Interest!T546+'O&amp;M'!V546+'Capex &amp; Depr'!V546+Debt!W546+Pat.!M546+Rates!T546</f>
        <v>0.10017619248052828</v>
      </c>
      <c r="AA546" s="106">
        <f>+'Regulatory Charge'!U546+Fuel!U546+PCM!V546+Interest!U546+'O&amp;M'!W546+'Capex &amp; Depr'!W546+Debt!X546+Pat.!N546+Rates!U546</f>
        <v>8.6831289396840011E-2</v>
      </c>
      <c r="AB546" s="106">
        <f>+'Regulatory Charge'!V546+Fuel!V546+PCM!W546+Interest!V546+'O&amp;M'!X546+'Capex &amp; Depr'!X546+Debt!Y546+Pat.!O546+Rates!V546</f>
        <v>0.10423501176654139</v>
      </c>
      <c r="AC546" s="106">
        <f>+'Regulatory Charge'!W546+Fuel!W546+PCM!X546+Interest!W546+'O&amp;M'!Y546+'Capex &amp; Depr'!Y546+Debt!Z546+Pat.!P546+Rates!W546</f>
        <v>8.6754606066562392E-2</v>
      </c>
      <c r="AD546" s="106">
        <f>+'Regulatory Charge'!X546+Fuel!X546+PCM!Y546+Interest!X546+'O&amp;M'!Z546+'Capex &amp; Depr'!Z546+Debt!AA546+Pat.!Q546+Rates!X546</f>
        <v>8.9344295799892601E-2</v>
      </c>
      <c r="AE546" s="224">
        <f t="shared" si="10"/>
        <v>1.1290147178180578</v>
      </c>
      <c r="AF546" s="106">
        <f>+'Regulatory Charge'!Z546+Fuel!Z546+PCM!AA546+Interest!Z546+'O&amp;M'!AB546+'Capex &amp; Depr'!AB546+Debt!AC546+Pat.!S546+Rates!Z546</f>
        <v>9.3782638998233234E-2</v>
      </c>
      <c r="AG546" s="106">
        <f>+'Regulatory Charge'!AA546+Fuel!AA546+PCM!AB546+Interest!AA546+'O&amp;M'!AC546+'Capex &amp; Depr'!AC546+Debt!AD546+Pat.!T546+Rates!AA546</f>
        <v>9.0635570575473723E-2</v>
      </c>
      <c r="AH546" s="106">
        <f>+'Regulatory Charge'!AB546+Fuel!AB546+PCM!AC546+Interest!AB546+'O&amp;M'!AD546+'Capex &amp; Depr'!AD546+Debt!AE546+Pat.!U546+Rates!AB546</f>
        <v>9.7559121105544627E-2</v>
      </c>
      <c r="AI546" s="106">
        <f>+'Regulatory Charge'!AC546+Fuel!AC546+PCM!AD546+Interest!AC546+'O&amp;M'!AE546+'Capex &amp; Depr'!AE546+Debt!AF546+Pat.!V546+Rates!AC546</f>
        <v>9.3153225313681323E-2</v>
      </c>
      <c r="AJ546" s="106">
        <f>+'Regulatory Charge'!AD546+Fuel!AD546+PCM!AE546+Interest!AD546+'O&amp;M'!AF546+'Capex &amp; Depr'!AF546+Debt!AG546+Pat.!W546+Rates!AD546</f>
        <v>9.8817948474648434E-2</v>
      </c>
      <c r="AK546" s="106">
        <f>+'Regulatory Charge'!AE546+Fuel!AE546+PCM!AF546+Interest!AE546+'O&amp;M'!AG546+'Capex &amp; Depr'!AG546+Debt!AH546+Pat.!X546+Rates!AE546</f>
        <v>8.5600261099058508E-2</v>
      </c>
      <c r="AL546" s="106">
        <f>+'Regulatory Charge'!AF546+Fuel!AF546+PCM!AG546+Interest!AF546+'O&amp;M'!AH546+'Capex &amp; Depr'!AH546+Debt!AI546+Pat.!Y546+Rates!AF546</f>
        <v>9.3153225313681323E-2</v>
      </c>
      <c r="AM546" s="106">
        <f>+'Regulatory Charge'!AG546+Fuel!AG546+PCM!AH546+Interest!AG546+'O&amp;M'!AI546+'Capex &amp; Depr'!AI546+Debt!AJ546+Pat.!Z546+Rates!AG546</f>
        <v>9.8817948474648434E-2</v>
      </c>
      <c r="AN546" s="106">
        <f>+'Regulatory Charge'!AH546+Fuel!AH546+PCM!AI546+Interest!AH546+'O&amp;M'!AJ546+'Capex &amp; Depr'!AJ546+Debt!AK546+Pat.!AA546+Rates!AH546</f>
        <v>8.563465740618631E-2</v>
      </c>
      <c r="AO546" s="106">
        <f>+'Regulatory Charge'!AI546+Fuel!AI546+PCM!AJ546+Interest!AI546+'O&amp;M'!AK546+'Capex &amp; Depr'!AK546+Debt!AL546+Pat.!AB546+Rates!AI546</f>
        <v>0.1027982002289542</v>
      </c>
      <c r="AP546" s="106">
        <f>+'Regulatory Charge'!AJ546+Fuel!AJ546+PCM!AK546+Interest!AJ546+'O&amp;M'!AL546+'Capex &amp; Depr'!AL546+Debt!AM546+Pat.!AC546+Rates!AJ546</f>
        <v>8.5558750501117165E-2</v>
      </c>
      <c r="AQ546" s="106">
        <f>+'Regulatory Charge'!AK546+Fuel!AK546+PCM!AL546+Interest!AK546+'O&amp;M'!AM546+'Capex &amp; Depr'!AM546+Debt!AN546+Pat.!AD546+Rates!AK546</f>
        <v>8.8112743053389314E-2</v>
      </c>
      <c r="AR546" s="224">
        <f t="shared" si="11"/>
        <v>1.1136242905446165</v>
      </c>
      <c r="AS546" s="106">
        <f>+'Regulatory Charge'!AM546+Fuel!AM546+PCM!AN546+Interest!AM546+'O&amp;M'!AO546+'Capex &amp; Depr'!AO546+Debt!AP546+Pat.!AF546+Rates!AM546</f>
        <v>1.1410738128390767</v>
      </c>
      <c r="AT546" s="106">
        <f>+'Regulatory Charge'!AN546+Fuel!AN546+PCM!AO546+Interest!AN546+'O&amp;M'!AP546+'Capex &amp; Depr'!AP546+Debt!AQ546+Pat.!AG546+Rates!AN546</f>
        <v>1.1691584890305138</v>
      </c>
      <c r="AU546" s="106">
        <f>+'Regulatory Charge'!AO546+Fuel!AO546+PCM!AP546+Interest!AO546+'O&amp;M'!AQ546+'Capex &amp; Depr'!AQ546+Debt!AR546+Pat.!AH546+Rates!AO546</f>
        <v>1.2042332437014291</v>
      </c>
      <c r="AV546" s="106">
        <f>+'Regulatory Charge'!AP546+Fuel!AP546+PCM!AQ546+Interest!AP546+'O&amp;M'!AR546+'Capex &amp; Depr'!AR546+Debt!AS546+Pat.!AI546+Rates!AP546</f>
        <v>1.2403602410124721</v>
      </c>
      <c r="AW546" s="106">
        <f>+'Regulatory Charge'!AQ546+Fuel!AQ546+PCM!AR546+Interest!AQ546+'O&amp;M'!AS546+'Capex &amp; Depr'!AS546+Debt!AT546+Pat.!AJ546+Rates!AQ546</f>
        <v>1.2775710482428464</v>
      </c>
      <c r="AX546" s="106">
        <f>+'Regulatory Charge'!AR546+Fuel!AR546+PCM!AS546+Interest!AR546+'O&amp;M'!AT546+'Capex &amp; Depr'!AT546+Debt!AU546+Pat.!AK546+Rates!AR546</f>
        <v>1.3158981796901319</v>
      </c>
      <c r="AY546" s="106">
        <f>+'Regulatory Charge'!AS546+Fuel!AS546+PCM!AT546+Interest!AS546+'O&amp;M'!AU546+'Capex &amp; Depr'!AU546+Debt!AV546+Pat.!AL546+Rates!AS546</f>
        <v>1.3553751250808359</v>
      </c>
      <c r="AZ546" s="106">
        <f>+'Regulatory Charge'!AT546+Fuel!AT546+PCM!AU546+Interest!AT546+'O&amp;M'!AV546+'Capex &amp; Depr'!AV546+Debt!AW546+Pat.!AM546+Rates!AT546</f>
        <v>1.396036378833261</v>
      </c>
      <c r="BA546" s="106">
        <f>+'Regulatory Charge'!AU546+Fuel!AU546+PCM!AV546+Interest!AU546+'O&amp;M'!AW546+'Capex &amp; Depr'!AW546+Debt!AX546+Pat.!AN546+Rates!AU546</f>
        <v>1.4379174701982589</v>
      </c>
      <c r="BB546" s="106">
        <f>+'Regulatory Charge'!AV546+Fuel!AV546+PCM!AW546+Interest!AV546+'O&amp;M'!AX546+'Capex &amp; Depr'!AX546+Debt!AY546+Pat.!AO546+Rates!AV546</f>
        <v>1.4810549943042066</v>
      </c>
      <c r="BC546" s="106">
        <f>+'Regulatory Charge'!AW546+Fuel!AW546+PCM!AX546+Interest!AW546+'O&amp;M'!AY546+'Capex &amp; Depr'!AY546+Debt!AZ546+Pat.!AP546+Rates!AW546</f>
        <v>1.5254866441333328</v>
      </c>
      <c r="BD546" s="106"/>
      <c r="BE546" s="106"/>
    </row>
    <row r="547" spans="1:57">
      <c r="A547" s="849">
        <v>571.1</v>
      </c>
      <c r="B547" s="846" t="s">
        <v>991</v>
      </c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224"/>
      <c r="S547" s="106">
        <f>+'Regulatory Charge'!M547+Fuel!M547+PCM!N547+Interest!M547+'O&amp;M'!O547+'Capex &amp; Depr'!O547+Debt!P547+Pat.!F547+Rates!M547</f>
        <v>6.2634239999999994E-2</v>
      </c>
      <c r="T547" s="106">
        <f>+'Regulatory Charge'!N547+Fuel!N547+PCM!O547+Interest!N547+'O&amp;M'!P547+'Capex &amp; Depr'!P547+Debt!Q547+Pat.!G547+Rates!N547</f>
        <v>6.2514239999999999E-2</v>
      </c>
      <c r="U547" s="106">
        <f>+'Regulatory Charge'!O547+Fuel!O547+PCM!P547+Interest!O547+'O&amp;M'!Q547+'Capex &amp; Depr'!Q547+Debt!R547+Pat.!H547+Rates!O547</f>
        <v>8.9640144000000005E-2</v>
      </c>
      <c r="V547" s="106">
        <f>+'Regulatory Charge'!P547+Fuel!P547+PCM!Q547+Interest!P547+'O&amp;M'!R547+'Capex &amp; Depr'!R547+Debt!S547+Pat.!I547+Rates!P547</f>
        <v>7.0031040000000003E-2</v>
      </c>
      <c r="W547" s="106">
        <f>+'Regulatory Charge'!Q547+Fuel!Q547+PCM!R547+Interest!Q547+'O&amp;M'!S547+'Capex &amp; Depr'!S547+Debt!T547+Pat.!J547+Rates!Q547</f>
        <v>9.8005439999999999E-2</v>
      </c>
      <c r="X547" s="106">
        <f>+'Regulatory Charge'!R547+Fuel!R547+PCM!S547+Interest!R547+'O&amp;M'!T547+'Capex &amp; Depr'!T547+Debt!U547+Pat.!K547+Rates!R547</f>
        <v>0.15408048000000002</v>
      </c>
      <c r="Y547" s="106">
        <f>+'Regulatory Charge'!S547+Fuel!S547+PCM!T547+Interest!S547+'O&amp;M'!U547+'Capex &amp; Depr'!U547+Debt!V547+Pat.!L547+Rates!S547</f>
        <v>0.15288864000000002</v>
      </c>
      <c r="Z547" s="106">
        <f>+'Regulatory Charge'!T547+Fuel!T547+PCM!U547+Interest!T547+'O&amp;M'!V547+'Capex &amp; Depr'!V547+Debt!W547+Pat.!M547+Rates!T547</f>
        <v>0.10008863999999998</v>
      </c>
      <c r="AA547" s="106">
        <f>+'Regulatory Charge'!U547+Fuel!U547+PCM!V547+Interest!U547+'O&amp;M'!W547+'Capex &amp; Depr'!W547+Debt!X547+Pat.!N547+Rates!U547</f>
        <v>7.1198735999999999E-2</v>
      </c>
      <c r="AB547" s="106">
        <f>+'Regulatory Charge'!V547+Fuel!V547+PCM!W547+Interest!V547+'O&amp;M'!X547+'Capex &amp; Depr'!X547+Debt!Y547+Pat.!O547+Rates!V547</f>
        <v>6.0114239999999999E-2</v>
      </c>
      <c r="AC547" s="106">
        <f>+'Regulatory Charge'!W547+Fuel!W547+PCM!X547+Interest!W547+'O&amp;M'!Y547+'Capex &amp; Depr'!Y547+Debt!Z547+Pat.!P547+Rates!W547</f>
        <v>6.2514239999999999E-2</v>
      </c>
      <c r="AD547" s="106">
        <f>+'Regulatory Charge'!X547+Fuel!X547+PCM!Y547+Interest!X547+'O&amp;M'!Z547+'Capex &amp; Depr'!Z547+Debt!AA547+Pat.!Q547+Rates!X547</f>
        <v>6.2431199999999999E-2</v>
      </c>
      <c r="AE547" s="224">
        <f t="shared" si="10"/>
        <v>1.0461412800000001</v>
      </c>
      <c r="AF547" s="106">
        <f>+'Regulatory Charge'!Z547+Fuel!Z547+PCM!AA547+Interest!Z547+'O&amp;M'!AB547+'Capex &amp; Depr'!AB547+Debt!AC547+Pat.!S547+Rates!Z547</f>
        <v>6.4895299199999992E-2</v>
      </c>
      <c r="AG547" s="106">
        <f>+'Regulatory Charge'!AA547+Fuel!AA547+PCM!AB547+Interest!AA547+'O&amp;M'!AC547+'Capex &amp; Depr'!AC547+Debt!AD547+Pat.!T547+Rates!AA547</f>
        <v>6.4771699199999991E-2</v>
      </c>
      <c r="AH547" s="106">
        <f>+'Regulatory Charge'!AB547+Fuel!AB547+PCM!AC547+Interest!AB547+'O&amp;M'!AD547+'Capex &amp; Depr'!AD547+Debt!AE547+Pat.!U547+Rates!AB547</f>
        <v>9.4589122396799993E-2</v>
      </c>
      <c r="AI547" s="106">
        <f>+'Regulatory Charge'!AC547+Fuel!AC547+PCM!AD547+Interest!AC547+'O&amp;M'!AE547+'Capex &amp; Depr'!AE547+Debt!AF547+Pat.!V547+Rates!AC547</f>
        <v>8.0494778534399999E-2</v>
      </c>
      <c r="AJ547" s="106">
        <f>+'Regulatory Charge'!AD547+Fuel!AD547+PCM!AE547+Interest!AD547+'O&amp;M'!AF547+'Capex &amp; Depr'!AF547+Debt!AG547+Pat.!W547+Rates!AD547</f>
        <v>0.11572115935680001</v>
      </c>
      <c r="AK547" s="106">
        <f>+'Regulatory Charge'!AE547+Fuel!AE547+PCM!AF547+Interest!AE547+'O&amp;M'!AG547+'Capex &amp; Depr'!AG547+Debt!AH547+Pat.!X547+Rates!AE547</f>
        <v>0.17192174088000001</v>
      </c>
      <c r="AL547" s="106">
        <f>+'Regulatory Charge'!AF547+Fuel!AF547+PCM!AG547+Interest!AF547+'O&amp;M'!AH547+'Capex &amp; Depr'!AH547+Debt!AI547+Pat.!Y547+Rates!AF547</f>
        <v>0.17433919521119998</v>
      </c>
      <c r="AM547" s="106">
        <f>+'Regulatory Charge'!AG547+Fuel!AG547+PCM!AH547+Interest!AG547+'O&amp;M'!AI547+'Capex &amp; Depr'!AI547+Debt!AJ547+Pat.!Z547+Rates!AG547</f>
        <v>0.1690701312</v>
      </c>
      <c r="AN547" s="106">
        <f>+'Regulatory Charge'!AH547+Fuel!AH547+PCM!AI547+Interest!AH547+'O&amp;M'!AJ547+'Capex &amp; Depr'!AJ547+Debt!AK547+Pat.!AA547+Rates!AH547</f>
        <v>0.11617753008000001</v>
      </c>
      <c r="AO547" s="106">
        <f>+'Regulatory Charge'!AI547+Fuel!AI547+PCM!AJ547+Interest!AI547+'O&amp;M'!AK547+'Capex &amp; Depr'!AK547+Debt!AL547+Pat.!AB547+Rates!AI547</f>
        <v>9.5024737622400005E-2</v>
      </c>
      <c r="AP547" s="106">
        <f>+'Regulatory Charge'!AJ547+Fuel!AJ547+PCM!AK547+Interest!AJ547+'O&amp;M'!AL547+'Capex &amp; Depr'!AL547+Debt!AM547+Pat.!AC547+Rates!AJ547</f>
        <v>9.9129540345600009E-2</v>
      </c>
      <c r="AQ547" s="106">
        <f>+'Regulatory Charge'!AK547+Fuel!AK547+PCM!AL547+Interest!AK547+'O&amp;M'!AM547+'Capex &amp; Depr'!AM547+Debt!AN547+Pat.!AD547+Rates!AK547</f>
        <v>8.4366168000000005E-2</v>
      </c>
      <c r="AR547" s="224">
        <f t="shared" si="11"/>
        <v>1.3305011020272002</v>
      </c>
      <c r="AS547" s="106">
        <f>+'Regulatory Charge'!AM547+Fuel!AM547+PCM!AN547+Interest!AM547+'O&amp;M'!AO547+'Capex &amp; Depr'!AO547+Debt!AP547+Pat.!AF547+Rates!AM547</f>
        <v>1.3598255136435358</v>
      </c>
      <c r="AT547" s="106">
        <f>+'Regulatory Charge'!AN547+Fuel!AN547+PCM!AO547+Interest!AN547+'O&amp;M'!AP547+'Capex &amp; Depr'!AP547+Debt!AQ547+Pat.!AG547+Rates!AN547</f>
        <v>1.4111204118593763</v>
      </c>
      <c r="AU547" s="106">
        <f>+'Regulatory Charge'!AO547+Fuel!AO547+PCM!AP547+Interest!AO547+'O&amp;M'!AQ547+'Capex &amp; Depr'!AQ547+Debt!AR547+Pat.!AH547+Rates!AO547</f>
        <v>1.4534540242151577</v>
      </c>
      <c r="AV547" s="106">
        <f>+'Regulatory Charge'!AP547+Fuel!AP547+PCM!AQ547+Interest!AP547+'O&amp;M'!AR547+'Capex &amp; Depr'!AR547+Debt!AS547+Pat.!AI547+Rates!AP547</f>
        <v>1.4970576449416124</v>
      </c>
      <c r="AW547" s="106">
        <f>+'Regulatory Charge'!AQ547+Fuel!AQ547+PCM!AR547+Interest!AQ547+'O&amp;M'!AS547+'Capex &amp; Depr'!AS547+Debt!AT547+Pat.!AJ547+Rates!AQ547</f>
        <v>1.5419693742898608</v>
      </c>
      <c r="AX547" s="106">
        <f>+'Regulatory Charge'!AR547+Fuel!AR547+PCM!AS547+Interest!AR547+'O&amp;M'!AT547+'Capex &amp; Depr'!AT547+Debt!AU547+Pat.!AK547+Rates!AR547</f>
        <v>1.5882284555185566</v>
      </c>
      <c r="AY547" s="106">
        <f>+'Regulatory Charge'!AS547+Fuel!AS547+PCM!AT547+Interest!AS547+'O&amp;M'!AU547+'Capex &amp; Depr'!AU547+Debt!AV547+Pat.!AL547+Rates!AS547</f>
        <v>1.6358753091841134</v>
      </c>
      <c r="AZ547" s="106">
        <f>+'Regulatory Charge'!AT547+Fuel!AT547+PCM!AU547+Interest!AT547+'O&amp;M'!AV547+'Capex &amp; Depr'!AV547+Debt!AW547+Pat.!AM547+Rates!AT547</f>
        <v>1.6849515684596368</v>
      </c>
      <c r="BA547" s="106">
        <f>+'Regulatory Charge'!AU547+Fuel!AU547+PCM!AV547+Interest!AU547+'O&amp;M'!AW547+'Capex &amp; Depr'!AW547+Debt!AX547+Pat.!AN547+Rates!AU547</f>
        <v>1.735500115513426</v>
      </c>
      <c r="BB547" s="106">
        <f>+'Regulatory Charge'!AV547+Fuel!AV547+PCM!AW547+Interest!AV547+'O&amp;M'!AX547+'Capex &amp; Depr'!AX547+Debt!AY547+Pat.!AO547+Rates!AV547</f>
        <v>1.7875651189788289</v>
      </c>
      <c r="BC547" s="106">
        <f>+'Regulatory Charge'!AW547+Fuel!AW547+PCM!AX547+Interest!AW547+'O&amp;M'!AY547+'Capex &amp; Depr'!AY547+Debt!AZ547+Pat.!AP547+Rates!AW547</f>
        <v>1.8411920725481938</v>
      </c>
      <c r="BD547" s="106"/>
      <c r="BE547" s="106"/>
    </row>
    <row r="548" spans="1:57">
      <c r="A548" s="849" t="s">
        <v>804</v>
      </c>
      <c r="B548" s="846" t="s">
        <v>992</v>
      </c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224"/>
      <c r="S548" s="106">
        <f>+'Regulatory Charge'!M548+Fuel!M548+PCM!N548+Interest!M548+'O&amp;M'!O548+'Capex &amp; Depr'!O548+Debt!P548+Pat.!F548+Rates!M548</f>
        <v>9.2504441378465814E-3</v>
      </c>
      <c r="T548" s="106">
        <f>+'Regulatory Charge'!N548+Fuel!N548+PCM!O548+Interest!N548+'O&amp;M'!P548+'Capex &amp; Depr'!P548+Debt!Q548+Pat.!G548+Rates!N548</f>
        <v>8.9400265493282428E-3</v>
      </c>
      <c r="U548" s="106">
        <f>+'Regulatory Charge'!O548+Fuel!O548+PCM!P548+Interest!O548+'O&amp;M'!Q548+'Capex &amp; Depr'!Q548+Debt!R548+Pat.!H548+Rates!O548</f>
        <v>9.6229452440685943E-3</v>
      </c>
      <c r="V548" s="106">
        <f>+'Regulatory Charge'!P548+Fuel!P548+PCM!Q548+Interest!P548+'O&amp;M'!R548+'Capex &amp; Depr'!R548+Debt!S548+Pat.!I548+Rates!P548</f>
        <v>9.1883606201429158E-3</v>
      </c>
      <c r="W548" s="106">
        <f>+'Regulatory Charge'!Q548+Fuel!Q548+PCM!R548+Interest!Q548+'O&amp;M'!S548+'Capex &amp; Depr'!S548+Debt!T548+Pat.!J548+Rates!Q548</f>
        <v>9.7471122794759307E-3</v>
      </c>
      <c r="X548" s="106">
        <f>+'Regulatory Charge'!R548+Fuel!R548+PCM!S548+Interest!R548+'O&amp;M'!T548+'Capex &amp; Depr'!T548+Debt!U548+Pat.!K548+Rates!R548</f>
        <v>8.4433584076988935E-3</v>
      </c>
      <c r="Y548" s="106">
        <f>+'Regulatory Charge'!S548+Fuel!S548+PCM!T548+Interest!S548+'O&amp;M'!U548+'Capex &amp; Depr'!U548+Debt!V548+Pat.!L548+Rates!S548</f>
        <v>9.1883606201429158E-3</v>
      </c>
      <c r="Z548" s="106">
        <f>+'Regulatory Charge'!T548+Fuel!T548+PCM!U548+Interest!T548+'O&amp;M'!V548+'Capex &amp; Depr'!V548+Debt!W548+Pat.!M548+Rates!T548</f>
        <v>9.7471122794759307E-3</v>
      </c>
      <c r="AA548" s="106">
        <f>+'Regulatory Charge'!U548+Fuel!U548+PCM!V548+Interest!U548+'O&amp;M'!W548+'Capex &amp; Depr'!W548+Debt!X548+Pat.!N548+Rates!U548</f>
        <v>8.4433584076988935E-3</v>
      </c>
      <c r="AB548" s="106">
        <f>+'Regulatory Charge'!V548+Fuel!V548+PCM!W548+Interest!V548+'O&amp;M'!X548+'Capex &amp; Depr'!X548+Debt!Y548+Pat.!O548+Rates!V548</f>
        <v>1.0155678382446147E-2</v>
      </c>
      <c r="AC548" s="106">
        <f>+'Regulatory Charge'!W548+Fuel!W548+PCM!X548+Interest!W548+'O&amp;M'!Y548+'Capex &amp; Depr'!Y548+Debt!Z548+Pat.!P548+Rates!W548</f>
        <v>8.4525521940856125E-3</v>
      </c>
      <c r="AD548" s="106">
        <f>+'Regulatory Charge'!X548+Fuel!X548+PCM!Y548+Interest!X548+'O&amp;M'!Z548+'Capex &amp; Depr'!Z548+Debt!AA548+Pat.!Q548+Rates!X548</f>
        <v>8.7048671849538403E-3</v>
      </c>
      <c r="AE548" s="224">
        <f t="shared" si="10"/>
        <v>0.10988417630736448</v>
      </c>
      <c r="AF548" s="106">
        <f>+'Regulatory Charge'!Z548+Fuel!Z548+PCM!AA548+Interest!Z548+'O&amp;M'!AB548+'Capex &amp; Depr'!AB548+Debt!AC548+Pat.!S548+Rates!Z548</f>
        <v>9.1193732453083189E-3</v>
      </c>
      <c r="AG548" s="106">
        <f>+'Regulatory Charge'!AA548+Fuel!AA548+PCM!AB548+Interest!AA548+'O&amp;M'!AC548+'Capex &amp; Depr'!AC548+Debt!AD548+Pat.!T548+Rates!AA548</f>
        <v>8.8133540088885763E-3</v>
      </c>
      <c r="AH548" s="106">
        <f>+'Regulatory Charge'!AB548+Fuel!AB548+PCM!AC548+Interest!AB548+'O&amp;M'!AD548+'Capex &amp; Depr'!AD548+Debt!AE548+Pat.!U548+Rates!AB548</f>
        <v>9.4865963290120103E-3</v>
      </c>
      <c r="AI548" s="106">
        <f>+'Regulatory Charge'!AC548+Fuel!AC548+PCM!AD548+Interest!AC548+'O&amp;M'!AE548+'Capex &amp; Depr'!AE548+Debt!AF548+Pat.!V548+Rates!AC548</f>
        <v>9.0581693980243683E-3</v>
      </c>
      <c r="AJ548" s="106">
        <f>+'Regulatory Charge'!AD548+Fuel!AD548+PCM!AE548+Interest!AD548+'O&amp;M'!AF548+'Capex &amp; Depr'!AF548+Debt!AG548+Pat.!W548+Rates!AD548</f>
        <v>9.609004023579908E-3</v>
      </c>
      <c r="AK548" s="106">
        <f>+'Regulatory Charge'!AE548+Fuel!AE548+PCM!AF548+Interest!AE548+'O&amp;M'!AG548+'Capex &amp; Depr'!AG548+Debt!AH548+Pat.!X548+Rates!AE548</f>
        <v>8.3237232306169907E-3</v>
      </c>
      <c r="AL548" s="106">
        <f>+'Regulatory Charge'!AF548+Fuel!AF548+PCM!AG548+Interest!AF548+'O&amp;M'!AH548+'Capex &amp; Depr'!AH548+Debt!AI548+Pat.!Y548+Rates!AF548</f>
        <v>9.0581693980243683E-3</v>
      </c>
      <c r="AM548" s="106">
        <f>+'Regulatory Charge'!AG548+Fuel!AG548+PCM!AH548+Interest!AG548+'O&amp;M'!AI548+'Capex &amp; Depr'!AI548+Debt!AJ548+Pat.!Z548+Rates!AG548</f>
        <v>9.609004023579908E-3</v>
      </c>
      <c r="AN548" s="106">
        <f>+'Regulatory Charge'!AH548+Fuel!AH548+PCM!AI548+Interest!AH548+'O&amp;M'!AJ548+'Capex &amp; Depr'!AJ548+Debt!AK548+Pat.!AA548+Rates!AH548</f>
        <v>8.3237232306169907E-3</v>
      </c>
      <c r="AO548" s="106">
        <f>+'Regulatory Charge'!AI548+Fuel!AI548+PCM!AJ548+Interest!AI548+'O&amp;M'!AK548+'Capex &amp; Depr'!AK548+Debt!AL548+Pat.!AB548+Rates!AI548</f>
        <v>1.0011805841426299E-2</v>
      </c>
      <c r="AP548" s="106">
        <f>+'Regulatory Charge'!AJ548+Fuel!AJ548+PCM!AK548+Interest!AJ548+'O&amp;M'!AL548+'Capex &amp; Depr'!AL548+Debt!AM548+Pat.!AC548+Rates!AJ548</f>
        <v>8.3328073462802747E-3</v>
      </c>
      <c r="AQ548" s="106">
        <f>+'Regulatory Charge'!AK548+Fuel!AK548+PCM!AL548+Interest!AK548+'O&amp;M'!AM548+'Capex &amp; Depr'!AM548+Debt!AN548+Pat.!AD548+Rates!AK548</f>
        <v>8.5815478640796847E-3</v>
      </c>
      <c r="AR548" s="224">
        <f t="shared" si="11"/>
        <v>0.10832727793943769</v>
      </c>
      <c r="AS548" s="106">
        <f>+'Regulatory Charge'!AM548+Fuel!AM548+PCM!AN548+Interest!AM548+'O&amp;M'!AO548+'Capex &amp; Depr'!AO548+Debt!AP548+Pat.!AF548+Rates!AM548</f>
        <v>0.11094063117733344</v>
      </c>
      <c r="AT548" s="106">
        <f>+'Regulatory Charge'!AN548+Fuel!AN548+PCM!AO548+Interest!AN548+'O&amp;M'!AP548+'Capex &amp; Depr'!AP548+Debt!AQ548+Pat.!AG548+Rates!AN548</f>
        <v>0.11362479323415875</v>
      </c>
      <c r="AU548" s="106">
        <f>+'Regulatory Charge'!AO548+Fuel!AO548+PCM!AP548+Interest!AO548+'O&amp;M'!AQ548+'Capex &amp; Depr'!AQ548+Debt!AR548+Pat.!AH548+Rates!AO548</f>
        <v>0.11703353703118352</v>
      </c>
      <c r="AV548" s="106">
        <f>+'Regulatory Charge'!AP548+Fuel!AP548+PCM!AQ548+Interest!AP548+'O&amp;M'!AR548+'Capex &amp; Depr'!AR548+Debt!AS548+Pat.!AI548+Rates!AP548</f>
        <v>0.12054454314211903</v>
      </c>
      <c r="AW548" s="106">
        <f>+'Regulatory Charge'!AQ548+Fuel!AQ548+PCM!AR548+Interest!AQ548+'O&amp;M'!AS548+'Capex &amp; Depr'!AS548+Debt!AT548+Pat.!AJ548+Rates!AQ548</f>
        <v>0.1241608794363826</v>
      </c>
      <c r="AX548" s="106">
        <f>+'Regulatory Charge'!AR548+Fuel!AR548+PCM!AS548+Interest!AR548+'O&amp;M'!AT548+'Capex &amp; Depr'!AT548+Debt!AU548+Pat.!AK548+Rates!AR548</f>
        <v>0.12788570581947409</v>
      </c>
      <c r="AY548" s="106">
        <f>+'Regulatory Charge'!AS548+Fuel!AS548+PCM!AT548+Interest!AS548+'O&amp;M'!AU548+'Capex &amp; Depr'!AU548+Debt!AV548+Pat.!AL548+Rates!AS548</f>
        <v>0.13172227699405831</v>
      </c>
      <c r="AZ548" s="106">
        <f>+'Regulatory Charge'!AT548+Fuel!AT548+PCM!AU548+Interest!AT548+'O&amp;M'!AV548+'Capex &amp; Depr'!AV548+Debt!AW548+Pat.!AM548+Rates!AT548</f>
        <v>0.13567394530388005</v>
      </c>
      <c r="BA548" s="106">
        <f>+'Regulatory Charge'!AU548+Fuel!AU548+PCM!AV548+Interest!AU548+'O&amp;M'!AW548+'Capex &amp; Depr'!AW548+Debt!AX548+Pat.!AN548+Rates!AU548</f>
        <v>0.13974416366299647</v>
      </c>
      <c r="BB548" s="106">
        <f>+'Regulatory Charge'!AV548+Fuel!AV548+PCM!AW548+Interest!AV548+'O&amp;M'!AX548+'Capex &amp; Depr'!AX548+Debt!AY548+Pat.!AO548+Rates!AV548</f>
        <v>0.14393648857288638</v>
      </c>
      <c r="BC548" s="106">
        <f>+'Regulatory Charge'!AW548+Fuel!AW548+PCM!AX548+Interest!AW548+'O&amp;M'!AY548+'Capex &amp; Depr'!AY548+Debt!AZ548+Pat.!AP548+Rates!AW548</f>
        <v>0.14825458323007298</v>
      </c>
      <c r="BD548" s="106"/>
      <c r="BE548" s="106"/>
    </row>
    <row r="549" spans="1:57">
      <c r="A549" s="849">
        <v>573.1</v>
      </c>
      <c r="B549" s="846" t="s">
        <v>992</v>
      </c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224"/>
      <c r="S549" s="106">
        <f>+'Regulatory Charge'!M549+Fuel!M549+PCM!N549+Interest!M549+'O&amp;M'!O549+'Capex &amp; Depr'!O549+Debt!P549+Pat.!F549+Rates!M549</f>
        <v>2.6446000000000001E-2</v>
      </c>
      <c r="T549" s="106">
        <f>+'Regulatory Charge'!N549+Fuel!N549+PCM!O549+Interest!N549+'O&amp;M'!P549+'Capex &amp; Depr'!P549+Debt!Q549+Pat.!G549+Rates!N549</f>
        <v>2.6534800000000001E-2</v>
      </c>
      <c r="U549" s="106">
        <f>+'Regulatory Charge'!O549+Fuel!O549+PCM!P549+Interest!O549+'O&amp;M'!Q549+'Capex &amp; Depr'!Q549+Debt!R549+Pat.!H549+Rates!O549</f>
        <v>3.7697659999999994E-2</v>
      </c>
      <c r="V549" s="106">
        <f>+'Regulatory Charge'!P549+Fuel!P549+PCM!Q549+Interest!P549+'O&amp;M'!R549+'Capex &amp; Depr'!R549+Debt!S549+Pat.!I549+Rates!P549</f>
        <v>2.9493800000000001E-2</v>
      </c>
      <c r="W549" s="106">
        <f>+'Regulatory Charge'!Q549+Fuel!Q549+PCM!R549+Interest!Q549+'O&amp;M'!S549+'Capex &amp; Depr'!S549+Debt!T549+Pat.!J549+Rates!Q549</f>
        <v>4.1543199999999995E-2</v>
      </c>
      <c r="X549" s="106">
        <f>+'Regulatory Charge'!R549+Fuel!R549+PCM!S549+Interest!R549+'O&amp;M'!T549+'Capex &amp; Depr'!T549+Debt!U549+Pat.!K549+Rates!R549</f>
        <v>6.4508799999999991E-2</v>
      </c>
      <c r="Y549" s="106">
        <f>+'Regulatory Charge'!S549+Fuel!S549+PCM!T549+Interest!S549+'O&amp;M'!U549+'Capex &amp; Depr'!U549+Debt!V549+Pat.!L549+Rates!S549</f>
        <v>6.4040799999999995E-2</v>
      </c>
      <c r="Z549" s="106">
        <f>+'Regulatory Charge'!T549+Fuel!T549+PCM!U549+Interest!T549+'O&amp;M'!V549+'Capex &amp; Depr'!V549+Debt!W549+Pat.!M549+Rates!T549</f>
        <v>4.2168800000000006E-2</v>
      </c>
      <c r="AA549" s="106">
        <f>+'Regulatory Charge'!U549+Fuel!U549+PCM!V549+Interest!U549+'O&amp;M'!W549+'Capex &amp; Depr'!W549+Debt!X549+Pat.!N549+Rates!U549</f>
        <v>2.9973739999999999E-2</v>
      </c>
      <c r="AB549" s="106">
        <f>+'Regulatory Charge'!V549+Fuel!V549+PCM!W549+Interest!V549+'O&amp;M'!X549+'Capex &amp; Depr'!X549+Debt!Y549+Pat.!O549+Rates!V549</f>
        <v>2.5368400000000003E-2</v>
      </c>
      <c r="AC549" s="106">
        <f>+'Regulatory Charge'!W549+Fuel!W549+PCM!X549+Interest!W549+'O&amp;M'!Y549+'Capex &amp; Depr'!Y549+Debt!Z549+Pat.!P549+Rates!W549</f>
        <v>2.6379200000000002E-2</v>
      </c>
      <c r="AD549" s="106">
        <f>+'Regulatory Charge'!X549+Fuel!X549+PCM!Y549+Interest!X549+'O&amp;M'!Z549+'Capex &amp; Depr'!Z549+Debt!AA549+Pat.!Q549+Rates!X549</f>
        <v>2.7324400000000002E-2</v>
      </c>
      <c r="AE549" s="224">
        <f t="shared" si="10"/>
        <v>0.44147959999999997</v>
      </c>
      <c r="AF549" s="106">
        <f>+'Regulatory Charge'!Z549+Fuel!Z549+PCM!AA549+Interest!Z549+'O&amp;M'!AB549+'Capex &amp; Depr'!AB549+Debt!AC549+Pat.!S549+Rates!Z549</f>
        <v>2.7395707999999998E-2</v>
      </c>
      <c r="AG549" s="106">
        <f>+'Regulatory Charge'!AA549+Fuel!AA549+PCM!AB549+Interest!AA549+'O&amp;M'!AC549+'Capex &amp; Depr'!AC549+Debt!AD549+Pat.!T549+Rates!AA549</f>
        <v>2.7482607999999999E-2</v>
      </c>
      <c r="AH549" s="106">
        <f>+'Regulatory Charge'!AB549+Fuel!AB549+PCM!AC549+Interest!AB549+'O&amp;M'!AD549+'Capex &amp; Depr'!AD549+Debt!AE549+Pat.!U549+Rates!AB549</f>
        <v>3.9768934331999996E-2</v>
      </c>
      <c r="AI549" s="106">
        <f>+'Regulatory Charge'!AC549+Fuel!AC549+PCM!AD549+Interest!AC549+'O&amp;M'!AE549+'Capex &amp; Depr'!AE549+Debt!AF549+Pat.!V549+Rates!AC549</f>
        <v>3.3860891056E-2</v>
      </c>
      <c r="AJ549" s="106">
        <f>+'Regulatory Charge'!AD549+Fuel!AD549+PCM!AE549+Interest!AD549+'O&amp;M'!AF549+'Capex &amp; Depr'!AF549+Debt!AG549+Pat.!W549+Rates!AD549</f>
        <v>4.8681949732000011E-2</v>
      </c>
      <c r="AK549" s="106">
        <f>+'Regulatory Charge'!AE549+Fuel!AE549+PCM!AF549+Interest!AE549+'O&amp;M'!AG549+'Capex &amp; Depr'!AG549+Debt!AH549+Pat.!X549+Rates!AE549</f>
        <v>7.1949858700000008E-2</v>
      </c>
      <c r="AL549" s="106">
        <f>+'Regulatory Charge'!AF549+Fuel!AF549+PCM!AG549+Interest!AF549+'O&amp;M'!AH549+'Capex &amp; Depr'!AH549+Debt!AI549+Pat.!Y549+Rates!AF549</f>
        <v>7.2987731338000017E-2</v>
      </c>
      <c r="AM549" s="106">
        <f>+'Regulatory Charge'!AG549+Fuel!AG549+PCM!AH549+Interest!AG549+'O&amp;M'!AI549+'Capex &amp; Depr'!AI549+Debt!AJ549+Pat.!Z549+Rates!AG549</f>
        <v>7.0938688000000014E-2</v>
      </c>
      <c r="AN549" s="106">
        <f>+'Regulatory Charge'!AH549+Fuel!AH549+PCM!AI549+Interest!AH549+'O&amp;M'!AJ549+'Capex &amp; Depr'!AJ549+Debt!AK549+Pat.!AA549+Rates!AH549</f>
        <v>4.8722104200000005E-2</v>
      </c>
      <c r="AO549" s="106">
        <f>+'Regulatory Charge'!AI549+Fuel!AI549+PCM!AJ549+Interest!AI549+'O&amp;M'!AK549+'Capex &amp; Depr'!AK549+Debt!AL549+Pat.!AB549+Rates!AI549</f>
        <v>3.9921640675999993E-2</v>
      </c>
      <c r="AP549" s="106">
        <f>+'Regulatory Charge'!AJ549+Fuel!AJ549+PCM!AK549+Interest!AJ549+'O&amp;M'!AL549+'Capex &amp; Depr'!AL549+Debt!AM549+Pat.!AC549+Rates!AJ549</f>
        <v>4.1640875144E-2</v>
      </c>
      <c r="AQ549" s="106">
        <f>+'Regulatory Charge'!AK549+Fuel!AK549+PCM!AL549+Interest!AK549+'O&amp;M'!AM549+'Capex &amp; Depr'!AM549+Debt!AN549+Pat.!AD549+Rates!AK549</f>
        <v>3.6517869999999994E-2</v>
      </c>
      <c r="AR549" s="224">
        <f t="shared" si="11"/>
        <v>0.55986885917800011</v>
      </c>
      <c r="AS549" s="106">
        <f>+'Regulatory Charge'!AM549+Fuel!AM549+PCM!AN549+Interest!AM549+'O&amp;M'!AO549+'Capex &amp; Depr'!AO549+Debt!AP549+Pat.!AF549+Rates!AM549</f>
        <v>0.57225876401813991</v>
      </c>
      <c r="AT549" s="106">
        <f>+'Regulatory Charge'!AN549+Fuel!AN549+PCM!AO549+Interest!AN549+'O&amp;M'!AP549+'Capex &amp; Depr'!AP549+Debt!AQ549+Pat.!AG549+Rates!AN549</f>
        <v>0.59377923827474011</v>
      </c>
      <c r="AU549" s="106">
        <f>+'Regulatory Charge'!AO549+Fuel!AO549+PCM!AP549+Interest!AO549+'O&amp;M'!AQ549+'Capex &amp; Depr'!AQ549+Debt!AR549+Pat.!AH549+Rates!AO549</f>
        <v>0.61159261542298238</v>
      </c>
      <c r="AV549" s="106">
        <f>+'Regulatory Charge'!AP549+Fuel!AP549+PCM!AQ549+Interest!AP549+'O&amp;M'!AR549+'Capex &amp; Depr'!AR549+Debt!AS549+Pat.!AI549+Rates!AP549</f>
        <v>0.62994039388567191</v>
      </c>
      <c r="AW549" s="106">
        <f>+'Regulatory Charge'!AQ549+Fuel!AQ549+PCM!AR549+Interest!AQ549+'O&amp;M'!AS549+'Capex &amp; Depr'!AS549+Debt!AT549+Pat.!AJ549+Rates!AQ549</f>
        <v>0.64883860570224205</v>
      </c>
      <c r="AX549" s="106">
        <f>+'Regulatory Charge'!AR549+Fuel!AR549+PCM!AS549+Interest!AR549+'O&amp;M'!AT549+'Capex &amp; Depr'!AT549+Debt!AU549+Pat.!AK549+Rates!AR549</f>
        <v>0.66830376387330936</v>
      </c>
      <c r="AY549" s="106">
        <f>+'Regulatory Charge'!AS549+Fuel!AS549+PCM!AT549+Interest!AS549+'O&amp;M'!AU549+'Capex &amp; Depr'!AU549+Debt!AV549+Pat.!AL549+Rates!AS549</f>
        <v>0.68835287678950863</v>
      </c>
      <c r="AZ549" s="106">
        <f>+'Regulatory Charge'!AT549+Fuel!AT549+PCM!AU549+Interest!AT549+'O&amp;M'!AV549+'Capex &amp; Depr'!AV549+Debt!AW549+Pat.!AM549+Rates!AT549</f>
        <v>0.70900346309319395</v>
      </c>
      <c r="BA549" s="106">
        <f>+'Regulatory Charge'!AU549+Fuel!AU549+PCM!AV549+Interest!AU549+'O&amp;M'!AW549+'Capex &amp; Depr'!AW549+Debt!AX549+Pat.!AN549+Rates!AU549</f>
        <v>0.73027356698598977</v>
      </c>
      <c r="BB549" s="106">
        <f>+'Regulatory Charge'!AV549+Fuel!AV549+PCM!AW549+Interest!AV549+'O&amp;M'!AX549+'Capex &amp; Depr'!AX549+Debt!AY549+Pat.!AO549+Rates!AV549</f>
        <v>0.75218177399556951</v>
      </c>
      <c r="BC549" s="106">
        <f>+'Regulatory Charge'!AW549+Fuel!AW549+PCM!AX549+Interest!AW549+'O&amp;M'!AY549+'Capex &amp; Depr'!AY549+Debt!AZ549+Pat.!AP549+Rates!AW549</f>
        <v>0.77474722721543665</v>
      </c>
      <c r="BD549" s="106"/>
      <c r="BE549" s="106"/>
    </row>
    <row r="550" spans="1:57">
      <c r="A550" s="849" t="s">
        <v>806</v>
      </c>
      <c r="B550" s="846" t="s">
        <v>993</v>
      </c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224"/>
      <c r="S550" s="106">
        <f>+'Regulatory Charge'!M550+Fuel!M550+PCM!N550+Interest!M550+'O&amp;M'!O550+'Capex &amp; Depr'!O550+Debt!P550+Pat.!F550+Rates!M550</f>
        <v>1.2333925517128778E-2</v>
      </c>
      <c r="T550" s="106">
        <f>+'Regulatory Charge'!N550+Fuel!N550+PCM!O550+Interest!N550+'O&amp;M'!P550+'Capex &amp; Depr'!P550+Debt!Q550+Pat.!G550+Rates!N550</f>
        <v>1.1920035399104321E-2</v>
      </c>
      <c r="U550" s="106">
        <f>+'Regulatory Charge'!O550+Fuel!O550+PCM!P550+Interest!O550+'O&amp;M'!Q550+'Capex &amp; Depr'!Q550+Debt!R550+Pat.!H550+Rates!O550</f>
        <v>1.2830593658758127E-2</v>
      </c>
      <c r="V550" s="106">
        <f>+'Regulatory Charge'!P550+Fuel!P550+PCM!Q550+Interest!P550+'O&amp;M'!R550+'Capex &amp; Depr'!R550+Debt!S550+Pat.!I550+Rates!P550</f>
        <v>1.2251147493523889E-2</v>
      </c>
      <c r="W550" s="106">
        <f>+'Regulatory Charge'!Q550+Fuel!Q550+PCM!R550+Interest!Q550+'O&amp;M'!S550+'Capex &amp; Depr'!S550+Debt!T550+Pat.!J550+Rates!Q550</f>
        <v>1.2996149705967909E-2</v>
      </c>
      <c r="X550" s="106">
        <f>+'Regulatory Charge'!R550+Fuel!R550+PCM!S550+Interest!R550+'O&amp;M'!T550+'Capex &amp; Depr'!T550+Debt!U550+Pat.!K550+Rates!R550</f>
        <v>1.1257811210265194E-2</v>
      </c>
      <c r="Y550" s="106">
        <f>+'Regulatory Charge'!S550+Fuel!S550+PCM!T550+Interest!S550+'O&amp;M'!U550+'Capex &amp; Depr'!U550+Debt!V550+Pat.!L550+Rates!S550</f>
        <v>1.2251147493523889E-2</v>
      </c>
      <c r="Z550" s="106">
        <f>+'Regulatory Charge'!T550+Fuel!T550+PCM!U550+Interest!T550+'O&amp;M'!V550+'Capex &amp; Depr'!V550+Debt!W550+Pat.!M550+Rates!T550</f>
        <v>1.2996149705967909E-2</v>
      </c>
      <c r="AA550" s="106">
        <f>+'Regulatory Charge'!U550+Fuel!U550+PCM!V550+Interest!U550+'O&amp;M'!W550+'Capex &amp; Depr'!W550+Debt!X550+Pat.!N550+Rates!U550</f>
        <v>1.1257811210265194E-2</v>
      </c>
      <c r="AB550" s="106">
        <f>+'Regulatory Charge'!V550+Fuel!V550+PCM!W550+Interest!V550+'O&amp;M'!X550+'Capex &amp; Depr'!X550+Debt!Y550+Pat.!O550+Rates!V550</f>
        <v>1.3540904509928196E-2</v>
      </c>
      <c r="AC550" s="106">
        <f>+'Regulatory Charge'!W550+Fuel!W550+PCM!X550+Interest!W550+'O&amp;M'!Y550+'Capex &amp; Depr'!Y550+Debt!Z550+Pat.!P550+Rates!W550</f>
        <v>1.127006959211415E-2</v>
      </c>
      <c r="AD550" s="106">
        <f>+'Regulatory Charge'!X550+Fuel!X550+PCM!Y550+Interest!X550+'O&amp;M'!Z550+'Capex &amp; Depr'!Z550+Debt!AA550+Pat.!Q550+Rates!X550</f>
        <v>1.1606489579938453E-2</v>
      </c>
      <c r="AE550" s="224">
        <f t="shared" si="10"/>
        <v>0.14651223507648603</v>
      </c>
      <c r="AF550" s="106">
        <f>+'Regulatory Charge'!Z550+Fuel!Z550+PCM!AA550+Interest!Z550+'O&amp;M'!AB550+'Capex &amp; Depr'!AB550+Debt!AC550+Pat.!S550+Rates!Z550</f>
        <v>1.2159164327077759E-2</v>
      </c>
      <c r="AG550" s="106">
        <f>+'Regulatory Charge'!AA550+Fuel!AA550+PCM!AB550+Interest!AA550+'O&amp;M'!AC550+'Capex &amp; Depr'!AC550+Debt!AD550+Pat.!T550+Rates!AA550</f>
        <v>1.1751138678518104E-2</v>
      </c>
      <c r="AH550" s="106">
        <f>+'Regulatory Charge'!AB550+Fuel!AB550+PCM!AC550+Interest!AB550+'O&amp;M'!AD550+'Capex &amp; Depr'!AD550+Debt!AE550+Pat.!U550+Rates!AB550</f>
        <v>1.2648795105349346E-2</v>
      </c>
      <c r="AI550" s="106">
        <f>+'Regulatory Charge'!AC550+Fuel!AC550+PCM!AD550+Interest!AC550+'O&amp;M'!AE550+'Capex &amp; Depr'!AE550+Debt!AF550+Pat.!V550+Rates!AC550</f>
        <v>1.2077559197365828E-2</v>
      </c>
      <c r="AJ550" s="106">
        <f>+'Regulatory Charge'!AD550+Fuel!AD550+PCM!AE550+Interest!AD550+'O&amp;M'!AF550+'Capex &amp; Depr'!AF550+Debt!AG550+Pat.!W550+Rates!AD550</f>
        <v>1.2812005364773211E-2</v>
      </c>
      <c r="AK550" s="106">
        <f>+'Regulatory Charge'!AE550+Fuel!AE550+PCM!AF550+Interest!AE550+'O&amp;M'!AG550+'Capex &amp; Depr'!AG550+Debt!AH550+Pat.!X550+Rates!AE550</f>
        <v>1.1098297640822652E-2</v>
      </c>
      <c r="AL550" s="106">
        <f>+'Regulatory Charge'!AF550+Fuel!AF550+PCM!AG550+Interest!AF550+'O&amp;M'!AH550+'Capex &amp; Depr'!AH550+Debt!AI550+Pat.!Y550+Rates!AF550</f>
        <v>1.2077559197365828E-2</v>
      </c>
      <c r="AM550" s="106">
        <f>+'Regulatory Charge'!AG550+Fuel!AG550+PCM!AH550+Interest!AG550+'O&amp;M'!AI550+'Capex &amp; Depr'!AI550+Debt!AJ550+Pat.!Z550+Rates!AG550</f>
        <v>1.2812005364773211E-2</v>
      </c>
      <c r="AN550" s="106">
        <f>+'Regulatory Charge'!AH550+Fuel!AH550+PCM!AI550+Interest!AH550+'O&amp;M'!AJ550+'Capex &amp; Depr'!AJ550+Debt!AK550+Pat.!AA550+Rates!AH550</f>
        <v>1.1098297640822652E-2</v>
      </c>
      <c r="AO550" s="106">
        <f>+'Regulatory Charge'!AI550+Fuel!AI550+PCM!AJ550+Interest!AI550+'O&amp;M'!AK550+'Capex &amp; Depr'!AK550+Debt!AL550+Pat.!AB550+Rates!AI550</f>
        <v>1.3349074455235066E-2</v>
      </c>
      <c r="AP550" s="106">
        <f>+'Regulatory Charge'!AJ550+Fuel!AJ550+PCM!AK550+Interest!AJ550+'O&amp;M'!AL550+'Capex &amp; Depr'!AL550+Debt!AM550+Pat.!AC550+Rates!AJ550</f>
        <v>1.1110409795040365E-2</v>
      </c>
      <c r="AQ550" s="106">
        <f>+'Regulatory Charge'!AK550+Fuel!AK550+PCM!AL550+Interest!AK550+'O&amp;M'!AM550+'Capex &amp; Depr'!AM550+Debt!AN550+Pat.!AD550+Rates!AK550</f>
        <v>1.1442063818772913E-2</v>
      </c>
      <c r="AR550" s="224">
        <f t="shared" si="11"/>
        <v>0.14443637058591693</v>
      </c>
      <c r="AS550" s="106">
        <f>+'Regulatory Charge'!AM550+Fuel!AM550+PCM!AN550+Interest!AM550+'O&amp;M'!AO550+'Capex &amp; Depr'!AO550+Debt!AP550+Pat.!AF550+Rates!AM550</f>
        <v>0.14792084156977792</v>
      </c>
      <c r="AT550" s="106">
        <f>+'Regulatory Charge'!AN550+Fuel!AN550+PCM!AO550+Interest!AN550+'O&amp;M'!AP550+'Capex &amp; Depr'!AP550+Debt!AQ550+Pat.!AG550+Rates!AN550</f>
        <v>0.15149972431221168</v>
      </c>
      <c r="AU550" s="106">
        <f>+'Regulatory Charge'!AO550+Fuel!AO550+PCM!AP550+Interest!AO550+'O&amp;M'!AQ550+'Capex &amp; Depr'!AQ550+Debt!AR550+Pat.!AH550+Rates!AO550</f>
        <v>0.15604471604157802</v>
      </c>
      <c r="AV550" s="106">
        <f>+'Regulatory Charge'!AP550+Fuel!AP550+PCM!AQ550+Interest!AP550+'O&amp;M'!AR550+'Capex &amp; Depr'!AR550+Debt!AS550+Pat.!AI550+Rates!AP550</f>
        <v>0.16072605752282537</v>
      </c>
      <c r="AW550" s="106">
        <f>+'Regulatory Charge'!AQ550+Fuel!AQ550+PCM!AR550+Interest!AQ550+'O&amp;M'!AS550+'Capex &amp; Depr'!AS550+Debt!AT550+Pat.!AJ550+Rates!AQ550</f>
        <v>0.16554783924851013</v>
      </c>
      <c r="AX550" s="106">
        <f>+'Regulatory Charge'!AR550+Fuel!AR550+PCM!AS550+Interest!AR550+'O&amp;M'!AT550+'Capex &amp; Depr'!AT550+Debt!AU550+Pat.!AK550+Rates!AR550</f>
        <v>0.17051427442596545</v>
      </c>
      <c r="AY550" s="106">
        <f>+'Regulatory Charge'!AS550+Fuel!AS550+PCM!AT550+Interest!AS550+'O&amp;M'!AU550+'Capex &amp; Depr'!AU550+Debt!AV550+Pat.!AL550+Rates!AS550</f>
        <v>0.17562970265874442</v>
      </c>
      <c r="AZ550" s="106">
        <f>+'Regulatory Charge'!AT550+Fuel!AT550+PCM!AU550+Interest!AT550+'O&amp;M'!AV550+'Capex &amp; Depr'!AV550+Debt!AW550+Pat.!AM550+Rates!AT550</f>
        <v>0.18089859373850675</v>
      </c>
      <c r="BA550" s="106">
        <f>+'Regulatory Charge'!AU550+Fuel!AU550+PCM!AV550+Interest!AU550+'O&amp;M'!AW550+'Capex &amp; Depr'!AW550+Debt!AX550+Pat.!AN550+Rates!AU550</f>
        <v>0.18632555155066197</v>
      </c>
      <c r="BB550" s="106">
        <f>+'Regulatory Charge'!AV550+Fuel!AV550+PCM!AW550+Interest!AV550+'O&amp;M'!AX550+'Capex &amp; Depr'!AX550+Debt!AY550+Pat.!AO550+Rates!AV550</f>
        <v>0.19191531809718182</v>
      </c>
      <c r="BC550" s="106">
        <f>+'Regulatory Charge'!AW550+Fuel!AW550+PCM!AX550+Interest!AW550+'O&amp;M'!AY550+'Capex &amp; Depr'!AY550+Debt!AZ550+Pat.!AP550+Rates!AW550</f>
        <v>0.19767277764009727</v>
      </c>
      <c r="BD550" s="106"/>
      <c r="BE550" s="106"/>
    </row>
    <row r="551" spans="1:57">
      <c r="A551" s="849">
        <v>575.70000000000005</v>
      </c>
      <c r="B551" s="846" t="s">
        <v>870</v>
      </c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224"/>
      <c r="S551" s="106">
        <f>+'Regulatory Charge'!M551+Fuel!M551+PCM!N551+Interest!M551+'O&amp;M'!O551+'Capex &amp; Depr'!O551+Debt!P551+Pat.!F551+Rates!M551</f>
        <v>0.207423</v>
      </c>
      <c r="T551" s="106">
        <f>+'Regulatory Charge'!N551+Fuel!N551+PCM!O551+Interest!N551+'O&amp;M'!P551+'Capex &amp; Depr'!P551+Debt!Q551+Pat.!G551+Rates!N551</f>
        <v>0.18187300000000001</v>
      </c>
      <c r="U551" s="106">
        <f>+'Regulatory Charge'!O551+Fuel!O551+PCM!P551+Interest!O551+'O&amp;M'!Q551+'Capex &amp; Depr'!Q551+Debt!R551+Pat.!H551+Rates!O551</f>
        <v>0.19498699999999999</v>
      </c>
      <c r="V551" s="106">
        <f>+'Regulatory Charge'!P551+Fuel!P551+PCM!Q551+Interest!P551+'O&amp;M'!R551+'Capex &amp; Depr'!R551+Debt!S551+Pat.!I551+Rates!P551</f>
        <v>0.176149</v>
      </c>
      <c r="W551" s="106">
        <f>+'Regulatory Charge'!Q551+Fuel!Q551+PCM!R551+Interest!Q551+'O&amp;M'!S551+'Capex &amp; Depr'!S551+Debt!T551+Pat.!J551+Rates!Q551</f>
        <v>0.18563399999999999</v>
      </c>
      <c r="X551" s="106">
        <f>+'Regulatory Charge'!R551+Fuel!R551+PCM!S551+Interest!R551+'O&amp;M'!T551+'Capex &amp; Depr'!T551+Debt!U551+Pat.!K551+Rates!R551</f>
        <v>0.19306599999999999</v>
      </c>
      <c r="Y551" s="106">
        <f>+'Regulatory Charge'!S551+Fuel!S551+PCM!T551+Interest!S551+'O&amp;M'!U551+'Capex &amp; Depr'!U551+Debt!V551+Pat.!L551+Rates!S551</f>
        <v>0.20141000000000001</v>
      </c>
      <c r="Z551" s="106">
        <f>+'Regulatory Charge'!T551+Fuel!T551+PCM!U551+Interest!T551+'O&amp;M'!V551+'Capex &amp; Depr'!V551+Debt!W551+Pat.!M551+Rates!T551</f>
        <v>0.19725599999999999</v>
      </c>
      <c r="AA551" s="106">
        <f>+'Regulatory Charge'!U551+Fuel!U551+PCM!V551+Interest!U551+'O&amp;M'!W551+'Capex &amp; Depr'!W551+Debt!X551+Pat.!N551+Rates!U551</f>
        <v>0.12306400000000001</v>
      </c>
      <c r="AB551" s="106">
        <f>+'Regulatory Charge'!V551+Fuel!V551+PCM!W551+Interest!V551+'O&amp;M'!X551+'Capex &amp; Depr'!X551+Debt!Y551+Pat.!O551+Rates!V551</f>
        <v>0.12684500000000001</v>
      </c>
      <c r="AC551" s="106">
        <f>+'Regulatory Charge'!W551+Fuel!W551+PCM!X551+Interest!W551+'O&amp;M'!Y551+'Capex &amp; Depr'!Y551+Debt!Z551+Pat.!P551+Rates!W551</f>
        <v>0.12523699999999999</v>
      </c>
      <c r="AD551" s="106">
        <f>+'Regulatory Charge'!X551+Fuel!X551+PCM!Y551+Interest!X551+'O&amp;M'!Z551+'Capex &amp; Depr'!Z551+Debt!AA551+Pat.!Q551+Rates!X551</f>
        <v>0.140295</v>
      </c>
      <c r="AE551" s="224">
        <f>SUM(S551:AD551)</f>
        <v>2.053239</v>
      </c>
      <c r="AF551" s="106">
        <f>+'Regulatory Charge'!Z551+Fuel!Z551+PCM!AA551+Interest!Z551+'O&amp;M'!AB551+'Capex &amp; Depr'!AB551+Debt!AC551+Pat.!S551+Rates!Z551</f>
        <v>0.11362899999999999</v>
      </c>
      <c r="AG551" s="106">
        <f>+'Regulatory Charge'!AA551+Fuel!AA551+PCM!AB551+Interest!AA551+'O&amp;M'!AC551+'Capex &amp; Depr'!AC551+Debt!AD551+Pat.!T551+Rates!AA551</f>
        <v>9.9739999999999995E-2</v>
      </c>
      <c r="AH551" s="106">
        <f>+'Regulatory Charge'!AB551+Fuel!AB551+PCM!AC551+Interest!AB551+'O&amp;M'!AD551+'Capex &amp; Depr'!AD551+Debt!AE551+Pat.!U551+Rates!AB551</f>
        <v>0.100621</v>
      </c>
      <c r="AI551" s="106">
        <f>+'Regulatory Charge'!AC551+Fuel!AC551+PCM!AD551+Interest!AC551+'O&amp;M'!AE551+'Capex &amp; Depr'!AE551+Debt!AF551+Pat.!V551+Rates!AC551</f>
        <v>9.0485999999999997E-2</v>
      </c>
      <c r="AJ551" s="106">
        <f>+'Regulatory Charge'!AD551+Fuel!AD551+PCM!AE551+Interest!AD551+'O&amp;M'!AF551+'Capex &amp; Depr'!AF551+Debt!AG551+Pat.!W551+Rates!AD551</f>
        <v>9.6902000000000002E-2</v>
      </c>
      <c r="AK551" s="106">
        <f>+'Regulatory Charge'!AE551+Fuel!AE551+PCM!AF551+Interest!AE551+'O&amp;M'!AG551+'Capex &amp; Depr'!AG551+Debt!AH551+Pat.!X551+Rates!AE551</f>
        <v>0.104772</v>
      </c>
      <c r="AL551" s="106">
        <f>+'Regulatory Charge'!AF551+Fuel!AF551+PCM!AG551+Interest!AF551+'O&amp;M'!AH551+'Capex &amp; Depr'!AH551+Debt!AI551+Pat.!Y551+Rates!AF551</f>
        <v>0.110488</v>
      </c>
      <c r="AM551" s="106">
        <f>+'Regulatory Charge'!AG551+Fuel!AG551+PCM!AH551+Interest!AG551+'O&amp;M'!AI551+'Capex &amp; Depr'!AI551+Debt!AJ551+Pat.!Z551+Rates!AG551</f>
        <v>0.11175</v>
      </c>
      <c r="AN551" s="106">
        <f>+'Regulatory Charge'!AH551+Fuel!AH551+PCM!AI551+Interest!AH551+'O&amp;M'!AJ551+'Capex &amp; Depr'!AJ551+Debt!AK551+Pat.!AA551+Rates!AH551</f>
        <v>0.100263</v>
      </c>
      <c r="AO551" s="106">
        <f>+'Regulatory Charge'!AI551+Fuel!AI551+PCM!AJ551+Interest!AI551+'O&amp;M'!AK551+'Capex &amp; Depr'!AK551+Debt!AL551+Pat.!AB551+Rates!AI551</f>
        <v>9.9678000000000003E-2</v>
      </c>
      <c r="AP551" s="106">
        <f>+'Regulatory Charge'!AJ551+Fuel!AJ551+PCM!AK551+Interest!AJ551+'O&amp;M'!AL551+'Capex &amp; Depr'!AL551+Debt!AM551+Pat.!AC551+Rates!AJ551</f>
        <v>9.9122000000000002E-2</v>
      </c>
      <c r="AQ551" s="106">
        <f>+'Regulatory Charge'!AK551+Fuel!AK551+PCM!AL551+Interest!AK551+'O&amp;M'!AM551+'Capex &amp; Depr'!AM551+Debt!AN551+Pat.!AD551+Rates!AK551</f>
        <v>0.10996</v>
      </c>
      <c r="AR551" s="224">
        <f>SUM(AF551:AQ551)</f>
        <v>1.237411</v>
      </c>
      <c r="AS551" s="106">
        <f>+'Regulatory Charge'!AM551+Fuel!AM551+PCM!AN551+Interest!AM551+'O&amp;M'!AO551+'Capex &amp; Depr'!AO551+Debt!AP551+Pat.!AF551+Rates!AM551</f>
        <v>1.2435849999999999</v>
      </c>
      <c r="AT551" s="106">
        <f>+'Regulatory Charge'!AN551+Fuel!AN551+PCM!AO551+Interest!AN551+'O&amp;M'!AP551+'Capex &amp; Depr'!AP551+Debt!AQ551+Pat.!AG551+Rates!AN551</f>
        <v>1.2563869999999999</v>
      </c>
      <c r="AU551" s="106">
        <f>+'Regulatory Charge'!AO551+Fuel!AO551+PCM!AP551+Interest!AO551+'O&amp;M'!AQ551+'Capex &amp; Depr'!AQ551+Debt!AR551+Pat.!AH551+Rates!AO551</f>
        <v>1.2940786099999999</v>
      </c>
      <c r="AV551" s="106">
        <f>+'Regulatory Charge'!AP551+Fuel!AP551+PCM!AQ551+Interest!AP551+'O&amp;M'!AR551+'Capex &amp; Depr'!AR551+Debt!AS551+Pat.!AI551+Rates!AP551</f>
        <v>1.3329009682999999</v>
      </c>
      <c r="AW551" s="106">
        <f>+'Regulatory Charge'!AQ551+Fuel!AQ551+PCM!AR551+Interest!AQ551+'O&amp;M'!AS551+'Capex &amp; Depr'!AS551+Debt!AT551+Pat.!AJ551+Rates!AQ551</f>
        <v>1.372887997349</v>
      </c>
      <c r="AX551" s="106">
        <f>+'Regulatory Charge'!AR551+Fuel!AR551+PCM!AS551+Interest!AR551+'O&amp;M'!AT551+'Capex &amp; Depr'!AT551+Debt!AU551+Pat.!AK551+Rates!AR551</f>
        <v>1.4140746372694701</v>
      </c>
      <c r="AY551" s="106">
        <f>+'Regulatory Charge'!AS551+Fuel!AS551+PCM!AT551+Interest!AS551+'O&amp;M'!AU551+'Capex &amp; Depr'!AU551+Debt!AV551+Pat.!AL551+Rates!AS551</f>
        <v>1.4564968763875543</v>
      </c>
      <c r="AZ551" s="106">
        <f>+'Regulatory Charge'!AT551+Fuel!AT551+PCM!AU551+Interest!AT551+'O&amp;M'!AV551+'Capex &amp; Depr'!AV551+Debt!AW551+Pat.!AM551+Rates!AT551</f>
        <v>1.5001917826791811</v>
      </c>
      <c r="BA551" s="106">
        <f>+'Regulatory Charge'!AU551+Fuel!AU551+PCM!AV551+Interest!AU551+'O&amp;M'!AW551+'Capex &amp; Depr'!AW551+Debt!AX551+Pat.!AN551+Rates!AU551</f>
        <v>1.5451975361595565</v>
      </c>
      <c r="BB551" s="106">
        <f>+'Regulatory Charge'!AV551+Fuel!AV551+PCM!AW551+Interest!AV551+'O&amp;M'!AX551+'Capex &amp; Depr'!AX551+Debt!AY551+Pat.!AO551+Rates!AV551</f>
        <v>1.5915534622443432</v>
      </c>
      <c r="BC551" s="106">
        <f>+'Regulatory Charge'!AW551+Fuel!AW551+PCM!AX551+Interest!AW551+'O&amp;M'!AY551+'Capex &amp; Depr'!AY551+Debt!AZ551+Pat.!AP551+Rates!AW551</f>
        <v>1.6393000661116737</v>
      </c>
      <c r="BD551" s="106"/>
      <c r="BE551" s="106"/>
    </row>
    <row r="552" spans="1:57">
      <c r="A552" s="849" t="s">
        <v>808</v>
      </c>
      <c r="B552" s="846" t="s">
        <v>994</v>
      </c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224"/>
      <c r="S552" s="106">
        <f>+'Regulatory Charge'!M552+Fuel!M552+PCM!N552+Interest!M552+'O&amp;M'!O552+'Capex &amp; Depr'!O552+Debt!P552+Pat.!F552+Rates!M552</f>
        <v>1.6531538533001579E-2</v>
      </c>
      <c r="T552" s="106">
        <f>+'Regulatory Charge'!N552+Fuel!N552+PCM!O552+Interest!N552+'O&amp;M'!P552+'Capex &amp; Depr'!P552+Debt!Q552+Pat.!G552+Rates!N552</f>
        <v>1.5976788917800182E-2</v>
      </c>
      <c r="U552" s="106">
        <f>+'Regulatory Charge'!O552+Fuel!O552+PCM!P552+Interest!O552+'O&amp;M'!Q552+'Capex &amp; Depr'!Q552+Debt!R552+Pat.!H552+Rates!O552</f>
        <v>1.7197238071243258E-2</v>
      </c>
      <c r="V552" s="106">
        <f>+'Regulatory Charge'!P552+Fuel!P552+PCM!Q552+Interest!P552+'O&amp;M'!R552+'Capex &amp; Depr'!R552+Debt!S552+Pat.!I552+Rates!P552</f>
        <v>1.64205886099613E-2</v>
      </c>
      <c r="W552" s="106">
        <f>+'Regulatory Charge'!Q552+Fuel!Q552+PCM!R552+Interest!Q552+'O&amp;M'!S552+'Capex &amp; Depr'!S552+Debt!T552+Pat.!J552+Rates!Q552</f>
        <v>1.7419137917323812E-2</v>
      </c>
      <c r="X552" s="106">
        <f>+'Regulatory Charge'!R552+Fuel!R552+PCM!S552+Interest!R552+'O&amp;M'!T552+'Capex &amp; Depr'!T552+Debt!U552+Pat.!K552+Rates!R552</f>
        <v>1.5089189533477952E-2</v>
      </c>
      <c r="Y552" s="106">
        <f>+'Regulatory Charge'!S552+Fuel!S552+PCM!T552+Interest!S552+'O&amp;M'!U552+'Capex &amp; Depr'!U552+Debt!V552+Pat.!L552+Rates!S552</f>
        <v>1.64205886099613E-2</v>
      </c>
      <c r="Z552" s="106">
        <f>+'Regulatory Charge'!T552+Fuel!T552+PCM!U552+Interest!T552+'O&amp;M'!V552+'Capex &amp; Depr'!V552+Debt!W552+Pat.!M552+Rates!T552</f>
        <v>1.7419137917323812E-2</v>
      </c>
      <c r="AA552" s="106">
        <f>+'Regulatory Charge'!U552+Fuel!U552+PCM!V552+Interest!U552+'O&amp;M'!W552+'Capex &amp; Depr'!W552+Debt!X552+Pat.!N552+Rates!U552</f>
        <v>1.5090475337485233E-2</v>
      </c>
      <c r="AB552" s="106">
        <f>+'Regulatory Charge'!V552+Fuel!V552+PCM!W552+Interest!V552+'O&amp;M'!X552+'Capex &amp; Depr'!X552+Debt!Y552+Pat.!O552+Rates!V552</f>
        <v>1.7866839550062869E-2</v>
      </c>
      <c r="AC552" s="106">
        <f>+'Regulatory Charge'!W552+Fuel!W552+PCM!X552+Interest!W552+'O&amp;M'!Y552+'Capex &amp; Depr'!Y552+Debt!Z552+Pat.!P552+Rates!W552</f>
        <v>1.4870537265269719E-2</v>
      </c>
      <c r="AD552" s="106">
        <f>+'Regulatory Charge'!X552+Fuel!X552+PCM!Y552+Interest!X552+'O&amp;M'!Z552+'Capex &amp; Depr'!Z552+Debt!AA552+Pat.!Q552+Rates!X552</f>
        <v>1.531443390005389E-2</v>
      </c>
      <c r="AE552" s="224">
        <f t="shared" si="10"/>
        <v>0.19561649416296489</v>
      </c>
      <c r="AF552" s="106">
        <f>+'Regulatory Charge'!Z552+Fuel!Z552+PCM!AA552+Interest!Z552+'O&amp;M'!AB552+'Capex &amp; Depr'!AB552+Debt!AC552+Pat.!S552+Rates!Z552</f>
        <v>1.6284889504467888E-2</v>
      </c>
      <c r="AG552" s="106">
        <f>+'Regulatory Charge'!AA552+Fuel!AA552+PCM!AB552+Interest!AA552+'O&amp;M'!AC552+'Capex &amp; Depr'!AC552+Debt!AD552+Pat.!T552+Rates!AA552</f>
        <v>1.5738416702304532E-2</v>
      </c>
      <c r="AH552" s="106">
        <f>+'Regulatory Charge'!AB552+Fuel!AB552+PCM!AC552+Interest!AB552+'O&amp;M'!AD552+'Capex &amp; Depr'!AD552+Debt!AE552+Pat.!U552+Rates!AB552</f>
        <v>1.6940656867063909E-2</v>
      </c>
      <c r="AI552" s="106">
        <f>+'Regulatory Charge'!AC552+Fuel!AC552+PCM!AD552+Interest!AC552+'O&amp;M'!AE552+'Capex &amp; Depr'!AE552+Debt!AF552+Pat.!V552+Rates!AC552</f>
        <v>1.6175594944035216E-2</v>
      </c>
      <c r="AJ552" s="106">
        <f>+'Regulatory Charge'!AD552+Fuel!AD552+PCM!AE552+Interest!AD552+'O&amp;M'!AF552+'Capex &amp; Depr'!AF552+Debt!AG552+Pat.!W552+Rates!AD552</f>
        <v>1.7159245987929249E-2</v>
      </c>
      <c r="AK552" s="106">
        <f>+'Regulatory Charge'!AE552+Fuel!AE552+PCM!AF552+Interest!AE552+'O&amp;M'!AG552+'Capex &amp; Depr'!AG552+Debt!AH552+Pat.!X552+Rates!AE552</f>
        <v>1.4864060218843171E-2</v>
      </c>
      <c r="AL552" s="106">
        <f>+'Regulatory Charge'!AF552+Fuel!AF552+PCM!AG552+Interest!AF552+'O&amp;M'!AH552+'Capex &amp; Depr'!AH552+Debt!AI552+Pat.!Y552+Rates!AF552</f>
        <v>1.6175594944035216E-2</v>
      </c>
      <c r="AM552" s="106">
        <f>+'Regulatory Charge'!AG552+Fuel!AG552+PCM!AH552+Interest!AG552+'O&amp;M'!AI552+'Capex &amp; Depr'!AI552+Debt!AJ552+Pat.!Z552+Rates!AG552</f>
        <v>1.7159245987929249E-2</v>
      </c>
      <c r="AN552" s="106">
        <f>+'Regulatory Charge'!AH552+Fuel!AH552+PCM!AI552+Interest!AH552+'O&amp;M'!AJ552+'Capex &amp; Depr'!AJ552+Debt!AK552+Pat.!AA552+Rates!AH552</f>
        <v>1.4864060218843171E-2</v>
      </c>
      <c r="AO552" s="106">
        <f>+'Regulatory Charge'!AI552+Fuel!AI552+PCM!AJ552+Interest!AI552+'O&amp;M'!AK552+'Capex &amp; Depr'!AK552+Debt!AL552+Pat.!AB552+Rates!AI552</f>
        <v>1.7598852438646465E-2</v>
      </c>
      <c r="AP552" s="106">
        <f>+'Regulatory Charge'!AJ552+Fuel!AJ552+PCM!AK552+Interest!AJ552+'O&amp;M'!AL552+'Capex &amp; Depr'!AL552+Debt!AM552+Pat.!AC552+Rates!AJ552</f>
        <v>1.4647492091792709E-2</v>
      </c>
      <c r="AQ552" s="106">
        <f>+'Regulatory Charge'!AK552+Fuel!AK552+PCM!AL552+Interest!AK552+'O&amp;M'!AM552+'Capex &amp; Depr'!AM552+Debt!AN552+Pat.!AD552+Rates!AK552</f>
        <v>1.5084730661696967E-2</v>
      </c>
      <c r="AR552" s="224">
        <f t="shared" si="11"/>
        <v>0.1926928405675877</v>
      </c>
      <c r="AS552" s="106">
        <f>+'Regulatory Charge'!AM552+Fuel!AM552+PCM!AN552+Interest!AM552+'O&amp;M'!AO552+'Capex &amp; Depr'!AO552+Debt!AP552+Pat.!AF552+Rates!AM552</f>
        <v>0.19737293953064419</v>
      </c>
      <c r="AT552" s="106">
        <f>+'Regulatory Charge'!AN552+Fuel!AN552+PCM!AO552+Interest!AN552+'O&amp;M'!AP552+'Capex &amp; Depr'!AP552+Debt!AQ552+Pat.!AG552+Rates!AN552</f>
        <v>0.20190686286730755</v>
      </c>
      <c r="AU552" s="106">
        <f>+'Regulatory Charge'!AO552+Fuel!AO552+PCM!AP552+Interest!AO552+'O&amp;M'!AQ552+'Capex &amp; Depr'!AQ552+Debt!AR552+Pat.!AH552+Rates!AO552</f>
        <v>0.20796406875332679</v>
      </c>
      <c r="AV552" s="106">
        <f>+'Regulatory Charge'!AP552+Fuel!AP552+PCM!AQ552+Interest!AP552+'O&amp;M'!AR552+'Capex &amp; Depr'!AR552+Debt!AS552+Pat.!AI552+Rates!AP552</f>
        <v>0.21420299081592661</v>
      </c>
      <c r="AW552" s="106">
        <f>+'Regulatory Charge'!AQ552+Fuel!AQ552+PCM!AR552+Interest!AQ552+'O&amp;M'!AS552+'Capex &amp; Depr'!AS552+Debt!AT552+Pat.!AJ552+Rates!AQ552</f>
        <v>0.22062908054040442</v>
      </c>
      <c r="AX552" s="106">
        <f>+'Regulatory Charge'!AR552+Fuel!AR552+PCM!AS552+Interest!AR552+'O&amp;M'!AT552+'Capex &amp; Depr'!AT552+Debt!AU552+Pat.!AK552+Rates!AR552</f>
        <v>0.22724795295661657</v>
      </c>
      <c r="AY552" s="106">
        <f>+'Regulatory Charge'!AS552+Fuel!AS552+PCM!AT552+Interest!AS552+'O&amp;M'!AU552+'Capex &amp; Depr'!AU552+Debt!AV552+Pat.!AL552+Rates!AS552</f>
        <v>0.23406539154531508</v>
      </c>
      <c r="AZ552" s="106">
        <f>+'Regulatory Charge'!AT552+Fuel!AT552+PCM!AU552+Interest!AT552+'O&amp;M'!AV552+'Capex &amp; Depr'!AV552+Debt!AW552+Pat.!AM552+Rates!AT552</f>
        <v>0.24108735329167455</v>
      </c>
      <c r="BA552" s="106">
        <f>+'Regulatory Charge'!AU552+Fuel!AU552+PCM!AV552+Interest!AU552+'O&amp;M'!AW552+'Capex &amp; Depr'!AW552+Debt!AX552+Pat.!AN552+Rates!AU552</f>
        <v>0.24831997389042479</v>
      </c>
      <c r="BB552" s="106">
        <f>+'Regulatory Charge'!AV552+Fuel!AV552+PCM!AW552+Interest!AV552+'O&amp;M'!AX552+'Capex &amp; Depr'!AX552+Debt!AY552+Pat.!AO552+Rates!AV552</f>
        <v>0.25576957310713755</v>
      </c>
      <c r="BC552" s="106">
        <f>+'Regulatory Charge'!AW552+Fuel!AW552+PCM!AX552+Interest!AW552+'O&amp;M'!AY552+'Capex &amp; Depr'!AY552+Debt!AZ552+Pat.!AP552+Rates!AW552</f>
        <v>0.26344266030035168</v>
      </c>
      <c r="BD552" s="106"/>
      <c r="BE552" s="106"/>
    </row>
    <row r="553" spans="1:57">
      <c r="A553" s="849">
        <v>908.1</v>
      </c>
      <c r="B553" s="846" t="s">
        <v>994</v>
      </c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224"/>
      <c r="S553" s="106">
        <f>+'Regulatory Charge'!M553+Fuel!M553+PCM!N553+Interest!M553+'O&amp;M'!O553+'Capex &amp; Depr'!O553+Debt!P553+Pat.!F553+Rates!M553</f>
        <v>5.0316471290000012E-2</v>
      </c>
      <c r="T553" s="106">
        <f>+'Regulatory Charge'!N553+Fuel!N553+PCM!O553+Interest!N553+'O&amp;M'!P553+'Capex &amp; Depr'!P553+Debt!Q553+Pat.!G553+Rates!N553</f>
        <v>4.4639701480000002E-2</v>
      </c>
      <c r="U553" s="106">
        <f>+'Regulatory Charge'!O553+Fuel!O553+PCM!P553+Interest!O553+'O&amp;M'!Q553+'Capex &amp; Depr'!Q553+Debt!R553+Pat.!H553+Rates!O553</f>
        <v>0.16670022529000003</v>
      </c>
      <c r="V553" s="106">
        <f>+'Regulatory Charge'!P553+Fuel!P553+PCM!Q553+Interest!P553+'O&amp;M'!R553+'Capex &amp; Depr'!R553+Debt!S553+Pat.!I553+Rates!P553</f>
        <v>6.6229918679999986E-2</v>
      </c>
      <c r="W553" s="106">
        <f>+'Regulatory Charge'!Q553+Fuel!Q553+PCM!R553+Interest!Q553+'O&amp;M'!S553+'Capex &amp; Depr'!S553+Debt!T553+Pat.!J553+Rates!Q553</f>
        <v>6.6121494699999991E-2</v>
      </c>
      <c r="X553" s="106">
        <f>+'Regulatory Charge'!R553+Fuel!R553+PCM!S553+Interest!R553+'O&amp;M'!T553+'Capex &amp; Depr'!T553+Debt!U553+Pat.!K553+Rates!R553</f>
        <v>0.26170981800000004</v>
      </c>
      <c r="Y553" s="106">
        <f>+'Regulatory Charge'!S553+Fuel!S553+PCM!T553+Interest!S553+'O&amp;M'!U553+'Capex &amp; Depr'!U553+Debt!V553+Pat.!L553+Rates!S553</f>
        <v>6.6849484279999996E-2</v>
      </c>
      <c r="Z553" s="106">
        <f>+'Regulatory Charge'!T553+Fuel!T553+PCM!U553+Interest!T553+'O&amp;M'!V553+'Capex &amp; Depr'!V553+Debt!W553+Pat.!M553+Rates!T553</f>
        <v>6.6229918679999986E-2</v>
      </c>
      <c r="AA553" s="106">
        <f>+'Regulatory Charge'!U553+Fuel!U553+PCM!V553+Interest!U553+'O&amp;M'!W553+'Capex &amp; Depr'!W553+Debt!X553+Pat.!N553+Rates!U553</f>
        <v>0.17268677789999998</v>
      </c>
      <c r="AB553" s="106">
        <f>+'Regulatory Charge'!V553+Fuel!V553+PCM!W553+Interest!V553+'O&amp;M'!X553+'Capex &amp; Depr'!X553+Debt!Y553+Pat.!O553+Rates!V553</f>
        <v>7.9271774560000008E-2</v>
      </c>
      <c r="AC553" s="106">
        <f>+'Regulatory Charge'!W553+Fuel!W553+PCM!X553+Interest!W553+'O&amp;M'!Y553+'Capex &amp; Depr'!Y553+Debt!Z553+Pat.!P553+Rates!W553</f>
        <v>6.5680054210000005E-2</v>
      </c>
      <c r="AD553" s="106">
        <f>+'Regulatory Charge'!X553+Fuel!X553+PCM!Y553+Interest!X553+'O&amp;M'!Z553+'Capex &amp; Depr'!Z553+Debt!AA553+Pat.!Q553+Rates!X553</f>
        <v>0.19574770055000001</v>
      </c>
      <c r="AE553" s="224">
        <f t="shared" si="10"/>
        <v>1.30218333962</v>
      </c>
      <c r="AF553" s="106">
        <f>+'Regulatory Charge'!Z553+Fuel!Z553+PCM!AA553+Interest!Z553+'O&amp;M'!AB553+'Capex &amp; Depr'!AB553+Debt!AC553+Pat.!S553+Rates!Z553</f>
        <v>4.8986186501099989E-2</v>
      </c>
      <c r="AG553" s="106">
        <f>+'Regulatory Charge'!AA553+Fuel!AA553+PCM!AB553+Interest!AA553+'O&amp;M'!AC553+'Capex &amp; Depr'!AC553+Debt!AD553+Pat.!T553+Rates!AA553</f>
        <v>4.3459501153199992E-2</v>
      </c>
      <c r="AH553" s="106">
        <f>+'Regulatory Charge'!AB553+Fuel!AB553+PCM!AC553+Interest!AB553+'O&amp;M'!AD553+'Capex &amp; Depr'!AD553+Debt!AE553+Pat.!U553+Rates!AB553</f>
        <v>0.14097194536110003</v>
      </c>
      <c r="AI553" s="106">
        <f>+'Regulatory Charge'!AC553+Fuel!AC553+PCM!AD553+Interest!AC553+'O&amp;M'!AE553+'Capex &amp; Depr'!AE553+Debt!AF553+Pat.!V553+Rates!AC553</f>
        <v>4.3157908501199993E-2</v>
      </c>
      <c r="AJ553" s="106">
        <f>+'Regulatory Charge'!AD553+Fuel!AD553+PCM!AE553+Interest!AD553+'O&amp;M'!AF553+'Capex &amp; Depr'!AF553+Debt!AG553+Pat.!W553+Rates!AD553</f>
        <v>4.3052351072999998E-2</v>
      </c>
      <c r="AK553" s="106">
        <f>+'Regulatory Charge'!AE553+Fuel!AE553+PCM!AF553+Interest!AE553+'O&amp;M'!AG553+'Capex &amp; Depr'!AG553+Debt!AH553+Pat.!X553+Rates!AE553</f>
        <v>0.2282946418206</v>
      </c>
      <c r="AL553" s="106">
        <f>+'Regulatory Charge'!AF553+Fuel!AF553+PCM!AG553+Interest!AF553+'O&amp;M'!AH553+'Capex &amp; Depr'!AH553+Debt!AI553+Pat.!Y553+Rates!AF553</f>
        <v>4.3761093805199991E-2</v>
      </c>
      <c r="AM553" s="106">
        <f>+'Regulatory Charge'!AG553+Fuel!AG553+PCM!AH553+Interest!AG553+'O&amp;M'!AI553+'Capex &amp; Depr'!AI553+Debt!AJ553+Pat.!Z553+Rates!AG553</f>
        <v>4.3157908501199993E-2</v>
      </c>
      <c r="AN553" s="106">
        <f>+'Regulatory Charge'!AH553+Fuel!AH553+PCM!AI553+Interest!AH553+'O&amp;M'!AJ553+'Capex &amp; Depr'!AJ553+Debt!AK553+Pat.!AA553+Rates!AH553</f>
        <v>0.14680022336100002</v>
      </c>
      <c r="AO553" s="106">
        <f>+'Regulatory Charge'!AI553+Fuel!AI553+PCM!AJ553+Interest!AI553+'O&amp;M'!AK553+'Capex &amp; Depr'!AK553+Debt!AL553+Pat.!AB553+Rates!AI553</f>
        <v>5.5854959150400001E-2</v>
      </c>
      <c r="AP553" s="106">
        <f>+'Regulatory Charge'!AJ553+Fuel!AJ553+PCM!AK553+Interest!AJ553+'O&amp;M'!AL553+'Capex &amp; Depr'!AL553+Debt!AM553+Pat.!AC553+Rates!AJ553</f>
        <v>4.2622581543899994E-2</v>
      </c>
      <c r="AQ553" s="106">
        <f>+'Regulatory Charge'!AK553+Fuel!AK553+PCM!AL553+Interest!AK553+'O&amp;M'!AM553+'Capex &amp; Depr'!AM553+Debt!AN553+Pat.!AD553+Rates!AK553</f>
        <v>0.21886232892449997</v>
      </c>
      <c r="AR553" s="224">
        <f t="shared" si="11"/>
        <v>1.0989816296963999</v>
      </c>
      <c r="AS553" s="106">
        <f>+'Regulatory Charge'!AM553+Fuel!AM553+PCM!AN553+Interest!AM553+'O&amp;M'!AO553+'Capex &amp; Depr'!AO553+Debt!AP553+Pat.!AF553+Rates!AM553</f>
        <v>1.1319510785872919</v>
      </c>
      <c r="AT553" s="106">
        <f>+'Regulatory Charge'!AN553+Fuel!AN553+PCM!AO553+Interest!AN553+'O&amp;M'!AP553+'Capex &amp; Depr'!AP553+Debt!AQ553+Pat.!AG553+Rates!AN553</f>
        <v>1.154590100159038</v>
      </c>
      <c r="AU553" s="106">
        <f>+'Regulatory Charge'!AO553+Fuel!AO553+PCM!AP553+Interest!AO553+'O&amp;M'!AQ553+'Capex &amp; Depr'!AQ553+Debt!AR553+Pat.!AH553+Rates!AO553</f>
        <v>1.189227803163809</v>
      </c>
      <c r="AV553" s="106">
        <f>+'Regulatory Charge'!AP553+Fuel!AP553+PCM!AQ553+Interest!AP553+'O&amp;M'!AR553+'Capex &amp; Depr'!AR553+Debt!AS553+Pat.!AI553+Rates!AP553</f>
        <v>1.2249046372587233</v>
      </c>
      <c r="AW553" s="106">
        <f>+'Regulatory Charge'!AQ553+Fuel!AQ553+PCM!AR553+Interest!AQ553+'O&amp;M'!AS553+'Capex &amp; Depr'!AS553+Debt!AT553+Pat.!AJ553+Rates!AQ553</f>
        <v>1.2616517763764852</v>
      </c>
      <c r="AX553" s="106">
        <f>+'Regulatory Charge'!AR553+Fuel!AR553+PCM!AS553+Interest!AR553+'O&amp;M'!AT553+'Capex &amp; Depr'!AT553+Debt!AU553+Pat.!AK553+Rates!AR553</f>
        <v>1.2995013296677798</v>
      </c>
      <c r="AY553" s="106">
        <f>+'Regulatory Charge'!AS553+Fuel!AS553+PCM!AT553+Interest!AS553+'O&amp;M'!AU553+'Capex &amp; Depr'!AU553+Debt!AV553+Pat.!AL553+Rates!AS553</f>
        <v>1.3384863695578131</v>
      </c>
      <c r="AZ553" s="106">
        <f>+'Regulatory Charge'!AT553+Fuel!AT553+PCM!AU553+Interest!AT553+'O&amp;M'!AV553+'Capex &amp; Depr'!AV553+Debt!AW553+Pat.!AM553+Rates!AT553</f>
        <v>1.3786409606445476</v>
      </c>
      <c r="BA553" s="106">
        <f>+'Regulatory Charge'!AU553+Fuel!AU553+PCM!AV553+Interest!AU553+'O&amp;M'!AW553+'Capex &amp; Depr'!AW553+Debt!AX553+Pat.!AN553+Rates!AU553</f>
        <v>1.4200001894638841</v>
      </c>
      <c r="BB553" s="106">
        <f>+'Regulatory Charge'!AV553+Fuel!AV553+PCM!AW553+Interest!AV553+'O&amp;M'!AX553+'Capex &amp; Depr'!AX553+Debt!AY553+Pat.!AO553+Rates!AV553</f>
        <v>1.4626001951478007</v>
      </c>
      <c r="BC553" s="106">
        <f>+'Regulatory Charge'!AW553+Fuel!AW553+PCM!AX553+Interest!AW553+'O&amp;M'!AY553+'Capex &amp; Depr'!AY553+Debt!AZ553+Pat.!AP553+Rates!AW553</f>
        <v>1.5064782010022348</v>
      </c>
      <c r="BD553" s="106"/>
      <c r="BE553" s="106"/>
    </row>
    <row r="554" spans="1:57">
      <c r="A554" s="849">
        <v>909.1</v>
      </c>
      <c r="B554" s="846" t="s">
        <v>105</v>
      </c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224"/>
      <c r="S554" s="106">
        <f>+'Regulatory Charge'!M554+Fuel!M554+PCM!N554+Interest!M554+'O&amp;M'!O554+'Capex &amp; Depr'!O554+Debt!P554+Pat.!F554+Rates!M554</f>
        <v>1.3785334599999998E-3</v>
      </c>
      <c r="T554" s="106">
        <f>+'Regulatory Charge'!N554+Fuel!N554+PCM!O554+Interest!N554+'O&amp;M'!P554+'Capex &amp; Depr'!P554+Debt!Q554+Pat.!G554+Rates!N554</f>
        <v>1.22300552E-3</v>
      </c>
      <c r="U554" s="106">
        <f>+'Regulatory Charge'!O554+Fuel!O554+PCM!P554+Interest!O554+'O&amp;M'!Q554+'Capex &amp; Depr'!Q554+Debt!R554+Pat.!H554+Rates!O554</f>
        <v>4.5671294600000013E-3</v>
      </c>
      <c r="V554" s="106">
        <f>+'Regulatory Charge'!P554+Fuel!P554+PCM!Q554+Interest!P554+'O&amp;M'!R554+'Capex &amp; Depr'!R554+Debt!S554+Pat.!I554+Rates!P554</f>
        <v>1.8145183199999998E-3</v>
      </c>
      <c r="W554" s="106">
        <f>+'Regulatory Charge'!Q554+Fuel!Q554+PCM!R554+Interest!Q554+'O&amp;M'!S554+'Capex &amp; Depr'!S554+Debt!T554+Pat.!J554+Rates!Q554</f>
        <v>1.8115477999999996E-3</v>
      </c>
      <c r="X554" s="106">
        <f>+'Regulatory Charge'!R554+Fuel!R554+PCM!S554+Interest!R554+'O&amp;M'!T554+'Capex &amp; Depr'!T554+Debt!U554+Pat.!K554+Rates!R554</f>
        <v>7.1701320000000009E-3</v>
      </c>
      <c r="Y554" s="106">
        <f>+'Regulatory Charge'!S554+Fuel!S554+PCM!T554+Interest!S554+'O&amp;M'!U554+'Capex &amp; Depr'!U554+Debt!V554+Pat.!L554+Rates!S554</f>
        <v>1.8314927199999998E-3</v>
      </c>
      <c r="Z554" s="106">
        <f>+'Regulatory Charge'!T554+Fuel!T554+PCM!U554+Interest!T554+'O&amp;M'!V554+'Capex &amp; Depr'!V554+Debt!W554+Pat.!M554+Rates!T554</f>
        <v>1.8145183199999998E-3</v>
      </c>
      <c r="AA554" s="106">
        <f>+'Regulatory Charge'!U554+Fuel!U554+PCM!V554+Interest!U554+'O&amp;M'!W554+'Capex &amp; Depr'!W554+Debt!X554+Pat.!N554+Rates!U554</f>
        <v>4.7311446000000007E-3</v>
      </c>
      <c r="AB554" s="106">
        <f>+'Regulatory Charge'!V554+Fuel!V554+PCM!W554+Interest!V554+'O&amp;M'!X554+'Capex &amp; Depr'!X554+Debt!Y554+Pat.!O554+Rates!V554</f>
        <v>2.1718294400000001E-3</v>
      </c>
      <c r="AC554" s="106">
        <f>+'Regulatory Charge'!W554+Fuel!W554+PCM!X554+Interest!W554+'O&amp;M'!Y554+'Capex &amp; Depr'!Y554+Debt!Z554+Pat.!P554+Rates!W554</f>
        <v>1.7994535399999997E-3</v>
      </c>
      <c r="AD554" s="106">
        <f>+'Regulatory Charge'!X554+Fuel!X554+PCM!Y554+Interest!X554+'O&amp;M'!Z554+'Capex &amp; Depr'!Z554+Debt!AA554+Pat.!Q554+Rates!X554</f>
        <v>5.3629507000000007E-3</v>
      </c>
      <c r="AE554" s="224">
        <f t="shared" si="10"/>
        <v>3.5676255880000007E-2</v>
      </c>
      <c r="AF554" s="106">
        <f>+'Regulatory Charge'!Z554+Fuel!Z554+PCM!AA554+Interest!Z554+'O&amp;M'!AB554+'Capex &amp; Depr'!AB554+Debt!AC554+Pat.!S554+Rates!Z554</f>
        <v>1.4198894637999998E-3</v>
      </c>
      <c r="AG554" s="106">
        <f>+'Regulatory Charge'!AA554+Fuel!AA554+PCM!AB554+Interest!AA554+'O&amp;M'!AC554+'Capex &amp; Depr'!AC554+Debt!AD554+Pat.!T554+Rates!AA554</f>
        <v>1.2596956855999999E-3</v>
      </c>
      <c r="AH554" s="106">
        <f>+'Regulatory Charge'!AB554+Fuel!AB554+PCM!AC554+Interest!AB554+'O&amp;M'!AD554+'Capex &amp; Depr'!AD554+Debt!AE554+Pat.!U554+Rates!AB554</f>
        <v>4.0861433438000002E-3</v>
      </c>
      <c r="AI554" s="106">
        <f>+'Regulatory Charge'!AC554+Fuel!AC554+PCM!AD554+Interest!AC554+'O&amp;M'!AE554+'Capex &amp; Depr'!AE554+Debt!AF554+Pat.!V554+Rates!AC554</f>
        <v>1.2509538696E-3</v>
      </c>
      <c r="AJ554" s="106">
        <f>+'Regulatory Charge'!AD554+Fuel!AD554+PCM!AE554+Interest!AD554+'O&amp;M'!AF554+'Capex &amp; Depr'!AF554+Debt!AG554+Pat.!W554+Rates!AD554</f>
        <v>1.2478942340000002E-3</v>
      </c>
      <c r="AK554" s="106">
        <f>+'Regulatory Charge'!AE554+Fuel!AE554+PCM!AF554+Interest!AE554+'O&amp;M'!AG554+'Capex &amp; Depr'!AG554+Debt!AH554+Pat.!X554+Rates!AE554</f>
        <v>6.617235994800001E-3</v>
      </c>
      <c r="AL554" s="106">
        <f>+'Regulatory Charge'!AF554+Fuel!AF554+PCM!AG554+Interest!AF554+'O&amp;M'!AH554+'Capex &amp; Depr'!AH554+Debt!AI554+Pat.!Y554+Rates!AF554</f>
        <v>1.2684375015999999E-3</v>
      </c>
      <c r="AM554" s="106">
        <f>+'Regulatory Charge'!AG554+Fuel!AG554+PCM!AH554+Interest!AG554+'O&amp;M'!AI554+'Capex &amp; Depr'!AI554+Debt!AJ554+Pat.!Z554+Rates!AG554</f>
        <v>1.2509538696E-3</v>
      </c>
      <c r="AN554" s="106">
        <f>+'Regulatory Charge'!AH554+Fuel!AH554+PCM!AI554+Interest!AH554+'O&amp;M'!AJ554+'Capex &amp; Depr'!AJ554+Debt!AK554+Pat.!AA554+Rates!AH554</f>
        <v>4.2550789380000013E-3</v>
      </c>
      <c r="AO554" s="106">
        <f>+'Regulatory Charge'!AI554+Fuel!AI554+PCM!AJ554+Interest!AI554+'O&amp;M'!AK554+'Capex &amp; Depr'!AK554+Debt!AL554+Pat.!AB554+Rates!AI554</f>
        <v>1.6189843232000001E-3</v>
      </c>
      <c r="AP554" s="106">
        <f>+'Regulatory Charge'!AJ554+Fuel!AJ554+PCM!AK554+Interest!AJ554+'O&amp;M'!AL554+'Capex &amp; Depr'!AL554+Debt!AM554+Pat.!AC554+Rates!AJ554</f>
        <v>1.2354371461999998E-3</v>
      </c>
      <c r="AQ554" s="106">
        <f>+'Regulatory Charge'!AK554+Fuel!AK554+PCM!AL554+Interest!AK554+'O&amp;M'!AM554+'Capex &amp; Depr'!AM554+Debt!AN554+Pat.!AD554+Rates!AK554</f>
        <v>6.3438356210000005E-3</v>
      </c>
      <c r="AR554" s="224">
        <f t="shared" si="11"/>
        <v>3.1854539991199998E-2</v>
      </c>
      <c r="AS554" s="106">
        <f>+'Regulatory Charge'!AM554+Fuel!AM554+PCM!AN554+Interest!AM554+'O&amp;M'!AO554+'Capex &amp; Depr'!AO554+Debt!AP554+Pat.!AF554+Rates!AM554</f>
        <v>3.2810176190936E-2</v>
      </c>
      <c r="AT554" s="106">
        <f>+'Regulatory Charge'!AN554+Fuel!AN554+PCM!AO554+Interest!AN554+'O&amp;M'!AP554+'Capex &amp; Depr'!AP554+Debt!AQ554+Pat.!AG554+Rates!AN554</f>
        <v>3.3466379714754732E-2</v>
      </c>
      <c r="AU554" s="106">
        <f>+'Regulatory Charge'!AO554+Fuel!AO554+PCM!AP554+Interest!AO554+'O&amp;M'!AQ554+'Capex &amp; Depr'!AQ554+Debt!AR554+Pat.!AH554+Rates!AO554</f>
        <v>3.4470371106197377E-2</v>
      </c>
      <c r="AV554" s="106">
        <f>+'Regulatory Charge'!AP554+Fuel!AP554+PCM!AQ554+Interest!AP554+'O&amp;M'!AR554+'Capex &amp; Depr'!AR554+Debt!AS554+Pat.!AI554+Rates!AP554</f>
        <v>3.5504482239383302E-2</v>
      </c>
      <c r="AW554" s="106">
        <f>+'Regulatory Charge'!AQ554+Fuel!AQ554+PCM!AR554+Interest!AQ554+'O&amp;M'!AS554+'Capex &amp; Depr'!AS554+Debt!AT554+Pat.!AJ554+Rates!AQ554</f>
        <v>3.6569616706564799E-2</v>
      </c>
      <c r="AX554" s="106">
        <f>+'Regulatory Charge'!AR554+Fuel!AR554+PCM!AS554+Interest!AR554+'O&amp;M'!AT554+'Capex &amp; Depr'!AT554+Debt!AU554+Pat.!AK554+Rates!AR554</f>
        <v>3.7666705207761747E-2</v>
      </c>
      <c r="AY554" s="106">
        <f>+'Regulatory Charge'!AS554+Fuel!AS554+PCM!AT554+Interest!AS554+'O&amp;M'!AU554+'Capex &amp; Depr'!AU554+Debt!AV554+Pat.!AL554+Rates!AS554</f>
        <v>3.8796706363994599E-2</v>
      </c>
      <c r="AZ554" s="106">
        <f>+'Regulatory Charge'!AT554+Fuel!AT554+PCM!AU554+Interest!AT554+'O&amp;M'!AV554+'Capex &amp; Depr'!AV554+Debt!AW554+Pat.!AM554+Rates!AT554</f>
        <v>3.9960607554914436E-2</v>
      </c>
      <c r="BA554" s="106">
        <f>+'Regulatory Charge'!AU554+Fuel!AU554+PCM!AV554+Interest!AU554+'O&amp;M'!AW554+'Capex &amp; Depr'!AW554+Debt!AX554+Pat.!AN554+Rates!AU554</f>
        <v>4.115942578156187E-2</v>
      </c>
      <c r="BB554" s="106">
        <f>+'Regulatory Charge'!AV554+Fuel!AV554+PCM!AW554+Interest!AV554+'O&amp;M'!AX554+'Capex &amp; Depr'!AX554+Debt!AY554+Pat.!AO554+Rates!AV554</f>
        <v>4.2394208555008729E-2</v>
      </c>
      <c r="BC554" s="106">
        <f>+'Regulatory Charge'!AW554+Fuel!AW554+PCM!AX554+Interest!AW554+'O&amp;M'!AY554+'Capex &amp; Depr'!AY554+Debt!AZ554+Pat.!AP554+Rates!AW554</f>
        <v>4.3666034811658989E-2</v>
      </c>
      <c r="BD554" s="106"/>
      <c r="BE554" s="106"/>
    </row>
    <row r="555" spans="1:57">
      <c r="A555" s="849">
        <v>913.1</v>
      </c>
      <c r="B555" s="846" t="s">
        <v>106</v>
      </c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224"/>
      <c r="S555" s="106">
        <f>+'Regulatory Charge'!M555+Fuel!M555+PCM!N555+Interest!M555+'O&amp;M'!O555+'Capex &amp; Depr'!O555+Debt!P555+Pat.!F555+Rates!M555</f>
        <v>5.5141338399999993E-3</v>
      </c>
      <c r="T555" s="106">
        <f>+'Regulatory Charge'!N555+Fuel!N555+PCM!O555+Interest!N555+'O&amp;M'!P555+'Capex &amp; Depr'!P555+Debt!Q555+Pat.!G555+Rates!N555</f>
        <v>4.8920220799999999E-3</v>
      </c>
      <c r="U555" s="106">
        <f>+'Regulatory Charge'!O555+Fuel!O555+PCM!P555+Interest!O555+'O&amp;M'!Q555+'Capex &amp; Depr'!Q555+Debt!R555+Pat.!H555+Rates!O555</f>
        <v>1.8268517840000005E-2</v>
      </c>
      <c r="V555" s="106">
        <f>+'Regulatory Charge'!P555+Fuel!P555+PCM!Q555+Interest!P555+'O&amp;M'!R555+'Capex &amp; Depr'!R555+Debt!S555+Pat.!I555+Rates!P555</f>
        <v>7.2580732799999992E-3</v>
      </c>
      <c r="W555" s="106">
        <f>+'Regulatory Charge'!Q555+Fuel!Q555+PCM!R555+Interest!Q555+'O&amp;M'!S555+'Capex &amp; Depr'!S555+Debt!T555+Pat.!J555+Rates!Q555</f>
        <v>7.2461911999999983E-3</v>
      </c>
      <c r="X555" s="106">
        <f>+'Regulatory Charge'!R555+Fuel!R555+PCM!S555+Interest!R555+'O&amp;M'!T555+'Capex &amp; Depr'!T555+Debt!U555+Pat.!K555+Rates!R555</f>
        <v>2.8680528000000004E-2</v>
      </c>
      <c r="Y555" s="106">
        <f>+'Regulatory Charge'!S555+Fuel!S555+PCM!T555+Interest!S555+'O&amp;M'!U555+'Capex &amp; Depr'!U555+Debt!V555+Pat.!L555+Rates!S555</f>
        <v>7.3259708799999993E-3</v>
      </c>
      <c r="Z555" s="106">
        <f>+'Regulatory Charge'!T555+Fuel!T555+PCM!U555+Interest!T555+'O&amp;M'!V555+'Capex &amp; Depr'!V555+Debt!W555+Pat.!M555+Rates!T555</f>
        <v>7.2580732799999992E-3</v>
      </c>
      <c r="AA555" s="106">
        <f>+'Regulatory Charge'!U555+Fuel!U555+PCM!V555+Interest!U555+'O&amp;M'!W555+'Capex &amp; Depr'!W555+Debt!X555+Pat.!N555+Rates!U555</f>
        <v>1.8924578400000003E-2</v>
      </c>
      <c r="AB555" s="106">
        <f>+'Regulatory Charge'!V555+Fuel!V555+PCM!W555+Interest!V555+'O&amp;M'!X555+'Capex &amp; Depr'!X555+Debt!Y555+Pat.!O555+Rates!V555</f>
        <v>8.6873177600000004E-3</v>
      </c>
      <c r="AC555" s="106">
        <f>+'Regulatory Charge'!W555+Fuel!W555+PCM!X555+Interest!W555+'O&amp;M'!Y555+'Capex &amp; Depr'!Y555+Debt!Z555+Pat.!P555+Rates!W555</f>
        <v>7.1978141599999988E-3</v>
      </c>
      <c r="AD555" s="106">
        <f>+'Regulatory Charge'!X555+Fuel!X555+PCM!Y555+Interest!X555+'O&amp;M'!Z555+'Capex &amp; Depr'!Z555+Debt!AA555+Pat.!Q555+Rates!X555</f>
        <v>2.1451802800000003E-2</v>
      </c>
      <c r="AE555" s="224">
        <f t="shared" si="10"/>
        <v>0.14270502352000003</v>
      </c>
      <c r="AF555" s="106">
        <f>+'Regulatory Charge'!Z555+Fuel!Z555+PCM!AA555+Interest!Z555+'O&amp;M'!AB555+'Capex &amp; Depr'!AB555+Debt!AC555+Pat.!S555+Rates!Z555</f>
        <v>6.3895025870999997E-3</v>
      </c>
      <c r="AG555" s="106">
        <f>+'Regulatory Charge'!AA555+Fuel!AA555+PCM!AB555+Interest!AA555+'O&amp;M'!AC555+'Capex &amp; Depr'!AC555+Debt!AD555+Pat.!T555+Rates!AA555</f>
        <v>5.6686305851999996E-3</v>
      </c>
      <c r="AH555" s="106">
        <f>+'Regulatory Charge'!AB555+Fuel!AB555+PCM!AC555+Interest!AB555+'O&amp;M'!AD555+'Capex &amp; Depr'!AD555+Debt!AE555+Pat.!U555+Rates!AB555</f>
        <v>1.8387645047099999E-2</v>
      </c>
      <c r="AI555" s="106">
        <f>+'Regulatory Charge'!AC555+Fuel!AC555+PCM!AD555+Interest!AC555+'O&amp;M'!AE555+'Capex &amp; Depr'!AE555+Debt!AF555+Pat.!V555+Rates!AC555</f>
        <v>5.6292924131999995E-3</v>
      </c>
      <c r="AJ555" s="106">
        <f>+'Regulatory Charge'!AD555+Fuel!AD555+PCM!AE555+Interest!AD555+'O&amp;M'!AF555+'Capex &amp; Depr'!AF555+Debt!AG555+Pat.!W555+Rates!AD555</f>
        <v>5.6155240529999996E-3</v>
      </c>
      <c r="AK555" s="106">
        <f>+'Regulatory Charge'!AE555+Fuel!AE555+PCM!AF555+Interest!AE555+'O&amp;M'!AG555+'Capex &amp; Depr'!AG555+Debt!AH555+Pat.!X555+Rates!AE555</f>
        <v>2.97775619766E-2</v>
      </c>
      <c r="AL555" s="106">
        <f>+'Regulatory Charge'!AF555+Fuel!AF555+PCM!AG555+Interest!AF555+'O&amp;M'!AH555+'Capex &amp; Depr'!AH555+Debt!AI555+Pat.!Y555+Rates!AF555</f>
        <v>5.7079687572000005E-3</v>
      </c>
      <c r="AM555" s="106">
        <f>+'Regulatory Charge'!AG555+Fuel!AG555+PCM!AH555+Interest!AG555+'O&amp;M'!AI555+'Capex &amp; Depr'!AI555+Debt!AJ555+Pat.!Z555+Rates!AG555</f>
        <v>5.6292924131999995E-3</v>
      </c>
      <c r="AN555" s="106">
        <f>+'Regulatory Charge'!AH555+Fuel!AH555+PCM!AI555+Interest!AH555+'O&amp;M'!AJ555+'Capex &amp; Depr'!AJ555+Debt!AK555+Pat.!AA555+Rates!AH555</f>
        <v>1.9147855221000001E-2</v>
      </c>
      <c r="AO555" s="106">
        <f>+'Regulatory Charge'!AI555+Fuel!AI555+PCM!AJ555+Interest!AI555+'O&amp;M'!AK555+'Capex &amp; Depr'!AK555+Debt!AL555+Pat.!AB555+Rates!AI555</f>
        <v>7.2854294544000006E-3</v>
      </c>
      <c r="AP555" s="106">
        <f>+'Regulatory Charge'!AJ555+Fuel!AJ555+PCM!AK555+Interest!AJ555+'O&amp;M'!AL555+'Capex &amp; Depr'!AL555+Debt!AM555+Pat.!AC555+Rates!AJ555</f>
        <v>5.5594671578999997E-3</v>
      </c>
      <c r="AQ555" s="106">
        <f>+'Regulatory Charge'!AK555+Fuel!AK555+PCM!AL555+Interest!AK555+'O&amp;M'!AM555+'Capex &amp; Depr'!AM555+Debt!AN555+Pat.!AD555+Rates!AK555</f>
        <v>2.8547260294499999E-2</v>
      </c>
      <c r="AR555" s="224">
        <f t="shared" si="11"/>
        <v>0.14334542996040001</v>
      </c>
      <c r="AS555" s="106">
        <f>+'Regulatory Charge'!AM555+Fuel!AM555+PCM!AN555+Interest!AM555+'O&amp;M'!AO555+'Capex &amp; Depr'!AO555+Debt!AP555+Pat.!AF555+Rates!AM555</f>
        <v>0.14764579285921201</v>
      </c>
      <c r="AT555" s="106">
        <f>+'Regulatory Charge'!AN555+Fuel!AN555+PCM!AO555+Interest!AN555+'O&amp;M'!AP555+'Capex &amp; Depr'!AP555+Debt!AQ555+Pat.!AG555+Rates!AN555</f>
        <v>0.15059870871639627</v>
      </c>
      <c r="AU555" s="106">
        <f>+'Regulatory Charge'!AO555+Fuel!AO555+PCM!AP555+Interest!AO555+'O&amp;M'!AQ555+'Capex &amp; Depr'!AQ555+Debt!AR555+Pat.!AH555+Rates!AO555</f>
        <v>0.15511666997788817</v>
      </c>
      <c r="AV555" s="106">
        <f>+'Regulatory Charge'!AP555+Fuel!AP555+PCM!AQ555+Interest!AP555+'O&amp;M'!AR555+'Capex &amp; Depr'!AR555+Debt!AS555+Pat.!AI555+Rates!AP555</f>
        <v>0.15977017007722483</v>
      </c>
      <c r="AW555" s="106">
        <f>+'Regulatory Charge'!AQ555+Fuel!AQ555+PCM!AR555+Interest!AQ555+'O&amp;M'!AS555+'Capex &amp; Depr'!AS555+Debt!AT555+Pat.!AJ555+Rates!AQ555</f>
        <v>0.16456327517954158</v>
      </c>
      <c r="AX555" s="106">
        <f>+'Regulatory Charge'!AR555+Fuel!AR555+PCM!AS555+Interest!AR555+'O&amp;M'!AT555+'Capex &amp; Depr'!AT555+Debt!AU555+Pat.!AK555+Rates!AR555</f>
        <v>0.16950017343492785</v>
      </c>
      <c r="AY555" s="106">
        <f>+'Regulatory Charge'!AS555+Fuel!AS555+PCM!AT555+Interest!AS555+'O&amp;M'!AU555+'Capex &amp; Depr'!AU555+Debt!AV555+Pat.!AL555+Rates!AS555</f>
        <v>0.17458517863797568</v>
      </c>
      <c r="AZ555" s="106">
        <f>+'Regulatory Charge'!AT555+Fuel!AT555+PCM!AU555+Interest!AT555+'O&amp;M'!AV555+'Capex &amp; Depr'!AV555+Debt!AW555+Pat.!AM555+Rates!AT555</f>
        <v>0.17982273399711496</v>
      </c>
      <c r="BA555" s="106">
        <f>+'Regulatory Charge'!AU555+Fuel!AU555+PCM!AV555+Interest!AU555+'O&amp;M'!AW555+'Capex &amp; Depr'!AW555+Debt!AX555+Pat.!AN555+Rates!AU555</f>
        <v>0.1852174160170284</v>
      </c>
      <c r="BB555" s="106">
        <f>+'Regulatory Charge'!AV555+Fuel!AV555+PCM!AW555+Interest!AV555+'O&amp;M'!AX555+'Capex &amp; Depr'!AX555+Debt!AY555+Pat.!AO555+Rates!AV555</f>
        <v>0.19077393849753926</v>
      </c>
      <c r="BC555" s="106">
        <f>+'Regulatory Charge'!AW555+Fuel!AW555+PCM!AX555+Interest!AW555+'O&amp;M'!AY555+'Capex &amp; Depr'!AY555+Debt!AZ555+Pat.!AP555+Rates!AW555</f>
        <v>0.19649715665246545</v>
      </c>
      <c r="BD555" s="106"/>
      <c r="BE555" s="106"/>
    </row>
    <row r="556" spans="1:57">
      <c r="A556" s="849" t="s">
        <v>810</v>
      </c>
      <c r="B556" s="846" t="s">
        <v>107</v>
      </c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224"/>
      <c r="S556" s="106">
        <f>+'Regulatory Charge'!M556+Fuel!M556+PCM!N556+Interest!M556+'O&amp;M'!O556+'Capex &amp; Depr'!O556+Debt!P556+Pat.!F556+Rates!M556</f>
        <v>1.2157867828020203</v>
      </c>
      <c r="T556" s="106">
        <f>+'Regulatory Charge'!N556+Fuel!N556+PCM!O556+Interest!N556+'O&amp;M'!P556+'Capex &amp; Depr'!P556+Debt!Q556+Pat.!G556+Rates!N556</f>
        <v>1.1737800451241003</v>
      </c>
      <c r="U556" s="106">
        <f>+'Regulatory Charge'!O556+Fuel!O556+PCM!P556+Interest!O556+'O&amp;M'!Q556+'Capex &amp; Depr'!Q556+Debt!R556+Pat.!H556+Rates!O556</f>
        <v>1.2661948680155246</v>
      </c>
      <c r="V556" s="106">
        <f>+'Regulatory Charge'!P556+Fuel!P556+PCM!Q556+Interest!P556+'O&amp;M'!R556+'Capex &amp; Depr'!R556+Debt!S556+Pat.!I556+Rates!P556</f>
        <v>1.2073854352664364</v>
      </c>
      <c r="W556" s="106">
        <f>+'Regulatory Charge'!Q556+Fuel!Q556+PCM!R556+Interest!Q556+'O&amp;M'!S556+'Capex &amp; Depr'!S556+Debt!T556+Pat.!J556+Rates!Q556</f>
        <v>1.2829975630866925</v>
      </c>
      <c r="X556" s="106">
        <f>+'Regulatory Charge'!R556+Fuel!R556+PCM!S556+Interest!R556+'O&amp;M'!T556+'Capex &amp; Depr'!T556+Debt!U556+Pat.!K556+Rates!R556</f>
        <v>1.1065692648394281</v>
      </c>
      <c r="Y556" s="106">
        <f>+'Regulatory Charge'!S556+Fuel!S556+PCM!T556+Interest!S556+'O&amp;M'!U556+'Capex &amp; Depr'!U556+Debt!V556+Pat.!L556+Rates!S556</f>
        <v>1.2073854352664364</v>
      </c>
      <c r="Z556" s="106">
        <f>+'Regulatory Charge'!T556+Fuel!T556+PCM!U556+Interest!T556+'O&amp;M'!V556+'Capex &amp; Depr'!V556+Debt!W556+Pat.!M556+Rates!T556</f>
        <v>1.2829975630866925</v>
      </c>
      <c r="AA556" s="106">
        <f>+'Regulatory Charge'!U556+Fuel!U556+PCM!V556+Interest!U556+'O&amp;M'!W556+'Capex &amp; Depr'!W556+Debt!X556+Pat.!N556+Rates!U556</f>
        <v>1.1082426551316609</v>
      </c>
      <c r="AB556" s="106">
        <f>+'Regulatory Charge'!V556+Fuel!V556+PCM!W556+Interest!V556+'O&amp;M'!X556+'Capex &amp; Depr'!X556+Debt!Y556+Pat.!O556+Rates!V556</f>
        <v>1.3194972900368998</v>
      </c>
      <c r="AC556" s="106">
        <f>+'Regulatory Charge'!W556+Fuel!W556+PCM!X556+Interest!W556+'O&amp;M'!Y556+'Capex &amp; Depr'!Y556+Debt!Z556+Pat.!P556+Rates!W556</f>
        <v>1.092175520900277</v>
      </c>
      <c r="AD556" s="106">
        <f>+'Regulatory Charge'!X556+Fuel!X556+PCM!Y556+Interest!X556+'O&amp;M'!Z556+'Capex &amp; Depr'!Z556+Debt!AA556+Pat.!Q556+Rates!X556</f>
        <v>1.0766656111086459</v>
      </c>
      <c r="AE556" s="224">
        <f t="shared" si="10"/>
        <v>14.339678034664816</v>
      </c>
      <c r="AF556" s="106">
        <f>+'Regulatory Charge'!Z556+Fuel!Z556+PCM!AA556+Interest!Z556+'O&amp;M'!AB556+'Capex &amp; Depr'!AB556+Debt!AC556+Pat.!S556+Rates!Z556</f>
        <v>1.148537578263553</v>
      </c>
      <c r="AG556" s="106">
        <f>+'Regulatory Charge'!AA556+Fuel!AA556+PCM!AB556+Interest!AA556+'O&amp;M'!AC556+'Capex &amp; Depr'!AC556+Debt!AD556+Pat.!T556+Rates!AA556</f>
        <v>1.1087592031540376</v>
      </c>
      <c r="AH556" s="106">
        <f>+'Regulatory Charge'!AB556+Fuel!AB556+PCM!AC556+Interest!AB556+'O&amp;M'!AD556+'Capex &amp; Depr'!AD556+Debt!AE556+Pat.!U556+Rates!AB556</f>
        <v>1.1962716283949708</v>
      </c>
      <c r="AI556" s="106">
        <f>+'Regulatory Charge'!AC556+Fuel!AC556+PCM!AD556+Interest!AC556+'O&amp;M'!AE556+'Capex &amp; Depr'!AE556+Debt!AF556+Pat.!V556+Rates!AC556</f>
        <v>1.1405819032416498</v>
      </c>
      <c r="AJ556" s="106">
        <f>+'Regulatory Charge'!AD556+Fuel!AD556+PCM!AE556+Interest!AD556+'O&amp;M'!AF556+'Capex &amp; Depr'!AF556+Debt!AG556+Pat.!W556+Rates!AD556</f>
        <v>1.2121829784387774</v>
      </c>
      <c r="AK556" s="106">
        <f>+'Regulatory Charge'!AE556+Fuel!AE556+PCM!AF556+Interest!AE556+'O&amp;M'!AG556+'Capex &amp; Depr'!AG556+Debt!AH556+Pat.!X556+Rates!AE556</f>
        <v>1.0451138029788132</v>
      </c>
      <c r="AL556" s="106">
        <f>+'Regulatory Charge'!AF556+Fuel!AF556+PCM!AG556+Interest!AF556+'O&amp;M'!AH556+'Capex &amp; Depr'!AH556+Debt!AI556+Pat.!Y556+Rates!AF556</f>
        <v>1.1405819032416498</v>
      </c>
      <c r="AM556" s="106">
        <f>+'Regulatory Charge'!AG556+Fuel!AG556+PCM!AH556+Interest!AG556+'O&amp;M'!AI556+'Capex &amp; Depr'!AI556+Debt!AJ556+Pat.!Z556+Rates!AG556</f>
        <v>1.2121829784387774</v>
      </c>
      <c r="AN556" s="106">
        <f>+'Regulatory Charge'!AH556+Fuel!AH556+PCM!AI556+Interest!AH556+'O&amp;M'!AJ556+'Capex &amp; Depr'!AJ556+Debt!AK556+Pat.!AA556+Rates!AH556</f>
        <v>1.0461585576736301</v>
      </c>
      <c r="AO556" s="106">
        <f>+'Regulatory Charge'!AI556+Fuel!AI556+PCM!AJ556+Interest!AI556+'O&amp;M'!AK556+'Capex &amp; Depr'!AK556+Debt!AL556+Pat.!AB556+Rates!AI556</f>
        <v>1.2580277259571448</v>
      </c>
      <c r="AP556" s="106">
        <f>+'Regulatory Charge'!AJ556+Fuel!AJ556+PCM!AK556+Interest!AJ556+'O&amp;M'!AL556+'Capex &amp; Depr'!AL556+Debt!AM556+Pat.!AC556+Rates!AJ556</f>
        <v>1.0408729768835865</v>
      </c>
      <c r="AQ556" s="106">
        <f>+'Regulatory Charge'!AK556+Fuel!AK556+PCM!AL556+Interest!AK556+'O&amp;M'!AM556+'Capex &amp; Depr'!AM556+Debt!AN556+Pat.!AD556+Rates!AK556</f>
        <v>1.0730440508204098</v>
      </c>
      <c r="AR556" s="224">
        <f t="shared" si="11"/>
        <v>13.622315287487</v>
      </c>
      <c r="AS556" s="106">
        <f>+'Regulatory Charge'!AM556+Fuel!AM556+PCM!AN556+Interest!AM556+'O&amp;M'!AO556+'Capex &amp; Depr'!AO556+Debt!AP556+Pat.!AF556+Rates!AM556</f>
        <v>14.069524273470325</v>
      </c>
      <c r="AT556" s="106">
        <f>+'Regulatory Charge'!AN556+Fuel!AN556+PCM!AO556+Interest!AN556+'O&amp;M'!AP556+'Capex &amp; Depr'!AP556+Debt!AQ556+Pat.!AG556+Rates!AN556</f>
        <v>14.400943815414019</v>
      </c>
      <c r="AU556" s="106">
        <f>+'Regulatory Charge'!AO556+Fuel!AO556+PCM!AP556+Interest!AO556+'O&amp;M'!AQ556+'Capex &amp; Depr'!AQ556+Debt!AR556+Pat.!AH556+Rates!AO556</f>
        <v>14.83297212987644</v>
      </c>
      <c r="AV556" s="106">
        <f>+'Regulatory Charge'!AP556+Fuel!AP556+PCM!AQ556+Interest!AP556+'O&amp;M'!AR556+'Capex &amp; Depr'!AR556+Debt!AS556+Pat.!AI556+Rates!AP556</f>
        <v>15.277961293772734</v>
      </c>
      <c r="AW556" s="106">
        <f>+'Regulatory Charge'!AQ556+Fuel!AQ556+PCM!AR556+Interest!AQ556+'O&amp;M'!AS556+'Capex &amp; Depr'!AS556+Debt!AT556+Pat.!AJ556+Rates!AQ556</f>
        <v>15.736300132585916</v>
      </c>
      <c r="AX556" s="106">
        <f>+'Regulatory Charge'!AR556+Fuel!AR556+PCM!AS556+Interest!AR556+'O&amp;M'!AT556+'Capex &amp; Depr'!AT556+Debt!AU556+Pat.!AK556+Rates!AR556</f>
        <v>16.208389136563493</v>
      </c>
      <c r="AY556" s="106">
        <f>+'Regulatory Charge'!AS556+Fuel!AS556+PCM!AT556+Interest!AS556+'O&amp;M'!AU556+'Capex &amp; Depr'!AU556+Debt!AV556+Pat.!AL556+Rates!AS556</f>
        <v>16.694640810660399</v>
      </c>
      <c r="AZ556" s="106">
        <f>+'Regulatory Charge'!AT556+Fuel!AT556+PCM!AU556+Interest!AT556+'O&amp;M'!AV556+'Capex &amp; Depr'!AV556+Debt!AW556+Pat.!AM556+Rates!AT556</f>
        <v>17.195480034980211</v>
      </c>
      <c r="BA556" s="106">
        <f>+'Regulatory Charge'!AU556+Fuel!AU556+PCM!AV556+Interest!AU556+'O&amp;M'!AW556+'Capex &amp; Depr'!AW556+Debt!AX556+Pat.!AN556+Rates!AU556</f>
        <v>17.711344436029616</v>
      </c>
      <c r="BB556" s="106">
        <f>+'Regulatory Charge'!AV556+Fuel!AV556+PCM!AW556+Interest!AV556+'O&amp;M'!AX556+'Capex &amp; Depr'!AX556+Debt!AY556+Pat.!AO556+Rates!AV556</f>
        <v>18.242684769110504</v>
      </c>
      <c r="BC556" s="106">
        <f>+'Regulatory Charge'!AW556+Fuel!AW556+PCM!AX556+Interest!AW556+'O&amp;M'!AY556+'Capex &amp; Depr'!AY556+Debt!AZ556+Pat.!AP556+Rates!AW556</f>
        <v>18.789965312183821</v>
      </c>
      <c r="BD556" s="106"/>
      <c r="BE556" s="106"/>
    </row>
    <row r="557" spans="1:57">
      <c r="A557" s="849" t="s">
        <v>626</v>
      </c>
      <c r="B557" s="846" t="s">
        <v>108</v>
      </c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224"/>
      <c r="S557" s="106">
        <f>+'Regulatory Charge'!M557+Fuel!M557+PCM!N557+Interest!M557+'O&amp;M'!O557+'Capex &amp; Depr'!O557+Debt!P557+Pat.!F557+Rates!M557</f>
        <v>0.59970047304999996</v>
      </c>
      <c r="T557" s="106">
        <f>+'Regulatory Charge'!N557+Fuel!N557+PCM!O557+Interest!N557+'O&amp;M'!P557+'Capex &amp; Depr'!P557+Debt!Q557+Pat.!G557+Rates!N557</f>
        <v>0.57262918589999989</v>
      </c>
      <c r="U557" s="106">
        <f>+'Regulatory Charge'!O557+Fuel!O557+PCM!P557+Interest!O557+'O&amp;M'!Q557+'Capex &amp; Depr'!Q557+Debt!R557+Pat.!H557+Rates!O557</f>
        <v>1.0918803646499999</v>
      </c>
      <c r="V557" s="106">
        <f>+'Regulatory Charge'!P557+Fuel!P557+PCM!Q557+Interest!P557+'O&amp;M'!R557+'Capex &amp; Depr'!R557+Debt!S557+Pat.!I557+Rates!P557</f>
        <v>0.5774350772500001</v>
      </c>
      <c r="W557" s="106">
        <f>+'Regulatory Charge'!Q557+Fuel!Q557+PCM!R557+Interest!Q557+'O&amp;M'!S557+'Capex &amp; Depr'!S557+Debt!T557+Pat.!J557+Rates!Q557</f>
        <v>0.66083669825000002</v>
      </c>
      <c r="X557" s="106">
        <f>+'Regulatory Charge'!R557+Fuel!R557+PCM!S557+Interest!R557+'O&amp;M'!T557+'Capex &amp; Depr'!T557+Debt!U557+Pat.!K557+Rates!R557</f>
        <v>0.7893160144500001</v>
      </c>
      <c r="Y557" s="106">
        <f>+'Regulatory Charge'!S557+Fuel!S557+PCM!T557+Interest!S557+'O&amp;M'!U557+'Capex &amp; Depr'!U557+Debt!V557+Pat.!L557+Rates!S557</f>
        <v>0.60393180797000001</v>
      </c>
      <c r="Z557" s="106">
        <f>+'Regulatory Charge'!T557+Fuel!T557+PCM!U557+Interest!T557+'O&amp;M'!V557+'Capex &amp; Depr'!V557+Debt!W557+Pat.!M557+Rates!T557</f>
        <v>0.59598041486374997</v>
      </c>
      <c r="AA557" s="106">
        <f>+'Regulatory Charge'!U557+Fuel!U557+PCM!V557+Interest!U557+'O&amp;M'!W557+'Capex &amp; Depr'!W557+Debt!X557+Pat.!N557+Rates!U557</f>
        <v>0.57549497430999996</v>
      </c>
      <c r="AB557" s="106">
        <f>+'Regulatory Charge'!V557+Fuel!V557+PCM!W557+Interest!V557+'O&amp;M'!X557+'Capex &amp; Depr'!X557+Debt!Y557+Pat.!O557+Rates!V557</f>
        <v>0.61052207354999999</v>
      </c>
      <c r="AC557" s="106">
        <f>+'Regulatory Charge'!W557+Fuel!W557+PCM!X557+Interest!W557+'O&amp;M'!Y557+'Capex &amp; Depr'!Y557+Debt!Z557+Pat.!P557+Rates!W557</f>
        <v>0.52810946834999994</v>
      </c>
      <c r="AD557" s="106">
        <f>+'Regulatory Charge'!X557+Fuel!X557+PCM!Y557+Interest!X557+'O&amp;M'!Z557+'Capex &amp; Depr'!Z557+Debt!AA557+Pat.!Q557+Rates!X557</f>
        <v>0.72707597475000008</v>
      </c>
      <c r="AE557" s="224">
        <f t="shared" si="10"/>
        <v>7.9329125273437491</v>
      </c>
      <c r="AF557" s="106">
        <f>+'Regulatory Charge'!Z557+Fuel!Z557+PCM!AA557+Interest!Z557+'O&amp;M'!AB557+'Capex &amp; Depr'!AB557+Debt!AC557+Pat.!S557+Rates!Z557</f>
        <v>0.61678824722000003</v>
      </c>
      <c r="AG557" s="106">
        <f>+'Regulatory Charge'!AA557+Fuel!AA557+PCM!AB557+Interest!AA557+'O&amp;M'!AC557+'Capex &amp; Depr'!AC557+Debt!AD557+Pat.!T557+Rates!AA557</f>
        <v>0.59747604967000012</v>
      </c>
      <c r="AH557" s="106">
        <f>+'Regulatory Charge'!AB557+Fuel!AB557+PCM!AC557+Interest!AB557+'O&amp;M'!AD557+'Capex &amp; Depr'!AD557+Debt!AE557+Pat.!U557+Rates!AB557</f>
        <v>1.1137021849100002</v>
      </c>
      <c r="AI557" s="106">
        <f>+'Regulatory Charge'!AC557+Fuel!AC557+PCM!AD557+Interest!AC557+'O&amp;M'!AE557+'Capex &amp; Depr'!AE557+Debt!AF557+Pat.!V557+Rates!AC557</f>
        <v>0.64262052326999997</v>
      </c>
      <c r="AJ557" s="106">
        <f>+'Regulatory Charge'!AD557+Fuel!AD557+PCM!AE557+Interest!AD557+'O&amp;M'!AF557+'Capex &amp; Depr'!AF557+Debt!AG557+Pat.!W557+Rates!AD557</f>
        <v>0.68549010266999999</v>
      </c>
      <c r="AK557" s="106">
        <f>+'Regulatory Charge'!AE557+Fuel!AE557+PCM!AF557+Interest!AE557+'O&amp;M'!AG557+'Capex &amp; Depr'!AG557+Debt!AH557+Pat.!X557+Rates!AE557</f>
        <v>0.79019398777000005</v>
      </c>
      <c r="AL557" s="106">
        <f>+'Regulatory Charge'!AF557+Fuel!AF557+PCM!AG557+Interest!AF557+'O&amp;M'!AH557+'Capex &amp; Depr'!AH557+Debt!AI557+Pat.!Y557+Rates!AF557</f>
        <v>0.62582592372000012</v>
      </c>
      <c r="AM557" s="106">
        <f>+'Regulatory Charge'!AG557+Fuel!AG557+PCM!AH557+Interest!AG557+'O&amp;M'!AI557+'Capex &amp; Depr'!AI557+Debt!AJ557+Pat.!Z557+Rates!AG557</f>
        <v>0.62338395537000002</v>
      </c>
      <c r="AN557" s="106">
        <f>+'Regulatory Charge'!AH557+Fuel!AH557+PCM!AI557+Interest!AH557+'O&amp;M'!AJ557+'Capex &amp; Depr'!AJ557+Debt!AK557+Pat.!AA557+Rates!AH557</f>
        <v>0.63014110739499996</v>
      </c>
      <c r="AO557" s="106">
        <f>+'Regulatory Charge'!AI557+Fuel!AI557+PCM!AJ557+Interest!AI557+'O&amp;M'!AK557+'Capex &amp; Depr'!AK557+Debt!AL557+Pat.!AB557+Rates!AI557</f>
        <v>0.64805168327000007</v>
      </c>
      <c r="AP557" s="106">
        <f>+'Regulatory Charge'!AJ557+Fuel!AJ557+PCM!AK557+Interest!AJ557+'O&amp;M'!AL557+'Capex &amp; Depr'!AL557+Debt!AM557+Pat.!AC557+Rates!AJ557</f>
        <v>0.56323245682</v>
      </c>
      <c r="AQ557" s="106">
        <f>+'Regulatory Charge'!AK557+Fuel!AK557+PCM!AL557+Interest!AK557+'O&amp;M'!AM557+'Capex &amp; Depr'!AM557+Debt!AN557+Pat.!AD557+Rates!AK557</f>
        <v>0.78299753136999994</v>
      </c>
      <c r="AR557" s="224">
        <f t="shared" si="11"/>
        <v>8.3199037534549998</v>
      </c>
      <c r="AS557" s="106">
        <f>+'Regulatory Charge'!AM557+Fuel!AM557+PCM!AN557+Interest!AM557+'O&amp;M'!AO557+'Capex &amp; Depr'!AO557+Debt!AP557+Pat.!AF557+Rates!AM557</f>
        <v>8.4787328288066526</v>
      </c>
      <c r="AT557" s="106">
        <f>+'Regulatory Charge'!AN557+Fuel!AN557+PCM!AO557+Interest!AN557+'O&amp;M'!AP557+'Capex &amp; Depr'!AP557+Debt!AQ557+Pat.!AG557+Rates!AN557</f>
        <v>8.7787176135641509</v>
      </c>
      <c r="AU557" s="106">
        <f>+'Regulatory Charge'!AO557+Fuel!AO557+PCM!AP557+Interest!AO557+'O&amp;M'!AQ557+'Capex &amp; Depr'!AQ557+Debt!AR557+Pat.!AH557+Rates!AO557</f>
        <v>9.042079141971076</v>
      </c>
      <c r="AV557" s="106">
        <f>+'Regulatory Charge'!AP557+Fuel!AP557+PCM!AQ557+Interest!AP557+'O&amp;M'!AR557+'Capex &amp; Depr'!AR557+Debt!AS557+Pat.!AI557+Rates!AP557</f>
        <v>9.3133415162302082</v>
      </c>
      <c r="AW557" s="106">
        <f>+'Regulatory Charge'!AQ557+Fuel!AQ557+PCM!AR557+Interest!AQ557+'O&amp;M'!AS557+'Capex &amp; Depr'!AS557+Debt!AT557+Pat.!AJ557+Rates!AQ557</f>
        <v>9.5927417617171145</v>
      </c>
      <c r="AX557" s="106">
        <f>+'Regulatory Charge'!AR557+Fuel!AR557+PCM!AS557+Interest!AR557+'O&amp;M'!AT557+'Capex &amp; Depr'!AT557+Debt!AU557+Pat.!AK557+Rates!AR557</f>
        <v>9.8805240145686284</v>
      </c>
      <c r="AY557" s="106">
        <f>+'Regulatory Charge'!AS557+Fuel!AS557+PCM!AT557+Interest!AS557+'O&amp;M'!AU557+'Capex &amp; Depr'!AU557+Debt!AV557+Pat.!AL557+Rates!AS557</f>
        <v>10.176939735005687</v>
      </c>
      <c r="AZ557" s="106">
        <f>+'Regulatory Charge'!AT557+Fuel!AT557+PCM!AU557+Interest!AT557+'O&amp;M'!AV557+'Capex &amp; Depr'!AV557+Debt!AW557+Pat.!AM557+Rates!AT557</f>
        <v>10.482247927055859</v>
      </c>
      <c r="BA557" s="106">
        <f>+'Regulatory Charge'!AU557+Fuel!AU557+PCM!AV557+Interest!AU557+'O&amp;M'!AW557+'Capex &amp; Depr'!AW557+Debt!AX557+Pat.!AN557+Rates!AU557</f>
        <v>10.796715364867534</v>
      </c>
      <c r="BB557" s="106">
        <f>+'Regulatory Charge'!AV557+Fuel!AV557+PCM!AW557+Interest!AV557+'O&amp;M'!AX557+'Capex &amp; Depr'!AX557+Debt!AY557+Pat.!AO557+Rates!AV557</f>
        <v>11.12061682581356</v>
      </c>
      <c r="BC557" s="106">
        <f>+'Regulatory Charge'!AW557+Fuel!AW557+PCM!AX557+Interest!AW557+'O&amp;M'!AY557+'Capex &amp; Depr'!AY557+Debt!AZ557+Pat.!AP557+Rates!AW557</f>
        <v>11.454235330587967</v>
      </c>
      <c r="BD557" s="106"/>
      <c r="BE557" s="106"/>
    </row>
    <row r="558" spans="1:57">
      <c r="A558" s="849" t="s">
        <v>628</v>
      </c>
      <c r="B558" s="846" t="s">
        <v>109</v>
      </c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224"/>
      <c r="S558" s="106">
        <f>+'Regulatory Charge'!M558+Fuel!M558+PCM!N558+Interest!M558+'O&amp;M'!O558+'Capex &amp; Depr'!O558+Debt!P558+Pat.!F558+Rates!M558</f>
        <v>0</v>
      </c>
      <c r="T558" s="106">
        <f>+'Regulatory Charge'!N558+Fuel!N558+PCM!O558+Interest!N558+'O&amp;M'!P558+'Capex &amp; Depr'!P558+Debt!Q558+Pat.!G558+Rates!N558</f>
        <v>0</v>
      </c>
      <c r="U558" s="106">
        <f>+'Regulatory Charge'!O558+Fuel!O558+PCM!P558+Interest!O558+'O&amp;M'!Q558+'Capex &amp; Depr'!Q558+Debt!R558+Pat.!H558+Rates!O558</f>
        <v>0</v>
      </c>
      <c r="V558" s="106">
        <f>+'Regulatory Charge'!P558+Fuel!P558+PCM!Q558+Interest!P558+'O&amp;M'!R558+'Capex &amp; Depr'!R558+Debt!S558+Pat.!I558+Rates!P558</f>
        <v>0</v>
      </c>
      <c r="W558" s="106">
        <f>+'Regulatory Charge'!Q558+Fuel!Q558+PCM!R558+Interest!Q558+'O&amp;M'!S558+'Capex &amp; Depr'!S558+Debt!T558+Pat.!J558+Rates!Q558</f>
        <v>0</v>
      </c>
      <c r="X558" s="106">
        <f>+'Regulatory Charge'!R558+Fuel!R558+PCM!S558+Interest!R558+'O&amp;M'!T558+'Capex &amp; Depr'!T558+Debt!U558+Pat.!K558+Rates!R558</f>
        <v>0</v>
      </c>
      <c r="Y558" s="106">
        <f>+'Regulatory Charge'!S558+Fuel!S558+PCM!T558+Interest!S558+'O&amp;M'!U558+'Capex &amp; Depr'!U558+Debt!V558+Pat.!L558+Rates!S558</f>
        <v>0</v>
      </c>
      <c r="Z558" s="106">
        <f>+'Regulatory Charge'!T558+Fuel!T558+PCM!U558+Interest!T558+'O&amp;M'!V558+'Capex &amp; Depr'!V558+Debt!W558+Pat.!M558+Rates!T558</f>
        <v>0</v>
      </c>
      <c r="AA558" s="106">
        <f>+'Regulatory Charge'!U558+Fuel!U558+PCM!V558+Interest!U558+'O&amp;M'!W558+'Capex &amp; Depr'!W558+Debt!X558+Pat.!N558+Rates!U558</f>
        <v>0</v>
      </c>
      <c r="AB558" s="106">
        <f>+'Regulatory Charge'!V558+Fuel!V558+PCM!W558+Interest!V558+'O&amp;M'!X558+'Capex &amp; Depr'!X558+Debt!Y558+Pat.!O558+Rates!V558</f>
        <v>0</v>
      </c>
      <c r="AC558" s="106">
        <f>+'Regulatory Charge'!W558+Fuel!W558+PCM!X558+Interest!W558+'O&amp;M'!Y558+'Capex &amp; Depr'!Y558+Debt!Z558+Pat.!P558+Rates!W558</f>
        <v>0</v>
      </c>
      <c r="AD558" s="106">
        <f>+'Regulatory Charge'!X558+Fuel!X558+PCM!Y558+Interest!X558+'O&amp;M'!Z558+'Capex &amp; Depr'!Z558+Debt!AA558+Pat.!Q558+Rates!X558</f>
        <v>0</v>
      </c>
      <c r="AE558" s="224">
        <f t="shared" si="10"/>
        <v>0</v>
      </c>
      <c r="AF558" s="106">
        <f>+'Regulatory Charge'!Z558+Fuel!Z558+PCM!AA558+Interest!Z558+'O&amp;M'!AB558+'Capex &amp; Depr'!AB558+Debt!AC558+Pat.!S558+Rates!Z558</f>
        <v>0</v>
      </c>
      <c r="AG558" s="106">
        <f>+'Regulatory Charge'!AA558+Fuel!AA558+PCM!AB558+Interest!AA558+'O&amp;M'!AC558+'Capex &amp; Depr'!AC558+Debt!AD558+Pat.!T558+Rates!AA558</f>
        <v>0</v>
      </c>
      <c r="AH558" s="106">
        <f>+'Regulatory Charge'!AB558+Fuel!AB558+PCM!AC558+Interest!AB558+'O&amp;M'!AD558+'Capex &amp; Depr'!AD558+Debt!AE558+Pat.!U558+Rates!AB558</f>
        <v>0</v>
      </c>
      <c r="AI558" s="106">
        <f>+'Regulatory Charge'!AC558+Fuel!AC558+PCM!AD558+Interest!AC558+'O&amp;M'!AE558+'Capex &amp; Depr'!AE558+Debt!AF558+Pat.!V558+Rates!AC558</f>
        <v>0</v>
      </c>
      <c r="AJ558" s="106">
        <f>+'Regulatory Charge'!AD558+Fuel!AD558+PCM!AE558+Interest!AD558+'O&amp;M'!AF558+'Capex &amp; Depr'!AF558+Debt!AG558+Pat.!W558+Rates!AD558</f>
        <v>0</v>
      </c>
      <c r="AK558" s="106">
        <f>+'Regulatory Charge'!AE558+Fuel!AE558+PCM!AF558+Interest!AE558+'O&amp;M'!AG558+'Capex &amp; Depr'!AG558+Debt!AH558+Pat.!X558+Rates!AE558</f>
        <v>0</v>
      </c>
      <c r="AL558" s="106">
        <f>+'Regulatory Charge'!AF558+Fuel!AF558+PCM!AG558+Interest!AF558+'O&amp;M'!AH558+'Capex &amp; Depr'!AH558+Debt!AI558+Pat.!Y558+Rates!AF558</f>
        <v>0</v>
      </c>
      <c r="AM558" s="106">
        <f>+'Regulatory Charge'!AG558+Fuel!AG558+PCM!AH558+Interest!AG558+'O&amp;M'!AI558+'Capex &amp; Depr'!AI558+Debt!AJ558+Pat.!Z558+Rates!AG558</f>
        <v>0</v>
      </c>
      <c r="AN558" s="106">
        <f>+'Regulatory Charge'!AH558+Fuel!AH558+PCM!AI558+Interest!AH558+'O&amp;M'!AJ558+'Capex &amp; Depr'!AJ558+Debt!AK558+Pat.!AA558+Rates!AH558</f>
        <v>0</v>
      </c>
      <c r="AO558" s="106">
        <f>+'Regulatory Charge'!AI558+Fuel!AI558+PCM!AJ558+Interest!AI558+'O&amp;M'!AK558+'Capex &amp; Depr'!AK558+Debt!AL558+Pat.!AB558+Rates!AI558</f>
        <v>0</v>
      </c>
      <c r="AP558" s="106">
        <f>+'Regulatory Charge'!AJ558+Fuel!AJ558+PCM!AK558+Interest!AJ558+'O&amp;M'!AL558+'Capex &amp; Depr'!AL558+Debt!AM558+Pat.!AC558+Rates!AJ558</f>
        <v>0</v>
      </c>
      <c r="AQ558" s="106">
        <f>+'Regulatory Charge'!AK558+Fuel!AK558+PCM!AL558+Interest!AK558+'O&amp;M'!AM558+'Capex &amp; Depr'!AM558+Debt!AN558+Pat.!AD558+Rates!AK558</f>
        <v>0</v>
      </c>
      <c r="AR558" s="224">
        <f t="shared" si="11"/>
        <v>0</v>
      </c>
      <c r="AS558" s="106">
        <f>+'Regulatory Charge'!AM558+Fuel!AM558+PCM!AN558+Interest!AM558+'O&amp;M'!AO558+'Capex &amp; Depr'!AO558+Debt!AP558+Pat.!AF558+Rates!AM558</f>
        <v>0</v>
      </c>
      <c r="AT558" s="106">
        <f>+'Regulatory Charge'!AN558+Fuel!AN558+PCM!AO558+Interest!AN558+'O&amp;M'!AP558+'Capex &amp; Depr'!AP558+Debt!AQ558+Pat.!AG558+Rates!AN558</f>
        <v>0</v>
      </c>
      <c r="AU558" s="106">
        <f>+'Regulatory Charge'!AO558+Fuel!AO558+PCM!AP558+Interest!AO558+'O&amp;M'!AQ558+'Capex &amp; Depr'!AQ558+Debt!AR558+Pat.!AH558+Rates!AO558</f>
        <v>0</v>
      </c>
      <c r="AV558" s="106">
        <f>+'Regulatory Charge'!AP558+Fuel!AP558+PCM!AQ558+Interest!AP558+'O&amp;M'!AR558+'Capex &amp; Depr'!AR558+Debt!AS558+Pat.!AI558+Rates!AP558</f>
        <v>0</v>
      </c>
      <c r="AW558" s="106">
        <f>+'Regulatory Charge'!AQ558+Fuel!AQ558+PCM!AR558+Interest!AQ558+'O&amp;M'!AS558+'Capex &amp; Depr'!AS558+Debt!AT558+Pat.!AJ558+Rates!AQ558</f>
        <v>0</v>
      </c>
      <c r="AX558" s="106">
        <f>+'Regulatory Charge'!AR558+Fuel!AR558+PCM!AS558+Interest!AR558+'O&amp;M'!AT558+'Capex &amp; Depr'!AT558+Debt!AU558+Pat.!AK558+Rates!AR558</f>
        <v>0</v>
      </c>
      <c r="AY558" s="106">
        <f>+'Regulatory Charge'!AS558+Fuel!AS558+PCM!AT558+Interest!AS558+'O&amp;M'!AU558+'Capex &amp; Depr'!AU558+Debt!AV558+Pat.!AL558+Rates!AS558</f>
        <v>0</v>
      </c>
      <c r="AZ558" s="106">
        <f>+'Regulatory Charge'!AT558+Fuel!AT558+PCM!AU558+Interest!AT558+'O&amp;M'!AV558+'Capex &amp; Depr'!AV558+Debt!AW558+Pat.!AM558+Rates!AT558</f>
        <v>0</v>
      </c>
      <c r="BA558" s="106">
        <f>+'Regulatory Charge'!AU558+Fuel!AU558+PCM!AV558+Interest!AU558+'O&amp;M'!AW558+'Capex &amp; Depr'!AW558+Debt!AX558+Pat.!AN558+Rates!AU558</f>
        <v>0</v>
      </c>
      <c r="BB558" s="106">
        <f>+'Regulatory Charge'!AV558+Fuel!AV558+PCM!AW558+Interest!AV558+'O&amp;M'!AX558+'Capex &amp; Depr'!AX558+Debt!AY558+Pat.!AO558+Rates!AV558</f>
        <v>0</v>
      </c>
      <c r="BC558" s="106">
        <f>+'Regulatory Charge'!AW558+Fuel!AW558+PCM!AX558+Interest!AW558+'O&amp;M'!AY558+'Capex &amp; Depr'!AY558+Debt!AZ558+Pat.!AP558+Rates!AW558</f>
        <v>0</v>
      </c>
      <c r="BD558" s="106"/>
      <c r="BE558" s="106"/>
    </row>
    <row r="559" spans="1:57">
      <c r="A559" s="849">
        <v>921.10500000000002</v>
      </c>
      <c r="B559" s="848" t="s">
        <v>995</v>
      </c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224"/>
      <c r="S559" s="106">
        <f>+'Regulatory Charge'!M559+Fuel!M559+PCM!N559+Interest!M559+'O&amp;M'!O559+'Capex &amp; Depr'!O559+Debt!P559+Pat.!F559+Rates!M559</f>
        <v>4.7808999999999997E-2</v>
      </c>
      <c r="T559" s="106">
        <f>+'Regulatory Charge'!N559+Fuel!N559+PCM!O559+Interest!N559+'O&amp;M'!P559+'Capex &amp; Depr'!P559+Debt!Q559+Pat.!G559+Rates!N559</f>
        <v>4.7808999999999997E-2</v>
      </c>
      <c r="U559" s="106">
        <f>+'Regulatory Charge'!O559+Fuel!O559+PCM!P559+Interest!O559+'O&amp;M'!Q559+'Capex &amp; Depr'!Q559+Debt!R559+Pat.!H559+Rates!O559</f>
        <v>4.7808999999999997E-2</v>
      </c>
      <c r="V559" s="106">
        <f>+'Regulatory Charge'!P559+Fuel!P559+PCM!Q559+Interest!P559+'O&amp;M'!R559+'Capex &amp; Depr'!R559+Debt!S559+Pat.!I559+Rates!P559</f>
        <v>4.7808999999999997E-2</v>
      </c>
      <c r="W559" s="106">
        <f>+'Regulatory Charge'!Q559+Fuel!Q559+PCM!R559+Interest!Q559+'O&amp;M'!S559+'Capex &amp; Depr'!S559+Debt!T559+Pat.!J559+Rates!Q559</f>
        <v>4.7808999999999997E-2</v>
      </c>
      <c r="X559" s="106">
        <f>+'Regulatory Charge'!R559+Fuel!R559+PCM!S559+Interest!R559+'O&amp;M'!T559+'Capex &amp; Depr'!T559+Debt!U559+Pat.!K559+Rates!R559</f>
        <v>4.7760999999999998E-2</v>
      </c>
      <c r="Y559" s="106">
        <f>+'Regulatory Charge'!S559+Fuel!S559+PCM!T559+Interest!S559+'O&amp;M'!U559+'Capex &amp; Depr'!U559+Debt!V559+Pat.!L559+Rates!S559</f>
        <v>4.7760999999999998E-2</v>
      </c>
      <c r="Z559" s="106">
        <f>+'Regulatory Charge'!T559+Fuel!T559+PCM!U559+Interest!T559+'O&amp;M'!V559+'Capex &amp; Depr'!V559+Debt!W559+Pat.!M559+Rates!T559</f>
        <v>4.7760999999999998E-2</v>
      </c>
      <c r="AA559" s="106">
        <f>+'Regulatory Charge'!U559+Fuel!U559+PCM!V559+Interest!U559+'O&amp;M'!W559+'Capex &amp; Depr'!W559+Debt!X559+Pat.!N559+Rates!U559</f>
        <v>4.7760999999999998E-2</v>
      </c>
      <c r="AB559" s="106">
        <f>+'Regulatory Charge'!V559+Fuel!V559+PCM!W559+Interest!V559+'O&amp;M'!X559+'Capex &amp; Depr'!X559+Debt!Y559+Pat.!O559+Rates!V559</f>
        <v>4.7760999999999998E-2</v>
      </c>
      <c r="AC559" s="106">
        <f>+'Regulatory Charge'!W559+Fuel!W559+PCM!X559+Interest!W559+'O&amp;M'!Y559+'Capex &amp; Depr'!Y559+Debt!Z559+Pat.!P559+Rates!W559</f>
        <v>4.7760999999999998E-2</v>
      </c>
      <c r="AD559" s="106">
        <f>+'Regulatory Charge'!X559+Fuel!X559+PCM!Y559+Interest!X559+'O&amp;M'!Z559+'Capex &amp; Depr'!Z559+Debt!AA559+Pat.!Q559+Rates!X559</f>
        <v>4.7760999999999998E-2</v>
      </c>
      <c r="AE559" s="224">
        <f t="shared" si="10"/>
        <v>0.57337199999999999</v>
      </c>
      <c r="AF559" s="106">
        <f>+'Regulatory Charge'!Z559+Fuel!Z559+PCM!AA559+Interest!Z559+'O&amp;M'!AB559+'Capex &amp; Depr'!AB559+Debt!AC559+Pat.!S559+Rates!Z559</f>
        <v>4.7760999999999998E-2</v>
      </c>
      <c r="AG559" s="106">
        <f>+'Regulatory Charge'!AA559+Fuel!AA559+PCM!AB559+Interest!AA559+'O&amp;M'!AC559+'Capex &amp; Depr'!AC559+Debt!AD559+Pat.!T559+Rates!AA559</f>
        <v>4.7760999999999998E-2</v>
      </c>
      <c r="AH559" s="106">
        <f>+'Regulatory Charge'!AB559+Fuel!AB559+PCM!AC559+Interest!AB559+'O&amp;M'!AD559+'Capex &amp; Depr'!AD559+Debt!AE559+Pat.!U559+Rates!AB559</f>
        <v>4.7760999999999998E-2</v>
      </c>
      <c r="AI559" s="106">
        <f>+'Regulatory Charge'!AC559+Fuel!AC559+PCM!AD559+Interest!AC559+'O&amp;M'!AE559+'Capex &amp; Depr'!AE559+Debt!AF559+Pat.!V559+Rates!AC559</f>
        <v>4.7760999999999998E-2</v>
      </c>
      <c r="AJ559" s="106">
        <f>+'Regulatory Charge'!AD559+Fuel!AD559+PCM!AE559+Interest!AD559+'O&amp;M'!AF559+'Capex &amp; Depr'!AF559+Debt!AG559+Pat.!W559+Rates!AD559</f>
        <v>4.7760999999999998E-2</v>
      </c>
      <c r="AK559" s="106">
        <f>+'Regulatory Charge'!AE559+Fuel!AE559+PCM!AF559+Interest!AE559+'O&amp;M'!AG559+'Capex &amp; Depr'!AG559+Debt!AH559+Pat.!X559+Rates!AE559</f>
        <v>4.768E-2</v>
      </c>
      <c r="AL559" s="106">
        <f>+'Regulatory Charge'!AF559+Fuel!AF559+PCM!AG559+Interest!AF559+'O&amp;M'!AH559+'Capex &amp; Depr'!AH559+Debt!AI559+Pat.!Y559+Rates!AF559</f>
        <v>4.768E-2</v>
      </c>
      <c r="AM559" s="106">
        <f>+'Regulatory Charge'!AG559+Fuel!AG559+PCM!AH559+Interest!AG559+'O&amp;M'!AI559+'Capex &amp; Depr'!AI559+Debt!AJ559+Pat.!Z559+Rates!AG559</f>
        <v>4.768E-2</v>
      </c>
      <c r="AN559" s="106">
        <f>+'Regulatory Charge'!AH559+Fuel!AH559+PCM!AI559+Interest!AH559+'O&amp;M'!AJ559+'Capex &amp; Depr'!AJ559+Debt!AK559+Pat.!AA559+Rates!AH559</f>
        <v>4.768E-2</v>
      </c>
      <c r="AO559" s="106">
        <f>+'Regulatory Charge'!AI559+Fuel!AI559+PCM!AJ559+Interest!AI559+'O&amp;M'!AK559+'Capex &amp; Depr'!AK559+Debt!AL559+Pat.!AB559+Rates!AI559</f>
        <v>4.768E-2</v>
      </c>
      <c r="AP559" s="106">
        <f>+'Regulatory Charge'!AJ559+Fuel!AJ559+PCM!AK559+Interest!AJ559+'O&amp;M'!AL559+'Capex &amp; Depr'!AL559+Debt!AM559+Pat.!AC559+Rates!AJ559</f>
        <v>4.768E-2</v>
      </c>
      <c r="AQ559" s="106">
        <f>+'Regulatory Charge'!AK559+Fuel!AK559+PCM!AL559+Interest!AK559+'O&amp;M'!AM559+'Capex &amp; Depr'!AM559+Debt!AN559+Pat.!AD559+Rates!AK559</f>
        <v>4.768E-2</v>
      </c>
      <c r="AR559" s="224">
        <f t="shared" si="11"/>
        <v>0.57256499999999999</v>
      </c>
      <c r="AS559" s="106">
        <f>+'Regulatory Charge'!AM559+Fuel!AM559+PCM!AN559+Interest!AM559+'O&amp;M'!AO559+'Capex &amp; Depr'!AO559+Debt!AP559+Pat.!AF559+Rates!AM559</f>
        <v>0.58050400000000002</v>
      </c>
      <c r="AT559" s="106">
        <f>+'Regulatory Charge'!AN559+Fuel!AN559+PCM!AO559+Interest!AN559+'O&amp;M'!AP559+'Capex &amp; Depr'!AP559+Debt!AQ559+Pat.!AG559+Rates!AN559</f>
        <v>0.59501800000000005</v>
      </c>
      <c r="AU559" s="106">
        <f>+'Regulatory Charge'!AO559+Fuel!AO559+PCM!AP559+Interest!AO559+'O&amp;M'!AQ559+'Capex &amp; Depr'!AQ559+Debt!AR559+Pat.!AH559+Rates!AO559</f>
        <v>0.61286854000000002</v>
      </c>
      <c r="AV559" s="106">
        <f>+'Regulatory Charge'!AP559+Fuel!AP559+PCM!AQ559+Interest!AP559+'O&amp;M'!AR559+'Capex &amp; Depr'!AR559+Debt!AS559+Pat.!AI559+Rates!AP559</f>
        <v>0.63125459620000002</v>
      </c>
      <c r="AW559" s="106">
        <f>+'Regulatory Charge'!AQ559+Fuel!AQ559+PCM!AR559+Interest!AQ559+'O&amp;M'!AS559+'Capex &amp; Depr'!AS559+Debt!AT559+Pat.!AJ559+Rates!AQ559</f>
        <v>0.65019223408600002</v>
      </c>
      <c r="AX559" s="106">
        <f>+'Regulatory Charge'!AR559+Fuel!AR559+PCM!AS559+Interest!AR559+'O&amp;M'!AT559+'Capex &amp; Depr'!AT559+Debt!AU559+Pat.!AK559+Rates!AR559</f>
        <v>0.66969800110858002</v>
      </c>
      <c r="AY559" s="106">
        <f>+'Regulatory Charge'!AS559+Fuel!AS559+PCM!AT559+Interest!AS559+'O&amp;M'!AU559+'Capex &amp; Depr'!AU559+Debt!AV559+Pat.!AL559+Rates!AS559</f>
        <v>0.68978894114183742</v>
      </c>
      <c r="AZ559" s="106">
        <f>+'Regulatory Charge'!AT559+Fuel!AT559+PCM!AU559+Interest!AT559+'O&amp;M'!AV559+'Capex &amp; Depr'!AV559+Debt!AW559+Pat.!AM559+Rates!AT559</f>
        <v>0.71048260937609253</v>
      </c>
      <c r="BA559" s="106">
        <f>+'Regulatory Charge'!AU559+Fuel!AU559+PCM!AV559+Interest!AU559+'O&amp;M'!AW559+'Capex &amp; Depr'!AW559+Debt!AX559+Pat.!AN559+Rates!AU559</f>
        <v>0.73179708765737528</v>
      </c>
      <c r="BB559" s="106">
        <f>+'Regulatory Charge'!AV559+Fuel!AV559+PCM!AW559+Interest!AV559+'O&amp;M'!AX559+'Capex &amp; Depr'!AX559+Debt!AY559+Pat.!AO559+Rates!AV559</f>
        <v>0.75375100028709652</v>
      </c>
      <c r="BC559" s="106">
        <f>+'Regulatory Charge'!AW559+Fuel!AW559+PCM!AX559+Interest!AW559+'O&amp;M'!AY559+'Capex &amp; Depr'!AY559+Debt!AZ559+Pat.!AP559+Rates!AW559</f>
        <v>0.77636353029570948</v>
      </c>
      <c r="BD559" s="106"/>
      <c r="BE559" s="106"/>
    </row>
    <row r="560" spans="1:57">
      <c r="A560" s="849" t="s">
        <v>637</v>
      </c>
      <c r="B560" s="846" t="s">
        <v>113</v>
      </c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224"/>
      <c r="S560" s="106">
        <f>+'Regulatory Charge'!M560+Fuel!M560+PCM!N560+Interest!M560+'O&amp;M'!O560+'Capex &amp; Depr'!O560+Debt!P560+Pat.!F560+Rates!M560</f>
        <v>0.19639523170000001</v>
      </c>
      <c r="T560" s="106">
        <f>+'Regulatory Charge'!N560+Fuel!N560+PCM!O560+Interest!N560+'O&amp;M'!P560+'Capex &amp; Depr'!P560+Debt!Q560+Pat.!G560+Rates!N560</f>
        <v>0.171322434</v>
      </c>
      <c r="U560" s="106">
        <f>+'Regulatory Charge'!O560+Fuel!O560+PCM!P560+Interest!O560+'O&amp;M'!Q560+'Capex &amp; Depr'!Q560+Debt!R560+Pat.!H560+Rates!O560</f>
        <v>0.25360296869999999</v>
      </c>
      <c r="V560" s="106">
        <f>+'Regulatory Charge'!P560+Fuel!P560+PCM!Q560+Interest!P560+'O&amp;M'!R560+'Capex &amp; Depr'!R560+Debt!S560+Pat.!I560+Rates!P560</f>
        <v>0.20656231050000001</v>
      </c>
      <c r="W560" s="106">
        <f>+'Regulatory Charge'!Q560+Fuel!Q560+PCM!R560+Interest!Q560+'O&amp;M'!S560+'Capex &amp; Depr'!S560+Debt!T560+Pat.!J560+Rates!Q560</f>
        <v>0.33284111239999997</v>
      </c>
      <c r="X560" s="106">
        <f>+'Regulatory Charge'!R560+Fuel!R560+PCM!S560+Interest!R560+'O&amp;M'!T560+'Capex &amp; Depr'!T560+Debt!U560+Pat.!K560+Rates!R560</f>
        <v>0.63534759140000008</v>
      </c>
      <c r="Y560" s="106">
        <f>+'Regulatory Charge'!S560+Fuel!S560+PCM!T560+Interest!S560+'O&amp;M'!U560+'Capex &amp; Depr'!U560+Debt!V560+Pat.!L560+Rates!S560</f>
        <v>0.17381533000000002</v>
      </c>
      <c r="Z560" s="106">
        <f>+'Regulatory Charge'!T560+Fuel!T560+PCM!U560+Interest!T560+'O&amp;M'!V560+'Capex &amp; Depr'!V560+Debt!W560+Pat.!M560+Rates!T560</f>
        <v>0.23693147050625002</v>
      </c>
      <c r="AA560" s="106">
        <f>+'Regulatory Charge'!U560+Fuel!U560+PCM!V560+Interest!U560+'O&amp;M'!W560+'Capex &amp; Depr'!W560+Debt!X560+Pat.!N560+Rates!U560</f>
        <v>0.2096840864</v>
      </c>
      <c r="AB560" s="106">
        <f>+'Regulatory Charge'!V560+Fuel!V560+PCM!W560+Interest!V560+'O&amp;M'!X560+'Capex &amp; Depr'!X560+Debt!Y560+Pat.!O560+Rates!V560</f>
        <v>0.18289227560000001</v>
      </c>
      <c r="AC560" s="106">
        <f>+'Regulatory Charge'!W560+Fuel!W560+PCM!X560+Interest!W560+'O&amp;M'!Y560+'Capex &amp; Depr'!Y560+Debt!Z560+Pat.!P560+Rates!W560</f>
        <v>0.14298927110000001</v>
      </c>
      <c r="AD560" s="106">
        <f>+'Regulatory Charge'!X560+Fuel!X560+PCM!Y560+Interest!X560+'O&amp;M'!Z560+'Capex &amp; Depr'!Z560+Debt!AA560+Pat.!Q560+Rates!X560</f>
        <v>0.18116328840000001</v>
      </c>
      <c r="AE560" s="224">
        <f t="shared" si="10"/>
        <v>2.9235473707062498</v>
      </c>
      <c r="AF560" s="106">
        <f>+'Regulatory Charge'!Z560+Fuel!Z560+PCM!AA560+Interest!Z560+'O&amp;M'!AB560+'Capex &amp; Depr'!AB560+Debt!AC560+Pat.!S560+Rates!Z560</f>
        <v>0.18900775129980002</v>
      </c>
      <c r="AG560" s="106">
        <f>+'Regulatory Charge'!AA560+Fuel!AA560+PCM!AB560+Interest!AA560+'O&amp;M'!AC560+'Capex &amp; Depr'!AC560+Debt!AD560+Pat.!T560+Rates!AA560</f>
        <v>0.16025957948059999</v>
      </c>
      <c r="AH560" s="106">
        <f>+'Regulatory Charge'!AB560+Fuel!AB560+PCM!AC560+Interest!AB560+'O&amp;M'!AD560+'Capex &amp; Depr'!AD560+Debt!AE560+Pat.!U560+Rates!AB560</f>
        <v>0.24093046241880003</v>
      </c>
      <c r="AI560" s="106">
        <f>+'Regulatory Charge'!AC560+Fuel!AC560+PCM!AD560+Interest!AC560+'O&amp;M'!AE560+'Capex &amp; Depr'!AE560+Debt!AF560+Pat.!V560+Rates!AC560</f>
        <v>0.23095090608460001</v>
      </c>
      <c r="AJ560" s="106">
        <f>+'Regulatory Charge'!AD560+Fuel!AD560+PCM!AE560+Interest!AD560+'O&amp;M'!AF560+'Capex &amp; Depr'!AF560+Debt!AG560+Pat.!W560+Rates!AD560</f>
        <v>0.31693806197099994</v>
      </c>
      <c r="AK560" s="106">
        <f>+'Regulatory Charge'!AE560+Fuel!AE560+PCM!AF560+Interest!AE560+'O&amp;M'!AG560+'Capex &amp; Depr'!AG560+Debt!AH560+Pat.!X560+Rates!AE560</f>
        <v>0.63744792503580017</v>
      </c>
      <c r="AL560" s="106">
        <f>+'Regulatory Charge'!AF560+Fuel!AF560+PCM!AG560+Interest!AF560+'O&amp;M'!AH560+'Capex &amp; Depr'!AH560+Debt!AI560+Pat.!Y560+Rates!AF560</f>
        <v>0.15692613042660003</v>
      </c>
      <c r="AM560" s="106">
        <f>+'Regulatory Charge'!AG560+Fuel!AG560+PCM!AH560+Interest!AG560+'O&amp;M'!AI560+'Capex &amp; Depr'!AI560+Debt!AJ560+Pat.!Z560+Rates!AG560</f>
        <v>0.21733033148460004</v>
      </c>
      <c r="AN560" s="106">
        <f>+'Regulatory Charge'!AH560+Fuel!AH560+PCM!AI560+Interest!AH560+'O&amp;M'!AJ560+'Capex &amp; Depr'!AJ560+Debt!AK560+Pat.!AA560+Rates!AH560</f>
        <v>0.23721250566749996</v>
      </c>
      <c r="AO560" s="106">
        <f>+'Regulatory Charge'!AI560+Fuel!AI560+PCM!AJ560+Interest!AI560+'O&amp;M'!AK560+'Capex &amp; Depr'!AK560+Debt!AL560+Pat.!AB560+Rates!AI560</f>
        <v>0.16661191680619999</v>
      </c>
      <c r="AP560" s="106">
        <f>+'Regulatory Charge'!AJ560+Fuel!AJ560+PCM!AK560+Interest!AJ560+'O&amp;M'!AL560+'Capex &amp; Depr'!AL560+Debt!AM560+Pat.!AC560+Rates!AJ560</f>
        <v>0.14717607399420002</v>
      </c>
      <c r="AQ560" s="106">
        <f>+'Regulatory Charge'!AK560+Fuel!AK560+PCM!AL560+Interest!AK560+'O&amp;M'!AM560+'Capex &amp; Depr'!AM560+Debt!AN560+Pat.!AD560+Rates!AK560</f>
        <v>0.20062636559300004</v>
      </c>
      <c r="AR560" s="224">
        <f t="shared" si="11"/>
        <v>2.9014180102627005</v>
      </c>
      <c r="AS560" s="106">
        <f>+'Regulatory Charge'!AM560+Fuel!AM560+PCM!AN560+Interest!AM560+'O&amp;M'!AO560+'Capex &amp; Depr'!AO560+Debt!AP560+Pat.!AF560+Rates!AM560</f>
        <v>2.8770318232855816</v>
      </c>
      <c r="AT560" s="106">
        <f>+'Regulatory Charge'!AN560+Fuel!AN560+PCM!AO560+Interest!AN560+'O&amp;M'!AP560+'Capex &amp; Depr'!AP560+Debt!AQ560+Pat.!AG560+Rates!AN560</f>
        <v>3.2576447718395927</v>
      </c>
      <c r="AU560" s="106">
        <f>+'Regulatory Charge'!AO560+Fuel!AO560+PCM!AP560+Interest!AO560+'O&amp;M'!AQ560+'Capex &amp; Depr'!AQ560+Debt!AR560+Pat.!AH560+Rates!AO560</f>
        <v>3.3553741149947802</v>
      </c>
      <c r="AV560" s="106">
        <f>+'Regulatory Charge'!AP560+Fuel!AP560+PCM!AQ560+Interest!AP560+'O&amp;M'!AR560+'Capex &amp; Depr'!AR560+Debt!AS560+Pat.!AI560+Rates!AP560</f>
        <v>3.4560353384446239</v>
      </c>
      <c r="AW560" s="106">
        <f>+'Regulatory Charge'!AQ560+Fuel!AQ560+PCM!AR560+Interest!AQ560+'O&amp;M'!AS560+'Capex &amp; Depr'!AS560+Debt!AT560+Pat.!AJ560+Rates!AQ560</f>
        <v>3.559716398597963</v>
      </c>
      <c r="AX560" s="106">
        <f>+'Regulatory Charge'!AR560+Fuel!AR560+PCM!AS560+Interest!AR560+'O&amp;M'!AT560+'Capex &amp; Depr'!AT560+Debt!AU560+Pat.!AK560+Rates!AR560</f>
        <v>3.6665078905559021</v>
      </c>
      <c r="AY560" s="106">
        <f>+'Regulatory Charge'!AS560+Fuel!AS560+PCM!AT560+Interest!AS560+'O&amp;M'!AU560+'Capex &amp; Depr'!AU560+Debt!AV560+Pat.!AL560+Rates!AS560</f>
        <v>3.7765031272725791</v>
      </c>
      <c r="AZ560" s="106">
        <f>+'Regulatory Charge'!AT560+Fuel!AT560+PCM!AU560+Interest!AT560+'O&amp;M'!AV560+'Capex &amp; Depr'!AV560+Debt!AW560+Pat.!AM560+Rates!AT560</f>
        <v>3.8897982210907571</v>
      </c>
      <c r="BA560" s="106">
        <f>+'Regulatory Charge'!AU560+Fuel!AU560+PCM!AV560+Interest!AU560+'O&amp;M'!AW560+'Capex &amp; Depr'!AW560+Debt!AX560+Pat.!AN560+Rates!AU560</f>
        <v>4.0064921677234793</v>
      </c>
      <c r="BB560" s="106">
        <f>+'Regulatory Charge'!AV560+Fuel!AV560+PCM!AW560+Interest!AV560+'O&amp;M'!AX560+'Capex &amp; Depr'!AX560+Debt!AY560+Pat.!AO560+Rates!AV560</f>
        <v>4.1266869327551836</v>
      </c>
      <c r="BC560" s="106">
        <f>+'Regulatory Charge'!AW560+Fuel!AW560+PCM!AX560+Interest!AW560+'O&amp;M'!AY560+'Capex &amp; Depr'!AY560+Debt!AZ560+Pat.!AP560+Rates!AW560</f>
        <v>4.25048754073784</v>
      </c>
      <c r="BD560" s="106"/>
      <c r="BE560" s="106"/>
    </row>
    <row r="561" spans="1:57">
      <c r="A561" s="849">
        <v>923.1</v>
      </c>
      <c r="B561" s="846" t="s">
        <v>113</v>
      </c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224"/>
      <c r="S561" s="106">
        <f>+'Regulatory Charge'!M561+Fuel!M561+PCM!N561+Interest!M561+'O&amp;M'!O561+'Capex &amp; Depr'!O561+Debt!P561+Pat.!F561+Rates!M561</f>
        <v>2.1335972121212122E-2</v>
      </c>
      <c r="T561" s="106">
        <f>+'Regulatory Charge'!N561+Fuel!N561+PCM!O561+Interest!N561+'O&amp;M'!P561+'Capex &amp; Depr'!P561+Debt!Q561+Pat.!G561+Rates!N561</f>
        <v>2.1335972121212122E-2</v>
      </c>
      <c r="U561" s="106">
        <f>+'Regulatory Charge'!O561+Fuel!O561+PCM!P561+Interest!O561+'O&amp;M'!Q561+'Capex &amp; Depr'!Q561+Debt!R561+Pat.!H561+Rates!O561</f>
        <v>2.1335972121212122E-2</v>
      </c>
      <c r="V561" s="106">
        <f>+'Regulatory Charge'!P561+Fuel!P561+PCM!Q561+Interest!P561+'O&amp;M'!R561+'Capex &amp; Depr'!R561+Debt!S561+Pat.!I561+Rates!P561</f>
        <v>2.1335972121212122E-2</v>
      </c>
      <c r="W561" s="106">
        <f>+'Regulatory Charge'!Q561+Fuel!Q561+PCM!R561+Interest!Q561+'O&amp;M'!S561+'Capex &amp; Depr'!S561+Debt!T561+Pat.!J561+Rates!Q561</f>
        <v>2.1335972121212122E-2</v>
      </c>
      <c r="X561" s="106">
        <f>+'Regulatory Charge'!R561+Fuel!R561+PCM!S561+Interest!R561+'O&amp;M'!T561+'Capex &amp; Depr'!T561+Debt!U561+Pat.!K561+Rates!R561</f>
        <v>2.1335972121212122E-2</v>
      </c>
      <c r="Y561" s="106">
        <f>+'Regulatory Charge'!S561+Fuel!S561+PCM!T561+Interest!S561+'O&amp;M'!U561+'Capex &amp; Depr'!U561+Debt!V561+Pat.!L561+Rates!S561</f>
        <v>2.1335972121212122E-2</v>
      </c>
      <c r="Z561" s="106">
        <f>+'Regulatory Charge'!T561+Fuel!T561+PCM!U561+Interest!T561+'O&amp;M'!V561+'Capex &amp; Depr'!V561+Debt!W561+Pat.!M561+Rates!T561</f>
        <v>2.1335972121212122E-2</v>
      </c>
      <c r="AA561" s="106">
        <f>+'Regulatory Charge'!U561+Fuel!U561+PCM!V561+Interest!U561+'O&amp;M'!W561+'Capex &amp; Depr'!W561+Debt!X561+Pat.!N561+Rates!U561</f>
        <v>6.5390888787878784E-2</v>
      </c>
      <c r="AB561" s="106">
        <f>+'Regulatory Charge'!V561+Fuel!V561+PCM!W561+Interest!V561+'O&amp;M'!X561+'Capex &amp; Depr'!X561+Debt!Y561+Pat.!O561+Rates!V561</f>
        <v>6.5390888787878784E-2</v>
      </c>
      <c r="AC561" s="106">
        <f>+'Regulatory Charge'!W561+Fuel!W561+PCM!X561+Interest!W561+'O&amp;M'!Y561+'Capex &amp; Depr'!Y561+Debt!Z561+Pat.!P561+Rates!W561</f>
        <v>6.5390888787878784E-2</v>
      </c>
      <c r="AD561" s="106">
        <f>+'Regulatory Charge'!X561+Fuel!X561+PCM!Y561+Interest!X561+'O&amp;M'!Z561+'Capex &amp; Depr'!Z561+Debt!AA561+Pat.!Q561+Rates!X561</f>
        <v>6.5390888787878784E-2</v>
      </c>
      <c r="AE561" s="224">
        <f t="shared" si="10"/>
        <v>0.4322513321212122</v>
      </c>
      <c r="AF561" s="106">
        <f>+'Regulatory Charge'!Z561+Fuel!Z561+PCM!AA561+Interest!Z561+'O&amp;M'!AB561+'Capex &amp; Depr'!AB561+Debt!AC561+Pat.!S561+Rates!Z561</f>
        <v>6.5390888787878784E-2</v>
      </c>
      <c r="AG561" s="106">
        <f>+'Regulatory Charge'!AA561+Fuel!AA561+PCM!AB561+Interest!AA561+'O&amp;M'!AC561+'Capex &amp; Depr'!AC561+Debt!AD561+Pat.!T561+Rates!AA561</f>
        <v>6.5390888787878784E-2</v>
      </c>
      <c r="AH561" s="106">
        <f>+'Regulatory Charge'!AB561+Fuel!AB561+PCM!AC561+Interest!AB561+'O&amp;M'!AD561+'Capex &amp; Depr'!AD561+Debt!AE561+Pat.!U561+Rates!AB561</f>
        <v>6.5390888787878784E-2</v>
      </c>
      <c r="AI561" s="106">
        <f>+'Regulatory Charge'!AC561+Fuel!AC561+PCM!AD561+Interest!AC561+'O&amp;M'!AE561+'Capex &amp; Depr'!AE561+Debt!AF561+Pat.!V561+Rates!AC561</f>
        <v>6.5390888787878784E-2</v>
      </c>
      <c r="AJ561" s="106">
        <f>+'Regulatory Charge'!AD561+Fuel!AD561+PCM!AE561+Interest!AD561+'O&amp;M'!AF561+'Capex &amp; Depr'!AF561+Debt!AG561+Pat.!W561+Rates!AD561</f>
        <v>6.5390888787878784E-2</v>
      </c>
      <c r="AK561" s="106">
        <f>+'Regulatory Charge'!AE561+Fuel!AE561+PCM!AF561+Interest!AE561+'O&amp;M'!AG561+'Capex &amp; Depr'!AG561+Debt!AH561+Pat.!X561+Rates!AE561</f>
        <v>6.5390888787878784E-2</v>
      </c>
      <c r="AL561" s="106">
        <f>+'Regulatory Charge'!AF561+Fuel!AF561+PCM!AG561+Interest!AF561+'O&amp;M'!AH561+'Capex &amp; Depr'!AH561+Debt!AI561+Pat.!Y561+Rates!AF561</f>
        <v>6.5390888787878784E-2</v>
      </c>
      <c r="AM561" s="106">
        <f>+'Regulatory Charge'!AG561+Fuel!AG561+PCM!AH561+Interest!AG561+'O&amp;M'!AI561+'Capex &amp; Depr'!AI561+Debt!AJ561+Pat.!Z561+Rates!AG561</f>
        <v>6.5390888787878784E-2</v>
      </c>
      <c r="AN561" s="106">
        <f>+'Regulatory Charge'!AH561+Fuel!AH561+PCM!AI561+Interest!AH561+'O&amp;M'!AJ561+'Capex &amp; Depr'!AJ561+Debt!AK561+Pat.!AA561+Rates!AH561</f>
        <v>6.5390888787878784E-2</v>
      </c>
      <c r="AO561" s="106">
        <f>+'Regulatory Charge'!AI561+Fuel!AI561+PCM!AJ561+Interest!AI561+'O&amp;M'!AK561+'Capex &amp; Depr'!AK561+Debt!AL561+Pat.!AB561+Rates!AI561</f>
        <v>6.5390888787878784E-2</v>
      </c>
      <c r="AP561" s="106">
        <f>+'Regulatory Charge'!AJ561+Fuel!AJ561+PCM!AK561+Interest!AJ561+'O&amp;M'!AL561+'Capex &amp; Depr'!AL561+Debt!AM561+Pat.!AC561+Rates!AJ561</f>
        <v>6.5390888787878784E-2</v>
      </c>
      <c r="AQ561" s="106">
        <f>+'Regulatory Charge'!AK561+Fuel!AK561+PCM!AL561+Interest!AK561+'O&amp;M'!AM561+'Capex &amp; Depr'!AM561+Debt!AN561+Pat.!AD561+Rates!AK561</f>
        <v>6.5390888787878784E-2</v>
      </c>
      <c r="AR561" s="224">
        <f t="shared" si="11"/>
        <v>0.78469066545454547</v>
      </c>
      <c r="AS561" s="106">
        <f>+'Regulatory Charge'!AM561+Fuel!AM561+PCM!AN561+Interest!AM561+'O&amp;M'!AO561+'Capex &amp; Depr'!AO561+Debt!AP561+Pat.!AF561+Rates!AM561</f>
        <v>0.72068274909090901</v>
      </c>
      <c r="AT561" s="106">
        <f>+'Regulatory Charge'!AN561+Fuel!AN561+PCM!AO561+Interest!AN561+'O&amp;M'!AP561+'Capex &amp; Depr'!AP561+Debt!AQ561+Pat.!AG561+Rates!AN561</f>
        <v>0.35243933333333327</v>
      </c>
      <c r="AU561" s="106">
        <f>+'Regulatory Charge'!AO561+Fuel!AO561+PCM!AP561+Interest!AO561+'O&amp;M'!AQ561+'Capex &amp; Depr'!AQ561+Debt!AR561+Pat.!AH561+Rates!AO561</f>
        <v>0</v>
      </c>
      <c r="AV561" s="106">
        <f>+'Regulatory Charge'!AP561+Fuel!AP561+PCM!AQ561+Interest!AP561+'O&amp;M'!AR561+'Capex &amp; Depr'!AR561+Debt!AS561+Pat.!AI561+Rates!AP561</f>
        <v>0</v>
      </c>
      <c r="AW561" s="106">
        <f>+'Regulatory Charge'!AQ561+Fuel!AQ561+PCM!AR561+Interest!AQ561+'O&amp;M'!AS561+'Capex &amp; Depr'!AS561+Debt!AT561+Pat.!AJ561+Rates!AQ561</f>
        <v>0</v>
      </c>
      <c r="AX561" s="106">
        <f>+'Regulatory Charge'!AR561+Fuel!AR561+PCM!AS561+Interest!AR561+'O&amp;M'!AT561+'Capex &amp; Depr'!AT561+Debt!AU561+Pat.!AK561+Rates!AR561</f>
        <v>0</v>
      </c>
      <c r="AY561" s="106">
        <f>+'Regulatory Charge'!AS561+Fuel!AS561+PCM!AT561+Interest!AS561+'O&amp;M'!AU561+'Capex &amp; Depr'!AU561+Debt!AV561+Pat.!AL561+Rates!AS561</f>
        <v>0</v>
      </c>
      <c r="AZ561" s="106">
        <f>+'Regulatory Charge'!AT561+Fuel!AT561+PCM!AU561+Interest!AT561+'O&amp;M'!AV561+'Capex &amp; Depr'!AV561+Debt!AW561+Pat.!AM561+Rates!AT561</f>
        <v>0</v>
      </c>
      <c r="BA561" s="106">
        <f>+'Regulatory Charge'!AU561+Fuel!AU561+PCM!AV561+Interest!AU561+'O&amp;M'!AW561+'Capex &amp; Depr'!AW561+Debt!AX561+Pat.!AN561+Rates!AU561</f>
        <v>0</v>
      </c>
      <c r="BB561" s="106">
        <f>+'Regulatory Charge'!AV561+Fuel!AV561+PCM!AW561+Interest!AV561+'O&amp;M'!AX561+'Capex &amp; Depr'!AX561+Debt!AY561+Pat.!AO561+Rates!AV561</f>
        <v>0</v>
      </c>
      <c r="BC561" s="106">
        <f>+'Regulatory Charge'!AW561+Fuel!AW561+PCM!AX561+Interest!AW561+'O&amp;M'!AY561+'Capex &amp; Depr'!AY561+Debt!AZ561+Pat.!AP561+Rates!AW561</f>
        <v>0</v>
      </c>
      <c r="BD561" s="106"/>
      <c r="BE561" s="106"/>
    </row>
    <row r="562" spans="1:57">
      <c r="A562" s="849" t="s">
        <v>114</v>
      </c>
      <c r="B562" s="846" t="s">
        <v>996</v>
      </c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224"/>
      <c r="S562" s="106">
        <f>+'Regulatory Charge'!M562+Fuel!M562+PCM!N562+Interest!M562+'O&amp;M'!O562+'Capex &amp; Depr'!O562+Debt!P562+Pat.!F562+Rates!M562</f>
        <v>0</v>
      </c>
      <c r="T562" s="106">
        <f>+'Regulatory Charge'!N562+Fuel!N562+PCM!O562+Interest!N562+'O&amp;M'!P562+'Capex &amp; Depr'!P562+Debt!Q562+Pat.!G562+Rates!N562</f>
        <v>0</v>
      </c>
      <c r="U562" s="106">
        <f>+'Regulatory Charge'!O562+Fuel!O562+PCM!P562+Interest!O562+'O&amp;M'!Q562+'Capex &amp; Depr'!Q562+Debt!R562+Pat.!H562+Rates!O562</f>
        <v>0</v>
      </c>
      <c r="V562" s="106">
        <f>+'Regulatory Charge'!P562+Fuel!P562+PCM!Q562+Interest!P562+'O&amp;M'!R562+'Capex &amp; Depr'!R562+Debt!S562+Pat.!I562+Rates!P562</f>
        <v>0</v>
      </c>
      <c r="W562" s="106">
        <f>+'Regulatory Charge'!Q562+Fuel!Q562+PCM!R562+Interest!Q562+'O&amp;M'!S562+'Capex &amp; Depr'!S562+Debt!T562+Pat.!J562+Rates!Q562</f>
        <v>0</v>
      </c>
      <c r="X562" s="106">
        <f>+'Regulatory Charge'!R562+Fuel!R562+PCM!S562+Interest!R562+'O&amp;M'!T562+'Capex &amp; Depr'!T562+Debt!U562+Pat.!K562+Rates!R562</f>
        <v>0</v>
      </c>
      <c r="Y562" s="106">
        <f>+'Regulatory Charge'!S562+Fuel!S562+PCM!T562+Interest!S562+'O&amp;M'!U562+'Capex &amp; Depr'!U562+Debt!V562+Pat.!L562+Rates!S562</f>
        <v>0</v>
      </c>
      <c r="Z562" s="106">
        <f>+'Regulatory Charge'!T562+Fuel!T562+PCM!U562+Interest!T562+'O&amp;M'!V562+'Capex &amp; Depr'!V562+Debt!W562+Pat.!M562+Rates!T562</f>
        <v>0</v>
      </c>
      <c r="AA562" s="106">
        <f>+'Regulatory Charge'!U562+Fuel!U562+PCM!V562+Interest!U562+'O&amp;M'!W562+'Capex &amp; Depr'!W562+Debt!X562+Pat.!N562+Rates!U562</f>
        <v>0</v>
      </c>
      <c r="AB562" s="106">
        <f>+'Regulatory Charge'!V562+Fuel!V562+PCM!W562+Interest!V562+'O&amp;M'!X562+'Capex &amp; Depr'!X562+Debt!Y562+Pat.!O562+Rates!V562</f>
        <v>0</v>
      </c>
      <c r="AC562" s="106">
        <f>+'Regulatory Charge'!W562+Fuel!W562+PCM!X562+Interest!W562+'O&amp;M'!Y562+'Capex &amp; Depr'!Y562+Debt!Z562+Pat.!P562+Rates!W562</f>
        <v>0</v>
      </c>
      <c r="AD562" s="106">
        <f>+'Regulatory Charge'!X562+Fuel!X562+PCM!Y562+Interest!X562+'O&amp;M'!Z562+'Capex &amp; Depr'!Z562+Debt!AA562+Pat.!Q562+Rates!X562</f>
        <v>0</v>
      </c>
      <c r="AE562" s="224">
        <f t="shared" si="10"/>
        <v>0</v>
      </c>
      <c r="AF562" s="106">
        <f>+'Regulatory Charge'!Z562+Fuel!Z562+PCM!AA562+Interest!Z562+'O&amp;M'!AB562+'Capex &amp; Depr'!AB562+Debt!AC562+Pat.!S562+Rates!Z562</f>
        <v>0</v>
      </c>
      <c r="AG562" s="106">
        <f>+'Regulatory Charge'!AA562+Fuel!AA562+PCM!AB562+Interest!AA562+'O&amp;M'!AC562+'Capex &amp; Depr'!AC562+Debt!AD562+Pat.!T562+Rates!AA562</f>
        <v>0</v>
      </c>
      <c r="AH562" s="106">
        <f>+'Regulatory Charge'!AB562+Fuel!AB562+PCM!AC562+Interest!AB562+'O&amp;M'!AD562+'Capex &amp; Depr'!AD562+Debt!AE562+Pat.!U562+Rates!AB562</f>
        <v>0</v>
      </c>
      <c r="AI562" s="106">
        <f>+'Regulatory Charge'!AC562+Fuel!AC562+PCM!AD562+Interest!AC562+'O&amp;M'!AE562+'Capex &amp; Depr'!AE562+Debt!AF562+Pat.!V562+Rates!AC562</f>
        <v>0</v>
      </c>
      <c r="AJ562" s="106">
        <f>+'Regulatory Charge'!AD562+Fuel!AD562+PCM!AE562+Interest!AD562+'O&amp;M'!AF562+'Capex &amp; Depr'!AF562+Debt!AG562+Pat.!W562+Rates!AD562</f>
        <v>0</v>
      </c>
      <c r="AK562" s="106">
        <f>+'Regulatory Charge'!AE562+Fuel!AE562+PCM!AF562+Interest!AE562+'O&amp;M'!AG562+'Capex &amp; Depr'!AG562+Debt!AH562+Pat.!X562+Rates!AE562</f>
        <v>0</v>
      </c>
      <c r="AL562" s="106">
        <f>+'Regulatory Charge'!AF562+Fuel!AF562+PCM!AG562+Interest!AF562+'O&amp;M'!AH562+'Capex &amp; Depr'!AH562+Debt!AI562+Pat.!Y562+Rates!AF562</f>
        <v>0</v>
      </c>
      <c r="AM562" s="106">
        <f>+'Regulatory Charge'!AG562+Fuel!AG562+PCM!AH562+Interest!AG562+'O&amp;M'!AI562+'Capex &amp; Depr'!AI562+Debt!AJ562+Pat.!Z562+Rates!AG562</f>
        <v>0</v>
      </c>
      <c r="AN562" s="106">
        <f>+'Regulatory Charge'!AH562+Fuel!AH562+PCM!AI562+Interest!AH562+'O&amp;M'!AJ562+'Capex &amp; Depr'!AJ562+Debt!AK562+Pat.!AA562+Rates!AH562</f>
        <v>0</v>
      </c>
      <c r="AO562" s="106">
        <f>+'Regulatory Charge'!AI562+Fuel!AI562+PCM!AJ562+Interest!AI562+'O&amp;M'!AK562+'Capex &amp; Depr'!AK562+Debt!AL562+Pat.!AB562+Rates!AI562</f>
        <v>0</v>
      </c>
      <c r="AP562" s="106">
        <f>+'Regulatory Charge'!AJ562+Fuel!AJ562+PCM!AK562+Interest!AJ562+'O&amp;M'!AL562+'Capex &amp; Depr'!AL562+Debt!AM562+Pat.!AC562+Rates!AJ562</f>
        <v>0</v>
      </c>
      <c r="AQ562" s="106">
        <f>+'Regulatory Charge'!AK562+Fuel!AK562+PCM!AL562+Interest!AK562+'O&amp;M'!AM562+'Capex &amp; Depr'!AM562+Debt!AN562+Pat.!AD562+Rates!AK562</f>
        <v>0</v>
      </c>
      <c r="AR562" s="224">
        <f t="shared" si="11"/>
        <v>0</v>
      </c>
      <c r="AS562" s="106">
        <f>+'Regulatory Charge'!AM562+Fuel!AM562+PCM!AN562+Interest!AM562+'O&amp;M'!AO562+'Capex &amp; Depr'!AO562+Debt!AP562+Pat.!AF562+Rates!AM562</f>
        <v>0</v>
      </c>
      <c r="AT562" s="106">
        <f>+'Regulatory Charge'!AN562+Fuel!AN562+PCM!AO562+Interest!AN562+'O&amp;M'!AP562+'Capex &amp; Depr'!AP562+Debt!AQ562+Pat.!AG562+Rates!AN562</f>
        <v>0</v>
      </c>
      <c r="AU562" s="106">
        <f>+'Regulatory Charge'!AO562+Fuel!AO562+PCM!AP562+Interest!AO562+'O&amp;M'!AQ562+'Capex &amp; Depr'!AQ562+Debt!AR562+Pat.!AH562+Rates!AO562</f>
        <v>0</v>
      </c>
      <c r="AV562" s="106">
        <f>+'Regulatory Charge'!AP562+Fuel!AP562+PCM!AQ562+Interest!AP562+'O&amp;M'!AR562+'Capex &amp; Depr'!AR562+Debt!AS562+Pat.!AI562+Rates!AP562</f>
        <v>0</v>
      </c>
      <c r="AW562" s="106">
        <f>+'Regulatory Charge'!AQ562+Fuel!AQ562+PCM!AR562+Interest!AQ562+'O&amp;M'!AS562+'Capex &amp; Depr'!AS562+Debt!AT562+Pat.!AJ562+Rates!AQ562</f>
        <v>0</v>
      </c>
      <c r="AX562" s="106">
        <f>+'Regulatory Charge'!AR562+Fuel!AR562+PCM!AS562+Interest!AR562+'O&amp;M'!AT562+'Capex &amp; Depr'!AT562+Debt!AU562+Pat.!AK562+Rates!AR562</f>
        <v>0</v>
      </c>
      <c r="AY562" s="106">
        <f>+'Regulatory Charge'!AS562+Fuel!AS562+PCM!AT562+Interest!AS562+'O&amp;M'!AU562+'Capex &amp; Depr'!AU562+Debt!AV562+Pat.!AL562+Rates!AS562</f>
        <v>0</v>
      </c>
      <c r="AZ562" s="106">
        <f>+'Regulatory Charge'!AT562+Fuel!AT562+PCM!AU562+Interest!AT562+'O&amp;M'!AV562+'Capex &amp; Depr'!AV562+Debt!AW562+Pat.!AM562+Rates!AT562</f>
        <v>0</v>
      </c>
      <c r="BA562" s="106">
        <f>+'Regulatory Charge'!AU562+Fuel!AU562+PCM!AV562+Interest!AU562+'O&amp;M'!AW562+'Capex &amp; Depr'!AW562+Debt!AX562+Pat.!AN562+Rates!AU562</f>
        <v>0</v>
      </c>
      <c r="BB562" s="106">
        <f>+'Regulatory Charge'!AV562+Fuel!AV562+PCM!AW562+Interest!AV562+'O&amp;M'!AX562+'Capex &amp; Depr'!AX562+Debt!AY562+Pat.!AO562+Rates!AV562</f>
        <v>0</v>
      </c>
      <c r="BC562" s="106">
        <f>+'Regulatory Charge'!AW562+Fuel!AW562+PCM!AX562+Interest!AW562+'O&amp;M'!AY562+'Capex &amp; Depr'!AY562+Debt!AZ562+Pat.!AP562+Rates!AW562</f>
        <v>0</v>
      </c>
      <c r="BD562" s="106"/>
      <c r="BE562" s="106"/>
    </row>
    <row r="563" spans="1:57">
      <c r="A563" s="849" t="s">
        <v>115</v>
      </c>
      <c r="B563" s="846" t="s">
        <v>997</v>
      </c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224"/>
      <c r="S563" s="106">
        <f>+'Regulatory Charge'!M563+Fuel!M563+PCM!N563+Interest!M563+'O&amp;M'!O563+'Capex &amp; Depr'!O563+Debt!P563+Pat.!F563+Rates!M563</f>
        <v>4.0289050000000007E-2</v>
      </c>
      <c r="T563" s="106">
        <f>+'Regulatory Charge'!N563+Fuel!N563+PCM!O563+Interest!N563+'O&amp;M'!P563+'Capex &amp; Depr'!P563+Debt!Q563+Pat.!G563+Rates!N563</f>
        <v>3.0151300000000002E-2</v>
      </c>
      <c r="U563" s="106">
        <f>+'Regulatory Charge'!O563+Fuel!O563+PCM!P563+Interest!O563+'O&amp;M'!Q563+'Capex &amp; Depr'!Q563+Debt!R563+Pat.!H563+Rates!O563</f>
        <v>3.8926500000000003E-2</v>
      </c>
      <c r="V563" s="106">
        <f>+'Regulatory Charge'!P563+Fuel!P563+PCM!Q563+Interest!P563+'O&amp;M'!R563+'Capex &amp; Depr'!R563+Debt!S563+Pat.!I563+Rates!P563</f>
        <v>3.1379799999999999E-2</v>
      </c>
      <c r="W563" s="106">
        <f>+'Regulatory Charge'!Q563+Fuel!Q563+PCM!R563+Interest!Q563+'O&amp;M'!S563+'Capex &amp; Depr'!S563+Debt!T563+Pat.!J563+Rates!Q563</f>
        <v>3.1064800000000004E-2</v>
      </c>
      <c r="X563" s="106">
        <f>+'Regulatory Charge'!R563+Fuel!R563+PCM!S563+Interest!R563+'O&amp;M'!T563+'Capex &amp; Depr'!T563+Debt!U563+Pat.!K563+Rates!R563</f>
        <v>3.3706600000000003E-2</v>
      </c>
      <c r="Y563" s="106">
        <f>+'Regulatory Charge'!S563+Fuel!S563+PCM!T563+Interest!S563+'O&amp;M'!U563+'Capex &amp; Depr'!U563+Debt!V563+Pat.!L563+Rates!S563</f>
        <v>3.2749E-2</v>
      </c>
      <c r="Z563" s="106">
        <f>+'Regulatory Charge'!T563+Fuel!T563+PCM!U563+Interest!T563+'O&amp;M'!V563+'Capex &amp; Depr'!V563+Debt!W563+Pat.!M563+Rates!T563</f>
        <v>3.6522700000000005E-2</v>
      </c>
      <c r="AA563" s="106">
        <f>+'Regulatory Charge'!U563+Fuel!U563+PCM!V563+Interest!U563+'O&amp;M'!W563+'Capex &amp; Depr'!W563+Debt!X563+Pat.!N563+Rates!U563</f>
        <v>3.1121500000000003E-2</v>
      </c>
      <c r="AB563" s="106">
        <f>+'Regulatory Charge'!V563+Fuel!V563+PCM!W563+Interest!V563+'O&amp;M'!X563+'Capex &amp; Depr'!X563+Debt!Y563+Pat.!O563+Rates!V563</f>
        <v>4.1169999999999998E-2</v>
      </c>
      <c r="AC563" s="106">
        <f>+'Regulatory Charge'!W563+Fuel!W563+PCM!X563+Interest!W563+'O&amp;M'!Y563+'Capex &amp; Depr'!Y563+Debt!Z563+Pat.!P563+Rates!W563</f>
        <v>3.0071500000000001E-2</v>
      </c>
      <c r="AD563" s="106">
        <f>+'Regulatory Charge'!X563+Fuel!X563+PCM!Y563+Interest!X563+'O&amp;M'!Z563+'Capex &amp; Depr'!Z563+Debt!AA563+Pat.!Q563+Rates!X563</f>
        <v>3.1722100000000003E-2</v>
      </c>
      <c r="AE563" s="224">
        <f t="shared" si="10"/>
        <v>0.40887485000000001</v>
      </c>
      <c r="AF563" s="106">
        <f>+'Regulatory Charge'!Z563+Fuel!Z563+PCM!AA563+Interest!Z563+'O&amp;M'!AB563+'Capex &amp; Depr'!AB563+Debt!AC563+Pat.!S563+Rates!Z563</f>
        <v>3.6902799999999999E-2</v>
      </c>
      <c r="AG563" s="106">
        <f>+'Regulatory Charge'!AA563+Fuel!AA563+PCM!AB563+Interest!AA563+'O&amp;M'!AC563+'Capex &amp; Depr'!AC563+Debt!AD563+Pat.!T563+Rates!AA563</f>
        <v>2.9565400000000002E-2</v>
      </c>
      <c r="AH563" s="106">
        <f>+'Regulatory Charge'!AB563+Fuel!AB563+PCM!AC563+Interest!AB563+'O&amp;M'!AD563+'Capex &amp; Depr'!AD563+Debt!AE563+Pat.!U563+Rates!AB563</f>
        <v>3.9182700000000001E-2</v>
      </c>
      <c r="AI563" s="106">
        <f>+'Regulatory Charge'!AC563+Fuel!AC563+PCM!AD563+Interest!AC563+'O&amp;M'!AE563+'Capex &amp; Depr'!AE563+Debt!AF563+Pat.!V563+Rates!AC563</f>
        <v>3.4374399999999999E-2</v>
      </c>
      <c r="AJ563" s="106">
        <f>+'Regulatory Charge'!AD563+Fuel!AD563+PCM!AE563+Interest!AD563+'O&amp;M'!AF563+'Capex &amp; Depr'!AF563+Debt!AG563+Pat.!W563+Rates!AD563</f>
        <v>3.0478900000000003E-2</v>
      </c>
      <c r="AK563" s="106">
        <f>+'Regulatory Charge'!AE563+Fuel!AE563+PCM!AF563+Interest!AE563+'O&amp;M'!AG563+'Capex &amp; Depr'!AG563+Debt!AH563+Pat.!X563+Rates!AE563</f>
        <v>3.2759500000000004E-2</v>
      </c>
      <c r="AL563" s="106">
        <f>+'Regulatory Charge'!AF563+Fuel!AF563+PCM!AG563+Interest!AF563+'O&amp;M'!AH563+'Capex &amp; Depr'!AH563+Debt!AI563+Pat.!Y563+Rates!AF563</f>
        <v>3.1436500000000006E-2</v>
      </c>
      <c r="AM563" s="106">
        <f>+'Regulatory Charge'!AG563+Fuel!AG563+PCM!AH563+Interest!AG563+'O&amp;M'!AI563+'Capex &amp; Depr'!AI563+Debt!AJ563+Pat.!Z563+Rates!AG563</f>
        <v>3.3055600000000004E-2</v>
      </c>
      <c r="AN563" s="106">
        <f>+'Regulatory Charge'!AH563+Fuel!AH563+PCM!AI563+Interest!AH563+'O&amp;M'!AJ563+'Capex &amp; Depr'!AJ563+Debt!AK563+Pat.!AA563+Rates!AH563</f>
        <v>3.0655300000000003E-2</v>
      </c>
      <c r="AO563" s="106">
        <f>+'Regulatory Charge'!AI563+Fuel!AI563+PCM!AJ563+Interest!AI563+'O&amp;M'!AK563+'Capex &amp; Depr'!AK563+Debt!AL563+Pat.!AB563+Rates!AI563</f>
        <v>4.1308600000000001E-2</v>
      </c>
      <c r="AP563" s="106">
        <f>+'Regulatory Charge'!AJ563+Fuel!AJ563+PCM!AK563+Interest!AJ563+'O&amp;M'!AL563+'Capex &amp; Depr'!AL563+Debt!AM563+Pat.!AC563+Rates!AJ563</f>
        <v>3.0222700000000002E-2</v>
      </c>
      <c r="AQ563" s="106">
        <f>+'Regulatory Charge'!AK563+Fuel!AK563+PCM!AL563+Interest!AK563+'O&amp;M'!AM563+'Capex &amp; Depr'!AM563+Debt!AN563+Pat.!AD563+Rates!AK563</f>
        <v>3.0613300000000003E-2</v>
      </c>
      <c r="AR563" s="224">
        <f t="shared" si="11"/>
        <v>0.40055570000000007</v>
      </c>
      <c r="AS563" s="106">
        <f>+'Regulatory Charge'!AM563+Fuel!AM563+PCM!AN563+Interest!AM563+'O&amp;M'!AO563+'Capex &amp; Depr'!AO563+Debt!AP563+Pat.!AF563+Rates!AM563</f>
        <v>0.39259880000000003</v>
      </c>
      <c r="AT563" s="106">
        <f>+'Regulatory Charge'!AN563+Fuel!AN563+PCM!AO563+Interest!AN563+'O&amp;M'!AP563+'Capex &amp; Depr'!AP563+Debt!AQ563+Pat.!AG563+Rates!AN563</f>
        <v>0.39811130000000006</v>
      </c>
      <c r="AU563" s="106">
        <f>+'Regulatory Charge'!AO563+Fuel!AO563+PCM!AP563+Interest!AO563+'O&amp;M'!AQ563+'Capex &amp; Depr'!AQ563+Debt!AR563+Pat.!AH563+Rates!AO563</f>
        <v>0.41005463900000005</v>
      </c>
      <c r="AV563" s="106">
        <f>+'Regulatory Charge'!AP563+Fuel!AP563+PCM!AQ563+Interest!AP563+'O&amp;M'!AR563+'Capex &amp; Depr'!AR563+Debt!AS563+Pat.!AI563+Rates!AP563</f>
        <v>0.4223562781700001</v>
      </c>
      <c r="AW563" s="106">
        <f>+'Regulatory Charge'!AQ563+Fuel!AQ563+PCM!AR563+Interest!AQ563+'O&amp;M'!AS563+'Capex &amp; Depr'!AS563+Debt!AT563+Pat.!AJ563+Rates!AQ563</f>
        <v>0.43502696651510009</v>
      </c>
      <c r="AX563" s="106">
        <f>+'Regulatory Charge'!AR563+Fuel!AR563+PCM!AS563+Interest!AR563+'O&amp;M'!AT563+'Capex &amp; Depr'!AT563+Debt!AU563+Pat.!AK563+Rates!AR563</f>
        <v>0.44807777551055306</v>
      </c>
      <c r="AY563" s="106">
        <f>+'Regulatory Charge'!AS563+Fuel!AS563+PCM!AT563+Interest!AS563+'O&amp;M'!AU563+'Capex &amp; Depr'!AU563+Debt!AV563+Pat.!AL563+Rates!AS563</f>
        <v>0.46152010877586969</v>
      </c>
      <c r="AZ563" s="106">
        <f>+'Regulatory Charge'!AT563+Fuel!AT563+PCM!AU563+Interest!AT563+'O&amp;M'!AV563+'Capex &amp; Depr'!AV563+Debt!AW563+Pat.!AM563+Rates!AT563</f>
        <v>0.47536571203914579</v>
      </c>
      <c r="BA563" s="106">
        <f>+'Regulatory Charge'!AU563+Fuel!AU563+PCM!AV563+Interest!AU563+'O&amp;M'!AW563+'Capex &amp; Depr'!AW563+Debt!AX563+Pat.!AN563+Rates!AU563</f>
        <v>0.48962668340032017</v>
      </c>
      <c r="BB563" s="106">
        <f>+'Regulatory Charge'!AV563+Fuel!AV563+PCM!AW563+Interest!AV563+'O&amp;M'!AX563+'Capex &amp; Depr'!AX563+Debt!AY563+Pat.!AO563+Rates!AV563</f>
        <v>0.50431548390232983</v>
      </c>
      <c r="BC563" s="106">
        <f>+'Regulatory Charge'!AW563+Fuel!AW563+PCM!AX563+Interest!AW563+'O&amp;M'!AY563+'Capex &amp; Depr'!AY563+Debt!AZ563+Pat.!AP563+Rates!AW563</f>
        <v>0.5194449484193997</v>
      </c>
      <c r="BD563" s="106"/>
      <c r="BE563" s="106"/>
    </row>
    <row r="564" spans="1:57">
      <c r="A564" s="849">
        <v>926.1</v>
      </c>
      <c r="B564" s="846" t="s">
        <v>998</v>
      </c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224"/>
      <c r="S564" s="106">
        <f>+'Regulatory Charge'!M564+Fuel!M564+PCM!N564+Interest!M564+'O&amp;M'!O564+'Capex &amp; Depr'!O564+Debt!P564+Pat.!F564+Rates!M564</f>
        <v>0</v>
      </c>
      <c r="T564" s="106">
        <f>+'Regulatory Charge'!N564+Fuel!N564+PCM!O564+Interest!N564+'O&amp;M'!P564+'Capex &amp; Depr'!P564+Debt!Q564+Pat.!G564+Rates!N564</f>
        <v>0</v>
      </c>
      <c r="U564" s="106">
        <f>+'Regulatory Charge'!O564+Fuel!O564+PCM!P564+Interest!O564+'O&amp;M'!Q564+'Capex &amp; Depr'!Q564+Debt!R564+Pat.!H564+Rates!O564</f>
        <v>0</v>
      </c>
      <c r="V564" s="106">
        <f>+'Regulatory Charge'!P564+Fuel!P564+PCM!Q564+Interest!P564+'O&amp;M'!R564+'Capex &amp; Depr'!R564+Debt!S564+Pat.!I564+Rates!P564</f>
        <v>0</v>
      </c>
      <c r="W564" s="106">
        <f>+'Regulatory Charge'!Q564+Fuel!Q564+PCM!R564+Interest!Q564+'O&amp;M'!S564+'Capex &amp; Depr'!S564+Debt!T564+Pat.!J564+Rates!Q564</f>
        <v>0</v>
      </c>
      <c r="X564" s="106">
        <f>+'Regulatory Charge'!R564+Fuel!R564+PCM!S564+Interest!R564+'O&amp;M'!T564+'Capex &amp; Depr'!T564+Debt!U564+Pat.!K564+Rates!R564</f>
        <v>0</v>
      </c>
      <c r="Y564" s="106">
        <f>+'Regulatory Charge'!S564+Fuel!S564+PCM!T564+Interest!S564+'O&amp;M'!U564+'Capex &amp; Depr'!U564+Debt!V564+Pat.!L564+Rates!S564</f>
        <v>0</v>
      </c>
      <c r="Z564" s="106">
        <f>+'Regulatory Charge'!T564+Fuel!T564+PCM!U564+Interest!T564+'O&amp;M'!V564+'Capex &amp; Depr'!V564+Debt!W564+Pat.!M564+Rates!T564</f>
        <v>0</v>
      </c>
      <c r="AA564" s="106">
        <f>+'Regulatory Charge'!U564+Fuel!U564+PCM!V564+Interest!U564+'O&amp;M'!W564+'Capex &amp; Depr'!W564+Debt!X564+Pat.!N564+Rates!U564</f>
        <v>0</v>
      </c>
      <c r="AB564" s="106">
        <f>+'Regulatory Charge'!V564+Fuel!V564+PCM!W564+Interest!V564+'O&amp;M'!X564+'Capex &amp; Depr'!X564+Debt!Y564+Pat.!O564+Rates!V564</f>
        <v>0</v>
      </c>
      <c r="AC564" s="106">
        <f>+'Regulatory Charge'!W564+Fuel!W564+PCM!X564+Interest!W564+'O&amp;M'!Y564+'Capex &amp; Depr'!Y564+Debt!Z564+Pat.!P564+Rates!W564</f>
        <v>0</v>
      </c>
      <c r="AD564" s="106">
        <f>+'Regulatory Charge'!X564+Fuel!X564+PCM!Y564+Interest!X564+'O&amp;M'!Z564+'Capex &amp; Depr'!Z564+Debt!AA564+Pat.!Q564+Rates!X564</f>
        <v>0</v>
      </c>
      <c r="AE564" s="224">
        <f t="shared" si="10"/>
        <v>0</v>
      </c>
      <c r="AF564" s="106">
        <f>+'Regulatory Charge'!Z564+Fuel!Z564+PCM!AA564+Interest!Z564+'O&amp;M'!AB564+'Capex &amp; Depr'!AB564+Debt!AC564+Pat.!S564+Rates!Z564</f>
        <v>0</v>
      </c>
      <c r="AG564" s="106">
        <f>+'Regulatory Charge'!AA564+Fuel!AA564+PCM!AB564+Interest!AA564+'O&amp;M'!AC564+'Capex &amp; Depr'!AC564+Debt!AD564+Pat.!T564+Rates!AA564</f>
        <v>0</v>
      </c>
      <c r="AH564" s="106">
        <f>+'Regulatory Charge'!AB564+Fuel!AB564+PCM!AC564+Interest!AB564+'O&amp;M'!AD564+'Capex &amp; Depr'!AD564+Debt!AE564+Pat.!U564+Rates!AB564</f>
        <v>0</v>
      </c>
      <c r="AI564" s="106">
        <f>+'Regulatory Charge'!AC564+Fuel!AC564+PCM!AD564+Interest!AC564+'O&amp;M'!AE564+'Capex &amp; Depr'!AE564+Debt!AF564+Pat.!V564+Rates!AC564</f>
        <v>0</v>
      </c>
      <c r="AJ564" s="106">
        <f>+'Regulatory Charge'!AD564+Fuel!AD564+PCM!AE564+Interest!AD564+'O&amp;M'!AF564+'Capex &amp; Depr'!AF564+Debt!AG564+Pat.!W564+Rates!AD564</f>
        <v>0</v>
      </c>
      <c r="AK564" s="106">
        <f>+'Regulatory Charge'!AE564+Fuel!AE564+PCM!AF564+Interest!AE564+'O&amp;M'!AG564+'Capex &amp; Depr'!AG564+Debt!AH564+Pat.!X564+Rates!AE564</f>
        <v>0</v>
      </c>
      <c r="AL564" s="106">
        <f>+'Regulatory Charge'!AF564+Fuel!AF564+PCM!AG564+Interest!AF564+'O&amp;M'!AH564+'Capex &amp; Depr'!AH564+Debt!AI564+Pat.!Y564+Rates!AF564</f>
        <v>0</v>
      </c>
      <c r="AM564" s="106">
        <f>+'Regulatory Charge'!AG564+Fuel!AG564+PCM!AH564+Interest!AG564+'O&amp;M'!AI564+'Capex &amp; Depr'!AI564+Debt!AJ564+Pat.!Z564+Rates!AG564</f>
        <v>0</v>
      </c>
      <c r="AN564" s="106">
        <f>+'Regulatory Charge'!AH564+Fuel!AH564+PCM!AI564+Interest!AH564+'O&amp;M'!AJ564+'Capex &amp; Depr'!AJ564+Debt!AK564+Pat.!AA564+Rates!AH564</f>
        <v>0</v>
      </c>
      <c r="AO564" s="106">
        <f>+'Regulatory Charge'!AI564+Fuel!AI564+PCM!AJ564+Interest!AI564+'O&amp;M'!AK564+'Capex &amp; Depr'!AK564+Debt!AL564+Pat.!AB564+Rates!AI564</f>
        <v>0</v>
      </c>
      <c r="AP564" s="106">
        <f>+'Regulatory Charge'!AJ564+Fuel!AJ564+PCM!AK564+Interest!AJ564+'O&amp;M'!AL564+'Capex &amp; Depr'!AL564+Debt!AM564+Pat.!AC564+Rates!AJ564</f>
        <v>0</v>
      </c>
      <c r="AQ564" s="106">
        <f>+'Regulatory Charge'!AK564+Fuel!AK564+PCM!AL564+Interest!AK564+'O&amp;M'!AM564+'Capex &amp; Depr'!AM564+Debt!AN564+Pat.!AD564+Rates!AK564</f>
        <v>0</v>
      </c>
      <c r="AR564" s="224">
        <f t="shared" si="11"/>
        <v>0</v>
      </c>
      <c r="AS564" s="106">
        <f>+'Regulatory Charge'!AM564+Fuel!AM564+PCM!AN564+Interest!AM564+'O&amp;M'!AO564+'Capex &amp; Depr'!AO564+Debt!AP564+Pat.!AF564+Rates!AM564</f>
        <v>0</v>
      </c>
      <c r="AT564" s="106">
        <f>+'Regulatory Charge'!AN564+Fuel!AN564+PCM!AO564+Interest!AN564+'O&amp;M'!AP564+'Capex &amp; Depr'!AP564+Debt!AQ564+Pat.!AG564+Rates!AN564</f>
        <v>0</v>
      </c>
      <c r="AU564" s="106">
        <f>+'Regulatory Charge'!AO564+Fuel!AO564+PCM!AP564+Interest!AO564+'O&amp;M'!AQ564+'Capex &amp; Depr'!AQ564+Debt!AR564+Pat.!AH564+Rates!AO564</f>
        <v>0</v>
      </c>
      <c r="AV564" s="106">
        <f>+'Regulatory Charge'!AP564+Fuel!AP564+PCM!AQ564+Interest!AP564+'O&amp;M'!AR564+'Capex &amp; Depr'!AR564+Debt!AS564+Pat.!AI564+Rates!AP564</f>
        <v>0</v>
      </c>
      <c r="AW564" s="106">
        <f>+'Regulatory Charge'!AQ564+Fuel!AQ564+PCM!AR564+Interest!AQ564+'O&amp;M'!AS564+'Capex &amp; Depr'!AS564+Debt!AT564+Pat.!AJ564+Rates!AQ564</f>
        <v>0</v>
      </c>
      <c r="AX564" s="106">
        <f>+'Regulatory Charge'!AR564+Fuel!AR564+PCM!AS564+Interest!AR564+'O&amp;M'!AT564+'Capex &amp; Depr'!AT564+Debt!AU564+Pat.!AK564+Rates!AR564</f>
        <v>0</v>
      </c>
      <c r="AY564" s="106">
        <f>+'Regulatory Charge'!AS564+Fuel!AS564+PCM!AT564+Interest!AS564+'O&amp;M'!AU564+'Capex &amp; Depr'!AU564+Debt!AV564+Pat.!AL564+Rates!AS564</f>
        <v>0</v>
      </c>
      <c r="AZ564" s="106">
        <f>+'Regulatory Charge'!AT564+Fuel!AT564+PCM!AU564+Interest!AT564+'O&amp;M'!AV564+'Capex &amp; Depr'!AV564+Debt!AW564+Pat.!AM564+Rates!AT564</f>
        <v>0</v>
      </c>
      <c r="BA564" s="106">
        <f>+'Regulatory Charge'!AU564+Fuel!AU564+PCM!AV564+Interest!AU564+'O&amp;M'!AW564+'Capex &amp; Depr'!AW564+Debt!AX564+Pat.!AN564+Rates!AU564</f>
        <v>0</v>
      </c>
      <c r="BB564" s="106">
        <f>+'Regulatory Charge'!AV564+Fuel!AV564+PCM!AW564+Interest!AV564+'O&amp;M'!AX564+'Capex &amp; Depr'!AX564+Debt!AY564+Pat.!AO564+Rates!AV564</f>
        <v>0</v>
      </c>
      <c r="BC564" s="106">
        <f>+'Regulatory Charge'!AW564+Fuel!AW564+PCM!AX564+Interest!AW564+'O&amp;M'!AY564+'Capex &amp; Depr'!AY564+Debt!AZ564+Pat.!AP564+Rates!AW564</f>
        <v>0</v>
      </c>
      <c r="BD564" s="106"/>
      <c r="BE564" s="106"/>
    </row>
    <row r="565" spans="1:57">
      <c r="A565" s="849" t="s">
        <v>630</v>
      </c>
      <c r="B565" s="846" t="s">
        <v>120</v>
      </c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224"/>
      <c r="S565" s="106">
        <f>+'Regulatory Charge'!M565+Fuel!M565+PCM!N565+Interest!M565+'O&amp;M'!O565+'Capex &amp; Depr'!O565+Debt!P565+Pat.!F565+Rates!M565</f>
        <v>0</v>
      </c>
      <c r="T565" s="106">
        <f>+'Regulatory Charge'!N565+Fuel!N565+PCM!O565+Interest!N565+'O&amp;M'!P565+'Capex &amp; Depr'!P565+Debt!Q565+Pat.!G565+Rates!N565</f>
        <v>0</v>
      </c>
      <c r="U565" s="106">
        <f>+'Regulatory Charge'!O565+Fuel!O565+PCM!P565+Interest!O565+'O&amp;M'!Q565+'Capex &amp; Depr'!Q565+Debt!R565+Pat.!H565+Rates!O565</f>
        <v>0</v>
      </c>
      <c r="V565" s="106">
        <f>+'Regulatory Charge'!P565+Fuel!P565+PCM!Q565+Interest!P565+'O&amp;M'!R565+'Capex &amp; Depr'!R565+Debt!S565+Pat.!I565+Rates!P565</f>
        <v>0</v>
      </c>
      <c r="W565" s="106">
        <f>+'Regulatory Charge'!Q565+Fuel!Q565+PCM!R565+Interest!Q565+'O&amp;M'!S565+'Capex &amp; Depr'!S565+Debt!T565+Pat.!J565+Rates!Q565</f>
        <v>0</v>
      </c>
      <c r="X565" s="106">
        <f>+'Regulatory Charge'!R565+Fuel!R565+PCM!S565+Interest!R565+'O&amp;M'!T565+'Capex &amp; Depr'!T565+Debt!U565+Pat.!K565+Rates!R565</f>
        <v>0</v>
      </c>
      <c r="Y565" s="106">
        <f>+'Regulatory Charge'!S565+Fuel!S565+PCM!T565+Interest!S565+'O&amp;M'!U565+'Capex &amp; Depr'!U565+Debt!V565+Pat.!L565+Rates!S565</f>
        <v>0</v>
      </c>
      <c r="Z565" s="106">
        <f>+'Regulatory Charge'!T565+Fuel!T565+PCM!U565+Interest!T565+'O&amp;M'!V565+'Capex &amp; Depr'!V565+Debt!W565+Pat.!M565+Rates!T565</f>
        <v>0</v>
      </c>
      <c r="AA565" s="106">
        <f>+'Regulatory Charge'!U565+Fuel!U565+PCM!V565+Interest!U565+'O&amp;M'!W565+'Capex &amp; Depr'!W565+Debt!X565+Pat.!N565+Rates!U565</f>
        <v>0</v>
      </c>
      <c r="AB565" s="106">
        <f>+'Regulatory Charge'!V565+Fuel!V565+PCM!W565+Interest!V565+'O&amp;M'!X565+'Capex &amp; Depr'!X565+Debt!Y565+Pat.!O565+Rates!V565</f>
        <v>0</v>
      </c>
      <c r="AC565" s="106">
        <f>+'Regulatory Charge'!W565+Fuel!W565+PCM!X565+Interest!W565+'O&amp;M'!Y565+'Capex &amp; Depr'!Y565+Debt!Z565+Pat.!P565+Rates!W565</f>
        <v>0</v>
      </c>
      <c r="AD565" s="106">
        <f>+'Regulatory Charge'!X565+Fuel!X565+PCM!Y565+Interest!X565+'O&amp;M'!Z565+'Capex &amp; Depr'!Z565+Debt!AA565+Pat.!Q565+Rates!X565</f>
        <v>0</v>
      </c>
      <c r="AE565" s="224">
        <f t="shared" si="10"/>
        <v>0</v>
      </c>
      <c r="AF565" s="106">
        <f>+'Regulatory Charge'!Z565+Fuel!Z565+PCM!AA565+Interest!Z565+'O&amp;M'!AB565+'Capex &amp; Depr'!AB565+Debt!AC565+Pat.!S565+Rates!Z565</f>
        <v>0</v>
      </c>
      <c r="AG565" s="106">
        <f>+'Regulatory Charge'!AA565+Fuel!AA565+PCM!AB565+Interest!AA565+'O&amp;M'!AC565+'Capex &amp; Depr'!AC565+Debt!AD565+Pat.!T565+Rates!AA565</f>
        <v>0</v>
      </c>
      <c r="AH565" s="106">
        <f>+'Regulatory Charge'!AB565+Fuel!AB565+PCM!AC565+Interest!AB565+'O&amp;M'!AD565+'Capex &amp; Depr'!AD565+Debt!AE565+Pat.!U565+Rates!AB565</f>
        <v>0</v>
      </c>
      <c r="AI565" s="106">
        <f>+'Regulatory Charge'!AC565+Fuel!AC565+PCM!AD565+Interest!AC565+'O&amp;M'!AE565+'Capex &amp; Depr'!AE565+Debt!AF565+Pat.!V565+Rates!AC565</f>
        <v>0</v>
      </c>
      <c r="AJ565" s="106">
        <f>+'Regulatory Charge'!AD565+Fuel!AD565+PCM!AE565+Interest!AD565+'O&amp;M'!AF565+'Capex &amp; Depr'!AF565+Debt!AG565+Pat.!W565+Rates!AD565</f>
        <v>0</v>
      </c>
      <c r="AK565" s="106">
        <f>+'Regulatory Charge'!AE565+Fuel!AE565+PCM!AF565+Interest!AE565+'O&amp;M'!AG565+'Capex &amp; Depr'!AG565+Debt!AH565+Pat.!X565+Rates!AE565</f>
        <v>0</v>
      </c>
      <c r="AL565" s="106">
        <f>+'Regulatory Charge'!AF565+Fuel!AF565+PCM!AG565+Interest!AF565+'O&amp;M'!AH565+'Capex &amp; Depr'!AH565+Debt!AI565+Pat.!Y565+Rates!AF565</f>
        <v>0</v>
      </c>
      <c r="AM565" s="106">
        <f>+'Regulatory Charge'!AG565+Fuel!AG565+PCM!AH565+Interest!AG565+'O&amp;M'!AI565+'Capex &amp; Depr'!AI565+Debt!AJ565+Pat.!Z565+Rates!AG565</f>
        <v>0</v>
      </c>
      <c r="AN565" s="106">
        <f>+'Regulatory Charge'!AH565+Fuel!AH565+PCM!AI565+Interest!AH565+'O&amp;M'!AJ565+'Capex &amp; Depr'!AJ565+Debt!AK565+Pat.!AA565+Rates!AH565</f>
        <v>0</v>
      </c>
      <c r="AO565" s="106">
        <f>+'Regulatory Charge'!AI565+Fuel!AI565+PCM!AJ565+Interest!AI565+'O&amp;M'!AK565+'Capex &amp; Depr'!AK565+Debt!AL565+Pat.!AB565+Rates!AI565</f>
        <v>0</v>
      </c>
      <c r="AP565" s="106">
        <f>+'Regulatory Charge'!AJ565+Fuel!AJ565+PCM!AK565+Interest!AJ565+'O&amp;M'!AL565+'Capex &amp; Depr'!AL565+Debt!AM565+Pat.!AC565+Rates!AJ565</f>
        <v>0</v>
      </c>
      <c r="AQ565" s="106">
        <f>+'Regulatory Charge'!AK565+Fuel!AK565+PCM!AL565+Interest!AK565+'O&amp;M'!AM565+'Capex &amp; Depr'!AM565+Debt!AN565+Pat.!AD565+Rates!AK565</f>
        <v>0</v>
      </c>
      <c r="AR565" s="224">
        <f t="shared" si="11"/>
        <v>0</v>
      </c>
      <c r="AS565" s="106">
        <f>+'Regulatory Charge'!AM565+Fuel!AM565+PCM!AN565+Interest!AM565+'O&amp;M'!AO565+'Capex &amp; Depr'!AO565+Debt!AP565+Pat.!AF565+Rates!AM565</f>
        <v>0</v>
      </c>
      <c r="AT565" s="106">
        <f>+'Regulatory Charge'!AN565+Fuel!AN565+PCM!AO565+Interest!AN565+'O&amp;M'!AP565+'Capex &amp; Depr'!AP565+Debt!AQ565+Pat.!AG565+Rates!AN565</f>
        <v>0</v>
      </c>
      <c r="AU565" s="106">
        <f>+'Regulatory Charge'!AO565+Fuel!AO565+PCM!AP565+Interest!AO565+'O&amp;M'!AQ565+'Capex &amp; Depr'!AQ565+Debt!AR565+Pat.!AH565+Rates!AO565</f>
        <v>0</v>
      </c>
      <c r="AV565" s="106">
        <f>+'Regulatory Charge'!AP565+Fuel!AP565+PCM!AQ565+Interest!AP565+'O&amp;M'!AR565+'Capex &amp; Depr'!AR565+Debt!AS565+Pat.!AI565+Rates!AP565</f>
        <v>0</v>
      </c>
      <c r="AW565" s="106">
        <f>+'Regulatory Charge'!AQ565+Fuel!AQ565+PCM!AR565+Interest!AQ565+'O&amp;M'!AS565+'Capex &amp; Depr'!AS565+Debt!AT565+Pat.!AJ565+Rates!AQ565</f>
        <v>0</v>
      </c>
      <c r="AX565" s="106">
        <f>+'Regulatory Charge'!AR565+Fuel!AR565+PCM!AS565+Interest!AR565+'O&amp;M'!AT565+'Capex &amp; Depr'!AT565+Debt!AU565+Pat.!AK565+Rates!AR565</f>
        <v>0</v>
      </c>
      <c r="AY565" s="106">
        <f>+'Regulatory Charge'!AS565+Fuel!AS565+PCM!AT565+Interest!AS565+'O&amp;M'!AU565+'Capex &amp; Depr'!AU565+Debt!AV565+Pat.!AL565+Rates!AS565</f>
        <v>0</v>
      </c>
      <c r="AZ565" s="106">
        <f>+'Regulatory Charge'!AT565+Fuel!AT565+PCM!AU565+Interest!AT565+'O&amp;M'!AV565+'Capex &amp; Depr'!AV565+Debt!AW565+Pat.!AM565+Rates!AT565</f>
        <v>0</v>
      </c>
      <c r="BA565" s="106">
        <f>+'Regulatory Charge'!AU565+Fuel!AU565+PCM!AV565+Interest!AU565+'O&amp;M'!AW565+'Capex &amp; Depr'!AW565+Debt!AX565+Pat.!AN565+Rates!AU565</f>
        <v>0</v>
      </c>
      <c r="BB565" s="106">
        <f>+'Regulatory Charge'!AV565+Fuel!AV565+PCM!AW565+Interest!AV565+'O&amp;M'!AX565+'Capex &amp; Depr'!AX565+Debt!AY565+Pat.!AO565+Rates!AV565</f>
        <v>0</v>
      </c>
      <c r="BC565" s="106">
        <f>+'Regulatory Charge'!AW565+Fuel!AW565+PCM!AX565+Interest!AW565+'O&amp;M'!AY565+'Capex &amp; Depr'!AY565+Debt!AZ565+Pat.!AP565+Rates!AW565</f>
        <v>0</v>
      </c>
      <c r="BD565" s="106"/>
      <c r="BE565" s="106"/>
    </row>
    <row r="566" spans="1:57">
      <c r="A566" s="849">
        <v>930.2</v>
      </c>
      <c r="B566" s="846" t="s">
        <v>999</v>
      </c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224"/>
      <c r="S566" s="106">
        <f>+'Regulatory Charge'!M566+Fuel!M566+PCM!N566+Interest!M566+'O&amp;M'!O566+'Capex &amp; Depr'!O566+Debt!P566+Pat.!F566+Rates!M566</f>
        <v>0.12982880151000001</v>
      </c>
      <c r="T566" s="106">
        <f>+'Regulatory Charge'!N566+Fuel!N566+PCM!O566+Interest!N566+'O&amp;M'!P566+'Capex &amp; Depr'!P566+Debt!Q566+Pat.!G566+Rates!N566</f>
        <v>8.7182511719999994E-2</v>
      </c>
      <c r="U566" s="106">
        <f>+'Regulatory Charge'!O566+Fuel!O566+PCM!P566+Interest!O566+'O&amp;M'!Q566+'Capex &amp; Depr'!Q566+Debt!R566+Pat.!H566+Rates!O566</f>
        <v>0.15765448551</v>
      </c>
      <c r="V566" s="106">
        <f>+'Regulatory Charge'!P566+Fuel!P566+PCM!Q566+Interest!P566+'O&amp;M'!R566+'Capex &amp; Depr'!R566+Debt!S566+Pat.!I566+Rates!P566</f>
        <v>0.12760092651999999</v>
      </c>
      <c r="W566" s="106">
        <f>+'Regulatory Charge'!Q566+Fuel!Q566+PCM!R566+Interest!Q566+'O&amp;M'!S566+'Capex &amp; Depr'!S566+Debt!T566+Pat.!J566+Rates!Q566</f>
        <v>0.2260046037</v>
      </c>
      <c r="X566" s="106">
        <f>+'Regulatory Charge'!R566+Fuel!R566+PCM!S566+Interest!R566+'O&amp;M'!T566+'Capex &amp; Depr'!T566+Debt!U566+Pat.!K566+Rates!R566</f>
        <v>0.2634141364</v>
      </c>
      <c r="Y566" s="106">
        <f>+'Regulatory Charge'!S566+Fuel!S566+PCM!T566+Interest!S566+'O&amp;M'!U566+'Capex &amp; Depr'!U566+Debt!V566+Pat.!L566+Rates!S566</f>
        <v>0.11897964492000002</v>
      </c>
      <c r="Z566" s="106">
        <f>+'Regulatory Charge'!T566+Fuel!T566+PCM!U566+Interest!T566+'O&amp;M'!V566+'Capex &amp; Depr'!V566+Debt!W566+Pat.!M566+Rates!T566</f>
        <v>9.1195462382499995E-2</v>
      </c>
      <c r="AA566" s="106">
        <f>+'Regulatory Charge'!U566+Fuel!U566+PCM!V566+Interest!U566+'O&amp;M'!W566+'Capex &amp; Depr'!W566+Debt!X566+Pat.!N566+Rates!U566</f>
        <v>0.15016815649999998</v>
      </c>
      <c r="AB566" s="106">
        <f>+'Regulatory Charge'!V566+Fuel!V566+PCM!W566+Interest!V566+'O&amp;M'!X566+'Capex &amp; Depr'!X566+Debt!Y566+Pat.!O566+Rates!V566</f>
        <v>0.11853917144000001</v>
      </c>
      <c r="AC566" s="106">
        <f>+'Regulatory Charge'!W566+Fuel!W566+PCM!X566+Interest!W566+'O&amp;M'!Y566+'Capex &amp; Depr'!Y566+Debt!Z566+Pat.!P566+Rates!W566</f>
        <v>0.10445479979</v>
      </c>
      <c r="AD566" s="106">
        <f>+'Regulatory Charge'!X566+Fuel!X566+PCM!Y566+Interest!X566+'O&amp;M'!Z566+'Capex &amp; Depr'!Z566+Debt!AA566+Pat.!Q566+Rates!X566</f>
        <v>0.14412663185000002</v>
      </c>
      <c r="AE566" s="224">
        <f t="shared" si="10"/>
        <v>1.7191493322424998</v>
      </c>
      <c r="AF566" s="106">
        <f>+'Regulatory Charge'!Z566+Fuel!Z566+PCM!AA566+Interest!Z566+'O&amp;M'!AB566+'Capex &amp; Depr'!AB566+Debt!AC566+Pat.!S566+Rates!Z566</f>
        <v>0.13731069385520001</v>
      </c>
      <c r="AG566" s="106">
        <f>+'Regulatory Charge'!AA566+Fuel!AA566+PCM!AB566+Interest!AA566+'O&amp;M'!AC566+'Capex &amp; Depr'!AC566+Debt!AD566+Pat.!T566+Rates!AA566</f>
        <v>9.4559890742399996E-2</v>
      </c>
      <c r="AH566" s="106">
        <f>+'Regulatory Charge'!AB566+Fuel!AB566+PCM!AC566+Interest!AB566+'O&amp;M'!AD566+'Capex &amp; Depr'!AD566+Debt!AE566+Pat.!U566+Rates!AB566</f>
        <v>0.16464348137520002</v>
      </c>
      <c r="AI566" s="106">
        <f>+'Regulatory Charge'!AC566+Fuel!AC566+PCM!AD566+Interest!AC566+'O&amp;M'!AE566+'Capex &amp; Depr'!AE566+Debt!AF566+Pat.!V566+Rates!AC566</f>
        <v>0.13287841947840001</v>
      </c>
      <c r="AJ566" s="106">
        <f>+'Regulatory Charge'!AD566+Fuel!AD566+PCM!AE566+Interest!AD566+'O&amp;M'!AF566+'Capex &amp; Depr'!AF566+Debt!AG566+Pat.!W566+Rates!AD566</f>
        <v>0.23127622293599995</v>
      </c>
      <c r="AK566" s="106">
        <f>+'Regulatory Charge'!AE566+Fuel!AE566+PCM!AF566+Interest!AE566+'O&amp;M'!AG566+'Capex &amp; Depr'!AG566+Debt!AH566+Pat.!X566+Rates!AE566</f>
        <v>0.27409815397920001</v>
      </c>
      <c r="AL566" s="106">
        <f>+'Regulatory Charge'!AF566+Fuel!AF566+PCM!AG566+Interest!AF566+'O&amp;M'!AH566+'Capex &amp; Depr'!AH566+Debt!AI566+Pat.!Y566+Rates!AF566</f>
        <v>0.12412270200640001</v>
      </c>
      <c r="AM566" s="106">
        <f>+'Regulatory Charge'!AG566+Fuel!AG566+PCM!AH566+Interest!AG566+'O&amp;M'!AI566+'Capex &amp; Depr'!AI566+Debt!AJ566+Pat.!Z566+Rates!AG566</f>
        <v>9.6370911478400004E-2</v>
      </c>
      <c r="AN566" s="106">
        <f>+'Regulatory Charge'!AH566+Fuel!AH566+PCM!AI566+Interest!AH566+'O&amp;M'!AJ566+'Capex &amp; Depr'!AJ566+Debt!AK566+Pat.!AA566+Rates!AH566</f>
        <v>0.16144127575200001</v>
      </c>
      <c r="AO566" s="106">
        <f>+'Regulatory Charge'!AI566+Fuel!AI566+PCM!AJ566+Interest!AI566+'O&amp;M'!AK566+'Capex &amp; Depr'!AK566+Debt!AL566+Pat.!AB566+Rates!AI566</f>
        <v>0.12823602129280001</v>
      </c>
      <c r="AP566" s="106">
        <f>+'Regulatory Charge'!AJ566+Fuel!AJ566+PCM!AK566+Interest!AJ566+'O&amp;M'!AL566+'Capex &amp; Depr'!AL566+Debt!AM566+Pat.!AC566+Rates!AJ566</f>
        <v>0.1139051405848</v>
      </c>
      <c r="AQ566" s="106">
        <f>+'Regulatory Charge'!AK566+Fuel!AK566+PCM!AL566+Interest!AK566+'O&amp;M'!AM566+'Capex &amp; Depr'!AM566+Debt!AN566+Pat.!AD566+Rates!AK566</f>
        <v>0.161620406484</v>
      </c>
      <c r="AR566" s="224">
        <f t="shared" si="11"/>
        <v>1.8204633199647997</v>
      </c>
      <c r="AS566" s="106">
        <f>+'Regulatory Charge'!AM566+Fuel!AM566+PCM!AN566+Interest!AM566+'O&amp;M'!AO566+'Capex &amp; Depr'!AO566+Debt!AP566+Pat.!AF566+Rates!AM566</f>
        <v>1.8910036551037437</v>
      </c>
      <c r="AT566" s="106">
        <f>+'Regulatory Charge'!AN566+Fuel!AN566+PCM!AO566+Interest!AN566+'O&amp;M'!AP566+'Capex &amp; Depr'!AP566+Debt!AQ566+Pat.!AG566+Rates!AN566</f>
        <v>2.0081346248590188</v>
      </c>
      <c r="AU566" s="106">
        <f>+'Regulatory Charge'!AO566+Fuel!AO566+PCM!AP566+Interest!AO566+'O&amp;M'!AQ566+'Capex &amp; Depr'!AQ566+Debt!AR566+Pat.!AH566+Rates!AO566</f>
        <v>2.0539360636047896</v>
      </c>
      <c r="AV566" s="106">
        <f>+'Regulatory Charge'!AP566+Fuel!AP566+PCM!AQ566+Interest!AP566+'O&amp;M'!AR566+'Capex &amp; Depr'!AR566+Debt!AS566+Pat.!AI566+Rates!AP566</f>
        <v>2.101111545512933</v>
      </c>
      <c r="AW566" s="106">
        <f>+'Regulatory Charge'!AQ566+Fuel!AQ566+PCM!AR566+Interest!AQ566+'O&amp;M'!AS566+'Capex &amp; Depr'!AS566+Debt!AT566+Pat.!AJ566+Rates!AQ566</f>
        <v>2.1497022918783211</v>
      </c>
      <c r="AX566" s="106">
        <f>+'Regulatory Charge'!AR566+Fuel!AR566+PCM!AS566+Interest!AR566+'O&amp;M'!AT566+'Capex &amp; Depr'!AT566+Debt!AU566+Pat.!AK566+Rates!AR566</f>
        <v>2.1997507606346711</v>
      </c>
      <c r="AY566" s="106">
        <f>+'Regulatory Charge'!AS566+Fuel!AS566+PCM!AT566+Interest!AS566+'O&amp;M'!AU566+'Capex &amp; Depr'!AU566+Debt!AV566+Pat.!AL566+Rates!AS566</f>
        <v>2.251300683453711</v>
      </c>
      <c r="AZ566" s="106">
        <f>+'Regulatory Charge'!AT566+Fuel!AT566+PCM!AU566+Interest!AT566+'O&amp;M'!AV566+'Capex &amp; Depr'!AV566+Debt!AW566+Pat.!AM566+Rates!AT566</f>
        <v>2.3043971039573226</v>
      </c>
      <c r="BA566" s="106">
        <f>+'Regulatory Charge'!AU566+Fuel!AU566+PCM!AV566+Interest!AU566+'O&amp;M'!AW566+'Capex &amp; Depr'!AW566+Debt!AX566+Pat.!AN566+Rates!AU566</f>
        <v>2.3590864170760422</v>
      </c>
      <c r="BB566" s="106">
        <f>+'Regulatory Charge'!AV566+Fuel!AV566+PCM!AW566+Interest!AV566+'O&amp;M'!AX566+'Capex &amp; Depr'!AX566+Debt!AY566+Pat.!AO566+Rates!AV566</f>
        <v>2.4154164095883233</v>
      </c>
      <c r="BC566" s="106">
        <f>+'Regulatory Charge'!AW566+Fuel!AW566+PCM!AX566+Interest!AW566+'O&amp;M'!AY566+'Capex &amp; Depr'!AY566+Debt!AZ566+Pat.!AP566+Rates!AW566</f>
        <v>2.4734363018759731</v>
      </c>
      <c r="BD566" s="106"/>
      <c r="BE566" s="106"/>
    </row>
    <row r="567" spans="1:57">
      <c r="A567" s="849" t="s">
        <v>122</v>
      </c>
      <c r="B567" s="846" t="s">
        <v>123</v>
      </c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224"/>
      <c r="S567" s="106">
        <f>+'Regulatory Charge'!M567+Fuel!M567+PCM!N567+Interest!M567+'O&amp;M'!O567+'Capex &amp; Depr'!O567+Debt!P567+Pat.!F567+Rates!M567</f>
        <v>1.6108999999999999E-4</v>
      </c>
      <c r="T567" s="106">
        <f>+'Regulatory Charge'!N567+Fuel!N567+PCM!O567+Interest!N567+'O&amp;M'!P567+'Capex &amp; Depr'!P567+Debt!Q567+Pat.!G567+Rates!N567</f>
        <v>1.6108999999999999E-4</v>
      </c>
      <c r="U567" s="106">
        <f>+'Regulatory Charge'!O567+Fuel!O567+PCM!P567+Interest!O567+'O&amp;M'!Q567+'Capex &amp; Depr'!Q567+Debt!R567+Pat.!H567+Rates!O567</f>
        <v>1.6108999999999999E-4</v>
      </c>
      <c r="V567" s="106">
        <f>+'Regulatory Charge'!P567+Fuel!P567+PCM!Q567+Interest!P567+'O&amp;M'!R567+'Capex &amp; Depr'!R567+Debt!S567+Pat.!I567+Rates!P567</f>
        <v>1.6108999999999999E-4</v>
      </c>
      <c r="W567" s="106">
        <f>+'Regulatory Charge'!Q567+Fuel!Q567+PCM!R567+Interest!Q567+'O&amp;M'!S567+'Capex &amp; Depr'!S567+Debt!T567+Pat.!J567+Rates!Q567</f>
        <v>1.6108999999999999E-4</v>
      </c>
      <c r="X567" s="106">
        <f>+'Regulatory Charge'!R567+Fuel!R567+PCM!S567+Interest!R567+'O&amp;M'!T567+'Capex &amp; Depr'!T567+Debt!U567+Pat.!K567+Rates!R567</f>
        <v>1.6108999999999999E-4</v>
      </c>
      <c r="Y567" s="106">
        <f>+'Regulatory Charge'!S567+Fuel!S567+PCM!T567+Interest!S567+'O&amp;M'!U567+'Capex &amp; Depr'!U567+Debt!V567+Pat.!L567+Rates!S567</f>
        <v>1.6108999999999999E-4</v>
      </c>
      <c r="Z567" s="106">
        <f>+'Regulatory Charge'!T567+Fuel!T567+PCM!U567+Interest!T567+'O&amp;M'!V567+'Capex &amp; Depr'!V567+Debt!W567+Pat.!M567+Rates!T567</f>
        <v>1.6108999999999999E-4</v>
      </c>
      <c r="AA567" s="106">
        <f>+'Regulatory Charge'!U567+Fuel!U567+PCM!V567+Interest!U567+'O&amp;M'!W567+'Capex &amp; Depr'!W567+Debt!X567+Pat.!N567+Rates!U567</f>
        <v>1.6108999999999999E-4</v>
      </c>
      <c r="AB567" s="106">
        <f>+'Regulatory Charge'!V567+Fuel!V567+PCM!W567+Interest!V567+'O&amp;M'!X567+'Capex &amp; Depr'!X567+Debt!Y567+Pat.!O567+Rates!V567</f>
        <v>1.6108999999999999E-4</v>
      </c>
      <c r="AC567" s="106">
        <f>+'Regulatory Charge'!W567+Fuel!W567+PCM!X567+Interest!W567+'O&amp;M'!Y567+'Capex &amp; Depr'!Y567+Debt!Z567+Pat.!P567+Rates!W567</f>
        <v>1.6108999999999999E-4</v>
      </c>
      <c r="AD567" s="106">
        <f>+'Regulatory Charge'!X567+Fuel!X567+PCM!Y567+Interest!X567+'O&amp;M'!Z567+'Capex &amp; Depr'!Z567+Debt!AA567+Pat.!Q567+Rates!X567</f>
        <v>1.6108999999999999E-4</v>
      </c>
      <c r="AE567" s="224">
        <f t="shared" si="10"/>
        <v>1.93308E-3</v>
      </c>
      <c r="AF567" s="106">
        <f>+'Regulatory Charge'!Z567+Fuel!Z567+PCM!AA567+Interest!Z567+'O&amp;M'!AB567+'Capex &amp; Depr'!AB567+Debt!AC567+Pat.!S567+Rates!Z567</f>
        <v>1.6108999999999999E-4</v>
      </c>
      <c r="AG567" s="106">
        <f>+'Regulatory Charge'!AA567+Fuel!AA567+PCM!AB567+Interest!AA567+'O&amp;M'!AC567+'Capex &amp; Depr'!AC567+Debt!AD567+Pat.!T567+Rates!AA567</f>
        <v>1.6108999999999999E-4</v>
      </c>
      <c r="AH567" s="106">
        <f>+'Regulatory Charge'!AB567+Fuel!AB567+PCM!AC567+Interest!AB567+'O&amp;M'!AD567+'Capex &amp; Depr'!AD567+Debt!AE567+Pat.!U567+Rates!AB567</f>
        <v>1.6108999999999999E-4</v>
      </c>
      <c r="AI567" s="106">
        <f>+'Regulatory Charge'!AC567+Fuel!AC567+PCM!AD567+Interest!AC567+'O&amp;M'!AE567+'Capex &amp; Depr'!AE567+Debt!AF567+Pat.!V567+Rates!AC567</f>
        <v>1.6108999999999999E-4</v>
      </c>
      <c r="AJ567" s="106">
        <f>+'Regulatory Charge'!AD567+Fuel!AD567+PCM!AE567+Interest!AD567+'O&amp;M'!AF567+'Capex &amp; Depr'!AF567+Debt!AG567+Pat.!W567+Rates!AD567</f>
        <v>1.6108999999999999E-4</v>
      </c>
      <c r="AK567" s="106">
        <f>+'Regulatory Charge'!AE567+Fuel!AE567+PCM!AF567+Interest!AE567+'O&amp;M'!AG567+'Capex &amp; Depr'!AG567+Debt!AH567+Pat.!X567+Rates!AE567</f>
        <v>1.6108999999999999E-4</v>
      </c>
      <c r="AL567" s="106">
        <f>+'Regulatory Charge'!AF567+Fuel!AF567+PCM!AG567+Interest!AF567+'O&amp;M'!AH567+'Capex &amp; Depr'!AH567+Debt!AI567+Pat.!Y567+Rates!AF567</f>
        <v>1.6108999999999999E-4</v>
      </c>
      <c r="AM567" s="106">
        <f>+'Regulatory Charge'!AG567+Fuel!AG567+PCM!AH567+Interest!AG567+'O&amp;M'!AI567+'Capex &amp; Depr'!AI567+Debt!AJ567+Pat.!Z567+Rates!AG567</f>
        <v>1.6108999999999999E-4</v>
      </c>
      <c r="AN567" s="106">
        <f>+'Regulatory Charge'!AH567+Fuel!AH567+PCM!AI567+Interest!AH567+'O&amp;M'!AJ567+'Capex &amp; Depr'!AJ567+Debt!AK567+Pat.!AA567+Rates!AH567</f>
        <v>1.6108999999999999E-4</v>
      </c>
      <c r="AO567" s="106">
        <f>+'Regulatory Charge'!AI567+Fuel!AI567+PCM!AJ567+Interest!AI567+'O&amp;M'!AK567+'Capex &amp; Depr'!AK567+Debt!AL567+Pat.!AB567+Rates!AI567</f>
        <v>1.6108999999999999E-4</v>
      </c>
      <c r="AP567" s="106">
        <f>+'Regulatory Charge'!AJ567+Fuel!AJ567+PCM!AK567+Interest!AJ567+'O&amp;M'!AL567+'Capex &amp; Depr'!AL567+Debt!AM567+Pat.!AC567+Rates!AJ567</f>
        <v>1.6108999999999999E-4</v>
      </c>
      <c r="AQ567" s="106">
        <f>+'Regulatory Charge'!AK567+Fuel!AK567+PCM!AL567+Interest!AK567+'O&amp;M'!AM567+'Capex &amp; Depr'!AM567+Debt!AN567+Pat.!AD567+Rates!AK567</f>
        <v>1.6108999999999999E-4</v>
      </c>
      <c r="AR567" s="224">
        <f t="shared" si="11"/>
        <v>1.93308E-3</v>
      </c>
      <c r="AS567" s="106">
        <f>+'Regulatory Charge'!AM567+Fuel!AM567+PCM!AN567+Interest!AM567+'O&amp;M'!AO567+'Capex &amp; Depr'!AO567+Debt!AP567+Pat.!AF567+Rates!AM567</f>
        <v>1.93308E-3</v>
      </c>
      <c r="AT567" s="106">
        <f>+'Regulatory Charge'!AN567+Fuel!AN567+PCM!AO567+Interest!AN567+'O&amp;M'!AP567+'Capex &amp; Depr'!AP567+Debt!AQ567+Pat.!AG567+Rates!AN567</f>
        <v>1.93308E-3</v>
      </c>
      <c r="AU567" s="106">
        <f>+'Regulatory Charge'!AO567+Fuel!AO567+PCM!AP567+Interest!AO567+'O&amp;M'!AQ567+'Capex &amp; Depr'!AQ567+Debt!AR567+Pat.!AH567+Rates!AO567</f>
        <v>1.93308E-3</v>
      </c>
      <c r="AV567" s="106">
        <f>+'Regulatory Charge'!AP567+Fuel!AP567+PCM!AQ567+Interest!AP567+'O&amp;M'!AR567+'Capex &amp; Depr'!AR567+Debt!AS567+Pat.!AI567+Rates!AP567</f>
        <v>1.93308E-3</v>
      </c>
      <c r="AW567" s="106">
        <f>+'Regulatory Charge'!AQ567+Fuel!AQ567+PCM!AR567+Interest!AQ567+'O&amp;M'!AS567+'Capex &amp; Depr'!AS567+Debt!AT567+Pat.!AJ567+Rates!AQ567</f>
        <v>1.93308E-3</v>
      </c>
      <c r="AX567" s="106">
        <f>+'Regulatory Charge'!AR567+Fuel!AR567+PCM!AS567+Interest!AR567+'O&amp;M'!AT567+'Capex &amp; Depr'!AT567+Debt!AU567+Pat.!AK567+Rates!AR567</f>
        <v>1.93308E-3</v>
      </c>
      <c r="AY567" s="106">
        <f>+'Regulatory Charge'!AS567+Fuel!AS567+PCM!AT567+Interest!AS567+'O&amp;M'!AU567+'Capex &amp; Depr'!AU567+Debt!AV567+Pat.!AL567+Rates!AS567</f>
        <v>1.93308E-3</v>
      </c>
      <c r="AZ567" s="106">
        <f>+'Regulatory Charge'!AT567+Fuel!AT567+PCM!AU567+Interest!AT567+'O&amp;M'!AV567+'Capex &amp; Depr'!AV567+Debt!AW567+Pat.!AM567+Rates!AT567</f>
        <v>1.93308E-3</v>
      </c>
      <c r="BA567" s="106">
        <f>+'Regulatory Charge'!AU567+Fuel!AU567+PCM!AV567+Interest!AU567+'O&amp;M'!AW567+'Capex &amp; Depr'!AW567+Debt!AX567+Pat.!AN567+Rates!AU567</f>
        <v>1.93308E-3</v>
      </c>
      <c r="BB567" s="106">
        <f>+'Regulatory Charge'!AV567+Fuel!AV567+PCM!AW567+Interest!AV567+'O&amp;M'!AX567+'Capex &amp; Depr'!AX567+Debt!AY567+Pat.!AO567+Rates!AV567</f>
        <v>1.93308E-3</v>
      </c>
      <c r="BC567" s="106">
        <f>+'Regulatory Charge'!AW567+Fuel!AW567+PCM!AX567+Interest!AW567+'O&amp;M'!AY567+'Capex &amp; Depr'!AY567+Debt!AZ567+Pat.!AP567+Rates!AW567</f>
        <v>1.93308E-3</v>
      </c>
      <c r="BD567" s="106"/>
      <c r="BE567" s="106"/>
    </row>
    <row r="568" spans="1:57">
      <c r="A568" s="849">
        <v>935.1</v>
      </c>
      <c r="B568" s="846" t="s">
        <v>1000</v>
      </c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224"/>
      <c r="S568" s="106">
        <f>+'Regulatory Charge'!M568+Fuel!M568+PCM!N568+Interest!M568+'O&amp;M'!O568+'Capex &amp; Depr'!O568+Debt!P568+Pat.!F568+Rates!M568</f>
        <v>9.2504441378465814E-3</v>
      </c>
      <c r="T568" s="106">
        <f>+'Regulatory Charge'!N568+Fuel!N568+PCM!O568+Interest!N568+'O&amp;M'!P568+'Capex &amp; Depr'!P568+Debt!Q568+Pat.!G568+Rates!N568</f>
        <v>8.9400265493282428E-3</v>
      </c>
      <c r="U568" s="106">
        <f>+'Regulatory Charge'!O568+Fuel!O568+PCM!P568+Interest!O568+'O&amp;M'!Q568+'Capex &amp; Depr'!Q568+Debt!R568+Pat.!H568+Rates!O568</f>
        <v>9.6229452440685943E-3</v>
      </c>
      <c r="V568" s="106">
        <f>+'Regulatory Charge'!P568+Fuel!P568+PCM!Q568+Interest!P568+'O&amp;M'!R568+'Capex &amp; Depr'!R568+Debt!S568+Pat.!I568+Rates!P568</f>
        <v>9.1883606201429158E-3</v>
      </c>
      <c r="W568" s="106">
        <f>+'Regulatory Charge'!Q568+Fuel!Q568+PCM!R568+Interest!Q568+'O&amp;M'!S568+'Capex &amp; Depr'!S568+Debt!T568+Pat.!J568+Rates!Q568</f>
        <v>9.7471122794759307E-3</v>
      </c>
      <c r="X568" s="106">
        <f>+'Regulatory Charge'!R568+Fuel!R568+PCM!S568+Interest!R568+'O&amp;M'!T568+'Capex &amp; Depr'!T568+Debt!U568+Pat.!K568+Rates!R568</f>
        <v>8.4433584076988935E-3</v>
      </c>
      <c r="Y568" s="106">
        <f>+'Regulatory Charge'!S568+Fuel!S568+PCM!T568+Interest!S568+'O&amp;M'!U568+'Capex &amp; Depr'!U568+Debt!V568+Pat.!L568+Rates!S568</f>
        <v>9.1883606201429158E-3</v>
      </c>
      <c r="Z568" s="106">
        <f>+'Regulatory Charge'!T568+Fuel!T568+PCM!U568+Interest!T568+'O&amp;M'!V568+'Capex &amp; Depr'!V568+Debt!W568+Pat.!M568+Rates!T568</f>
        <v>9.7471122794759307E-3</v>
      </c>
      <c r="AA568" s="106">
        <f>+'Regulatory Charge'!U568+Fuel!U568+PCM!V568+Interest!U568+'O&amp;M'!W568+'Capex &amp; Depr'!W568+Debt!X568+Pat.!N568+Rates!U568</f>
        <v>8.4433584076988935E-3</v>
      </c>
      <c r="AB568" s="106">
        <f>+'Regulatory Charge'!V568+Fuel!V568+PCM!W568+Interest!V568+'O&amp;M'!X568+'Capex &amp; Depr'!X568+Debt!Y568+Pat.!O568+Rates!V568</f>
        <v>1.0155678382446147E-2</v>
      </c>
      <c r="AC568" s="106">
        <f>+'Regulatory Charge'!W568+Fuel!W568+PCM!X568+Interest!W568+'O&amp;M'!Y568+'Capex &amp; Depr'!Y568+Debt!Z568+Pat.!P568+Rates!W568</f>
        <v>8.4525521940856125E-3</v>
      </c>
      <c r="AD568" s="106">
        <f>+'Regulatory Charge'!X568+Fuel!X568+PCM!Y568+Interest!X568+'O&amp;M'!Z568+'Capex &amp; Depr'!Z568+Debt!AA568+Pat.!Q568+Rates!X568</f>
        <v>8.7048671849538403E-3</v>
      </c>
      <c r="AE568" s="224">
        <f t="shared" si="10"/>
        <v>0.10988417630736448</v>
      </c>
      <c r="AF568" s="106">
        <f>+'Regulatory Charge'!Z568+Fuel!Z568+PCM!AA568+Interest!Z568+'O&amp;M'!AB568+'Capex &amp; Depr'!AB568+Debt!AC568+Pat.!S568+Rates!Z568</f>
        <v>9.1193732453083189E-3</v>
      </c>
      <c r="AG568" s="106">
        <f>+'Regulatory Charge'!AA568+Fuel!AA568+PCM!AB568+Interest!AA568+'O&amp;M'!AC568+'Capex &amp; Depr'!AC568+Debt!AD568+Pat.!T568+Rates!AA568</f>
        <v>8.8133540088885763E-3</v>
      </c>
      <c r="AH568" s="106">
        <f>+'Regulatory Charge'!AB568+Fuel!AB568+PCM!AC568+Interest!AB568+'O&amp;M'!AD568+'Capex &amp; Depr'!AD568+Debt!AE568+Pat.!U568+Rates!AB568</f>
        <v>9.4865963290120103E-3</v>
      </c>
      <c r="AI568" s="106">
        <f>+'Regulatory Charge'!AC568+Fuel!AC568+PCM!AD568+Interest!AC568+'O&amp;M'!AE568+'Capex &amp; Depr'!AE568+Debt!AF568+Pat.!V568+Rates!AC568</f>
        <v>9.0581693980243683E-3</v>
      </c>
      <c r="AJ568" s="106">
        <f>+'Regulatory Charge'!AD568+Fuel!AD568+PCM!AE568+Interest!AD568+'O&amp;M'!AF568+'Capex &amp; Depr'!AF568+Debt!AG568+Pat.!W568+Rates!AD568</f>
        <v>9.609004023579908E-3</v>
      </c>
      <c r="AK568" s="106">
        <f>+'Regulatory Charge'!AE568+Fuel!AE568+PCM!AF568+Interest!AE568+'O&amp;M'!AG568+'Capex &amp; Depr'!AG568+Debt!AH568+Pat.!X568+Rates!AE568</f>
        <v>8.3237232306169907E-3</v>
      </c>
      <c r="AL568" s="106">
        <f>+'Regulatory Charge'!AF568+Fuel!AF568+PCM!AG568+Interest!AF568+'O&amp;M'!AH568+'Capex &amp; Depr'!AH568+Debt!AI568+Pat.!Y568+Rates!AF568</f>
        <v>9.0581693980243683E-3</v>
      </c>
      <c r="AM568" s="106">
        <f>+'Regulatory Charge'!AG568+Fuel!AG568+PCM!AH568+Interest!AG568+'O&amp;M'!AI568+'Capex &amp; Depr'!AI568+Debt!AJ568+Pat.!Z568+Rates!AG568</f>
        <v>9.609004023579908E-3</v>
      </c>
      <c r="AN568" s="106">
        <f>+'Regulatory Charge'!AH568+Fuel!AH568+PCM!AI568+Interest!AH568+'O&amp;M'!AJ568+'Capex &amp; Depr'!AJ568+Debt!AK568+Pat.!AA568+Rates!AH568</f>
        <v>8.3237232306169907E-3</v>
      </c>
      <c r="AO568" s="106">
        <f>+'Regulatory Charge'!AI568+Fuel!AI568+PCM!AJ568+Interest!AI568+'O&amp;M'!AK568+'Capex &amp; Depr'!AK568+Debt!AL568+Pat.!AB568+Rates!AI568</f>
        <v>1.0011805841426299E-2</v>
      </c>
      <c r="AP568" s="106">
        <f>+'Regulatory Charge'!AJ568+Fuel!AJ568+PCM!AK568+Interest!AJ568+'O&amp;M'!AL568+'Capex &amp; Depr'!AL568+Debt!AM568+Pat.!AC568+Rates!AJ568</f>
        <v>8.3328073462802747E-3</v>
      </c>
      <c r="AQ568" s="106">
        <f>+'Regulatory Charge'!AK568+Fuel!AK568+PCM!AL568+Interest!AK568+'O&amp;M'!AM568+'Capex &amp; Depr'!AM568+Debt!AN568+Pat.!AD568+Rates!AK568</f>
        <v>8.5815478640796847E-3</v>
      </c>
      <c r="AR568" s="224">
        <f t="shared" si="11"/>
        <v>0.10832727793943769</v>
      </c>
      <c r="AS568" s="106">
        <f>+'Regulatory Charge'!AM568+Fuel!AM568+PCM!AN568+Interest!AM568+'O&amp;M'!AO568+'Capex &amp; Depr'!AO568+Debt!AP568+Pat.!AF568+Rates!AM568</f>
        <v>0.11094063117733344</v>
      </c>
      <c r="AT568" s="106">
        <f>+'Regulatory Charge'!AN568+Fuel!AN568+PCM!AO568+Interest!AN568+'O&amp;M'!AP568+'Capex &amp; Depr'!AP568+Debt!AQ568+Pat.!AG568+Rates!AN568</f>
        <v>0.11362479323415875</v>
      </c>
      <c r="AU568" s="106">
        <f>+'Regulatory Charge'!AO568+Fuel!AO568+PCM!AP568+Interest!AO568+'O&amp;M'!AQ568+'Capex &amp; Depr'!AQ568+Debt!AR568+Pat.!AH568+Rates!AO568</f>
        <v>0.11703353703118352</v>
      </c>
      <c r="AV568" s="106">
        <f>+'Regulatory Charge'!AP568+Fuel!AP568+PCM!AQ568+Interest!AP568+'O&amp;M'!AR568+'Capex &amp; Depr'!AR568+Debt!AS568+Pat.!AI568+Rates!AP568</f>
        <v>0.12054454314211903</v>
      </c>
      <c r="AW568" s="106">
        <f>+'Regulatory Charge'!AQ568+Fuel!AQ568+PCM!AR568+Interest!AQ568+'O&amp;M'!AS568+'Capex &amp; Depr'!AS568+Debt!AT568+Pat.!AJ568+Rates!AQ568</f>
        <v>0.1241608794363826</v>
      </c>
      <c r="AX568" s="106">
        <f>+'Regulatory Charge'!AR568+Fuel!AR568+PCM!AS568+Interest!AR568+'O&amp;M'!AT568+'Capex &amp; Depr'!AT568+Debt!AU568+Pat.!AK568+Rates!AR568</f>
        <v>0.12788570581947409</v>
      </c>
      <c r="AY568" s="106">
        <f>+'Regulatory Charge'!AS568+Fuel!AS568+PCM!AT568+Interest!AS568+'O&amp;M'!AU568+'Capex &amp; Depr'!AU568+Debt!AV568+Pat.!AL568+Rates!AS568</f>
        <v>0.13172227699405831</v>
      </c>
      <c r="AZ568" s="106">
        <f>+'Regulatory Charge'!AT568+Fuel!AT568+PCM!AU568+Interest!AT568+'O&amp;M'!AV568+'Capex &amp; Depr'!AV568+Debt!AW568+Pat.!AM568+Rates!AT568</f>
        <v>0.13567394530388005</v>
      </c>
      <c r="BA568" s="106">
        <f>+'Regulatory Charge'!AU568+Fuel!AU568+PCM!AV568+Interest!AU568+'O&amp;M'!AW568+'Capex &amp; Depr'!AW568+Debt!AX568+Pat.!AN568+Rates!AU568</f>
        <v>0.13974416366299647</v>
      </c>
      <c r="BB568" s="106">
        <f>+'Regulatory Charge'!AV568+Fuel!AV568+PCM!AW568+Interest!AV568+'O&amp;M'!AX568+'Capex &amp; Depr'!AX568+Debt!AY568+Pat.!AO568+Rates!AV568</f>
        <v>0.14393648857288638</v>
      </c>
      <c r="BC568" s="106">
        <f>+'Regulatory Charge'!AW568+Fuel!AW568+PCM!AX568+Interest!AW568+'O&amp;M'!AY568+'Capex &amp; Depr'!AY568+Debt!AZ568+Pat.!AP568+Rates!AW568</f>
        <v>0.14825458323007298</v>
      </c>
      <c r="BD568" s="106"/>
      <c r="BE568" s="106"/>
    </row>
    <row r="569" spans="1:57">
      <c r="A569" s="849">
        <v>935.1</v>
      </c>
      <c r="B569" s="846" t="s">
        <v>1000</v>
      </c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224"/>
      <c r="S569" s="106">
        <f>+'Regulatory Charge'!M569+Fuel!M569+PCM!N569+Interest!M569+'O&amp;M'!O569+'Capex &amp; Depr'!O569+Debt!P569+Pat.!F569+Rates!M569</f>
        <v>1.0446513500000001E-2</v>
      </c>
      <c r="T569" s="106">
        <f>+'Regulatory Charge'!N569+Fuel!N569+PCM!O569+Interest!N569+'O&amp;M'!P569+'Capex &amp; Depr'!P569+Debt!Q569+Pat.!G569+Rates!N569</f>
        <v>8.8085135000000002E-3</v>
      </c>
      <c r="U569" s="106">
        <f>+'Regulatory Charge'!O569+Fuel!O569+PCM!P569+Interest!O569+'O&amp;M'!Q569+'Capex &amp; Depr'!Q569+Debt!R569+Pat.!H569+Rates!O569</f>
        <v>7.9835354999999997E-3</v>
      </c>
      <c r="V569" s="106">
        <f>+'Regulatory Charge'!P569+Fuel!P569+PCM!Q569+Interest!P569+'O&amp;M'!R569+'Capex &amp; Depr'!R569+Debt!S569+Pat.!I569+Rates!P569</f>
        <v>9.0861680000000004E-3</v>
      </c>
      <c r="W569" s="106">
        <f>+'Regulatory Charge'!Q569+Fuel!Q569+PCM!R569+Interest!Q569+'O&amp;M'!S569+'Capex &amp; Depr'!S569+Debt!T569+Pat.!J569+Rates!Q569</f>
        <v>8.1078655000000003E-3</v>
      </c>
      <c r="X569" s="106">
        <f>+'Regulatory Charge'!R569+Fuel!R569+PCM!S569+Interest!R569+'O&amp;M'!T569+'Capex &amp; Depr'!T569+Debt!U569+Pat.!K569+Rates!R569</f>
        <v>8.423700499999999E-3</v>
      </c>
      <c r="Y569" s="106">
        <f>+'Regulatory Charge'!S569+Fuel!S569+PCM!T569+Interest!S569+'O&amp;M'!U569+'Capex &amp; Depr'!U569+Debt!V569+Pat.!L569+Rates!S569</f>
        <v>9.1681504999999996E-3</v>
      </c>
      <c r="Z569" s="106">
        <f>+'Regulatory Charge'!T569+Fuel!T569+PCM!U569+Interest!T569+'O&amp;M'!V569+'Capex &amp; Depr'!V569+Debt!W569+Pat.!M569+Rates!T569</f>
        <v>8.3010655000000013E-3</v>
      </c>
      <c r="AA569" s="106">
        <f>+'Regulatory Charge'!U569+Fuel!U569+PCM!V569+Interest!U569+'O&amp;M'!W569+'Capex &amp; Depr'!W569+Debt!X569+Pat.!N569+Rates!U569</f>
        <v>8.2943355000000014E-3</v>
      </c>
      <c r="AB569" s="106">
        <f>+'Regulatory Charge'!V569+Fuel!V569+PCM!W569+Interest!V569+'O&amp;M'!X569+'Capex &amp; Depr'!X569+Debt!Y569+Pat.!O569+Rates!V569</f>
        <v>8.7756654999999999E-3</v>
      </c>
      <c r="AC569" s="106">
        <f>+'Regulatory Charge'!W569+Fuel!W569+PCM!X569+Interest!W569+'O&amp;M'!Y569+'Capex &amp; Depr'!Y569+Debt!Z569+Pat.!P569+Rates!W569</f>
        <v>8.1078655000000003E-3</v>
      </c>
      <c r="AD569" s="106">
        <f>+'Regulatory Charge'!X569+Fuel!X569+PCM!Y569+Interest!X569+'O&amp;M'!Z569+'Capex &amp; Depr'!Z569+Debt!AA569+Pat.!Q569+Rates!X569</f>
        <v>9.1062479999999991E-3</v>
      </c>
      <c r="AE569" s="224">
        <f t="shared" si="10"/>
        <v>0.104609627</v>
      </c>
      <c r="AF569" s="106">
        <f>+'Regulatory Charge'!Z569+Fuel!Z569+PCM!AA569+Interest!Z569+'O&amp;M'!AB569+'Capex &amp; Depr'!AB569+Debt!AC569+Pat.!S569+Rates!Z569</f>
        <v>1.08777635E-2</v>
      </c>
      <c r="AG569" s="106">
        <f>+'Regulatory Charge'!AA569+Fuel!AA569+PCM!AB569+Interest!AA569+'O&amp;M'!AC569+'Capex &amp; Depr'!AC569+Debt!AD569+Pat.!T569+Rates!AA569</f>
        <v>9.1893635000000005E-3</v>
      </c>
      <c r="AH569" s="106">
        <f>+'Regulatory Charge'!AB569+Fuel!AB569+PCM!AC569+Interest!AB569+'O&amp;M'!AD569+'Capex &amp; Depr'!AD569+Debt!AE569+Pat.!U569+Rates!AB569</f>
        <v>8.3414184999999995E-3</v>
      </c>
      <c r="AI569" s="106">
        <f>+'Regulatory Charge'!AC569+Fuel!AC569+PCM!AD569+Interest!AC569+'O&amp;M'!AE569+'Capex &amp; Depr'!AE569+Debt!AF569+Pat.!V569+Rates!AC569</f>
        <v>9.4735175000000005E-3</v>
      </c>
      <c r="AJ569" s="106">
        <f>+'Regulatory Charge'!AD569+Fuel!AD569+PCM!AE569+Interest!AD569+'O&amp;M'!AF569+'Capex &amp; Depr'!AF569+Debt!AG569+Pat.!W569+Rates!AD569</f>
        <v>8.4675445000000002E-3</v>
      </c>
      <c r="AK569" s="106">
        <f>+'Regulatory Charge'!AE569+Fuel!AE569+PCM!AF569+Interest!AE569+'O&amp;M'!AG569+'Capex &amp; Depr'!AG569+Debt!AH569+Pat.!X569+Rates!AE569</f>
        <v>8.7940315000000005E-3</v>
      </c>
      <c r="AL569" s="106">
        <f>+'Regulatory Charge'!AF569+Fuel!AF569+PCM!AG569+Interest!AF569+'O&amp;M'!AH569+'Capex &amp; Depr'!AH569+Debt!AI569+Pat.!Y569+Rates!AF569</f>
        <v>9.5563315000000027E-3</v>
      </c>
      <c r="AM569" s="106">
        <f>+'Regulatory Charge'!AG569+Fuel!AG569+PCM!AH569+Interest!AG569+'O&amp;M'!AI569+'Capex &amp; Depr'!AI569+Debt!AJ569+Pat.!Z569+Rates!AG569</f>
        <v>8.6649444999999988E-3</v>
      </c>
      <c r="AN569" s="106">
        <f>+'Regulatory Charge'!AH569+Fuel!AH569+PCM!AI569+Interest!AH569+'O&amp;M'!AJ569+'Capex &amp; Depr'!AJ569+Debt!AK569+Pat.!AA569+Rates!AH569</f>
        <v>8.6606184999999999E-3</v>
      </c>
      <c r="AO569" s="106">
        <f>+'Regulatory Charge'!AI569+Fuel!AI569+PCM!AJ569+Interest!AI569+'O&amp;M'!AK569+'Capex &amp; Depr'!AK569+Debt!AL569+Pat.!AB569+Rates!AI569</f>
        <v>9.1563445E-3</v>
      </c>
      <c r="AP569" s="106">
        <f>+'Regulatory Charge'!AJ569+Fuel!AJ569+PCM!AK569+Interest!AJ569+'O&amp;M'!AL569+'Capex &amp; Depr'!AL569+Debt!AM569+Pat.!AC569+Rates!AJ569</f>
        <v>8.4675445000000002E-3</v>
      </c>
      <c r="AQ569" s="106">
        <f>+'Regulatory Charge'!AK569+Fuel!AK569+PCM!AL569+Interest!AK569+'O&amp;M'!AM569+'Capex &amp; Depr'!AM569+Debt!AN569+Pat.!AD569+Rates!AK569</f>
        <v>9.4954790000000011E-3</v>
      </c>
      <c r="AR569" s="224">
        <f t="shared" si="11"/>
        <v>0.1091449015</v>
      </c>
      <c r="AS569" s="106">
        <f>+'Regulatory Charge'!AM569+Fuel!AM569+PCM!AN569+Interest!AM569+'O&amp;M'!AO569+'Capex &amp; Depr'!AO569+Debt!AP569+Pat.!AF569+Rates!AM569</f>
        <v>0.11241435349999999</v>
      </c>
      <c r="AT569" s="106">
        <f>+'Regulatory Charge'!AN569+Fuel!AN569+PCM!AO569+Interest!AN569+'O&amp;M'!AP569+'Capex &amp; Depr'!AP569+Debt!AQ569+Pat.!AG569+Rates!AN569</f>
        <v>0.11578417850000002</v>
      </c>
      <c r="AU569" s="106">
        <f>+'Regulatory Charge'!AO569+Fuel!AO569+PCM!AP569+Interest!AO569+'O&amp;M'!AQ569+'Capex &amp; Depr'!AQ569+Debt!AR569+Pat.!AH569+Rates!AO569</f>
        <v>0.11925770385500002</v>
      </c>
      <c r="AV569" s="106">
        <f>+'Regulatory Charge'!AP569+Fuel!AP569+PCM!AQ569+Interest!AP569+'O&amp;M'!AR569+'Capex &amp; Depr'!AR569+Debt!AS569+Pat.!AI569+Rates!AP569</f>
        <v>0.12283543497065003</v>
      </c>
      <c r="AW569" s="106">
        <f>+'Regulatory Charge'!AQ569+Fuel!AQ569+PCM!AR569+Interest!AQ569+'O&amp;M'!AS569+'Capex &amp; Depr'!AS569+Debt!AT569+Pat.!AJ569+Rates!AQ569</f>
        <v>0.12652049801976953</v>
      </c>
      <c r="AX569" s="106">
        <f>+'Regulatory Charge'!AR569+Fuel!AR569+PCM!AS569+Interest!AR569+'O&amp;M'!AT569+'Capex &amp; Depr'!AT569+Debt!AU569+Pat.!AK569+Rates!AR569</f>
        <v>0.13031611296036261</v>
      </c>
      <c r="AY569" s="106">
        <f>+'Regulatory Charge'!AS569+Fuel!AS569+PCM!AT569+Interest!AS569+'O&amp;M'!AU569+'Capex &amp; Depr'!AU569+Debt!AV569+Pat.!AL569+Rates!AS569</f>
        <v>0.1342255963491735</v>
      </c>
      <c r="AZ569" s="106">
        <f>+'Regulatory Charge'!AT569+Fuel!AT569+PCM!AU569+Interest!AT569+'O&amp;M'!AV569+'Capex &amp; Depr'!AV569+Debt!AW569+Pat.!AM569+Rates!AT569</f>
        <v>0.13825236423964871</v>
      </c>
      <c r="BA569" s="106">
        <f>+'Regulatory Charge'!AU569+Fuel!AU569+PCM!AV569+Interest!AU569+'O&amp;M'!AW569+'Capex &amp; Depr'!AW569+Debt!AX569+Pat.!AN569+Rates!AU569</f>
        <v>0.14239993516683816</v>
      </c>
      <c r="BB569" s="106">
        <f>+'Regulatory Charge'!AV569+Fuel!AV569+PCM!AW569+Interest!AV569+'O&amp;M'!AX569+'Capex &amp; Depr'!AX569+Debt!AY569+Pat.!AO569+Rates!AV569</f>
        <v>0.1466719332218433</v>
      </c>
      <c r="BC569" s="106">
        <f>+'Regulatory Charge'!AW569+Fuel!AW569+PCM!AX569+Interest!AW569+'O&amp;M'!AY569+'Capex &amp; Depr'!AY569+Debt!AZ569+Pat.!AP569+Rates!AW569</f>
        <v>0.1510720912184986</v>
      </c>
      <c r="BD569" s="106"/>
      <c r="BE569" s="106"/>
    </row>
    <row r="570" spans="1:57"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224"/>
      <c r="S570" s="106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224"/>
      <c r="AF570" s="106"/>
      <c r="AG570" s="106"/>
      <c r="AH570" s="106"/>
      <c r="AI570" s="106"/>
      <c r="AJ570" s="106"/>
      <c r="AK570" s="106"/>
      <c r="AL570" s="106"/>
      <c r="AM570" s="106"/>
      <c r="AN570" s="106"/>
      <c r="AO570" s="106"/>
      <c r="AP570" s="106"/>
      <c r="AQ570" s="106"/>
      <c r="AR570" s="224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</row>
    <row r="571" spans="1:57"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224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06"/>
      <c r="AD571" s="106"/>
      <c r="AE571" s="224"/>
      <c r="AF571" s="106"/>
      <c r="AG571" s="106"/>
      <c r="AH571" s="106"/>
      <c r="AI571" s="106"/>
      <c r="AJ571" s="106"/>
      <c r="AK571" s="106"/>
      <c r="AL571" s="106"/>
      <c r="AM571" s="106"/>
      <c r="AN571" s="106"/>
      <c r="AO571" s="106"/>
      <c r="AP571" s="106"/>
      <c r="AQ571" s="106"/>
      <c r="AR571" s="224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</row>
    <row r="572" spans="1:57"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224"/>
      <c r="S572" s="106">
        <f t="shared" ref="S572:BC572" si="12">SUM(S433:S571)</f>
        <v>-3.906341569411675</v>
      </c>
      <c r="T572" s="106">
        <f t="shared" si="12"/>
        <v>-1.7842724503579932</v>
      </c>
      <c r="U572" s="106">
        <f t="shared" si="12"/>
        <v>-0.45753099716583068</v>
      </c>
      <c r="V572" s="106">
        <f t="shared" si="12"/>
        <v>3.3998531121105673</v>
      </c>
      <c r="W572" s="106">
        <f t="shared" si="12"/>
        <v>5.8573687101801566</v>
      </c>
      <c r="X572" s="106">
        <f t="shared" si="12"/>
        <v>-0.86520400302120559</v>
      </c>
      <c r="Y572" s="106">
        <f t="shared" si="12"/>
        <v>-2.7485524742805749</v>
      </c>
      <c r="Z572" s="106">
        <f t="shared" si="12"/>
        <v>-2.7426875214673769</v>
      </c>
      <c r="AA572" s="106">
        <f t="shared" si="12"/>
        <v>0.14420289917154383</v>
      </c>
      <c r="AB572" s="106">
        <f t="shared" si="12"/>
        <v>2.4970378922994105</v>
      </c>
      <c r="AC572" s="106">
        <f t="shared" si="12"/>
        <v>-0.38498363917544998</v>
      </c>
      <c r="AD572" s="106">
        <f t="shared" si="12"/>
        <v>-3.9652310465060494</v>
      </c>
      <c r="AE572" s="224">
        <f>SUM(S572:AD572)</f>
        <v>-4.9563410876244784</v>
      </c>
      <c r="AF572" s="106">
        <f t="shared" si="12"/>
        <v>-5.1542174808029726</v>
      </c>
      <c r="AG572" s="106">
        <f t="shared" si="12"/>
        <v>-3.5472211054431737</v>
      </c>
      <c r="AH572" s="106">
        <f t="shared" si="12"/>
        <v>-0.64358061278813916</v>
      </c>
      <c r="AI572" s="106">
        <f t="shared" si="12"/>
        <v>6.6504885635400086</v>
      </c>
      <c r="AJ572" s="106">
        <f t="shared" si="12"/>
        <v>4.2200341661549681</v>
      </c>
      <c r="AK572" s="106">
        <f t="shared" si="12"/>
        <v>-1.9088050186316254</v>
      </c>
      <c r="AL572" s="106">
        <f t="shared" si="12"/>
        <v>-3.7245219874210109</v>
      </c>
      <c r="AM572" s="106">
        <f t="shared" si="12"/>
        <v>-3.6062467717355839</v>
      </c>
      <c r="AN572" s="106">
        <f t="shared" si="12"/>
        <v>-0.5851137264164763</v>
      </c>
      <c r="AO572" s="106">
        <f t="shared" si="12"/>
        <v>1.7776284909910796</v>
      </c>
      <c r="AP572" s="106">
        <f t="shared" si="12"/>
        <v>-1.0901283836832756</v>
      </c>
      <c r="AQ572" s="106">
        <f t="shared" si="12"/>
        <v>-3.8128950141556515</v>
      </c>
      <c r="AR572" s="224">
        <f t="shared" si="11"/>
        <v>-11.424578880391852</v>
      </c>
      <c r="AS572" s="106">
        <f t="shared" si="12"/>
        <v>-11.406374047922599</v>
      </c>
      <c r="AT572" s="106">
        <f t="shared" si="12"/>
        <v>-8.4975233860463391</v>
      </c>
      <c r="AU572" s="106">
        <f t="shared" si="12"/>
        <v>-6.5520031807884704</v>
      </c>
      <c r="AV572" s="106">
        <f t="shared" si="12"/>
        <v>-7.1657626060400545</v>
      </c>
      <c r="AW572" s="106">
        <f t="shared" si="12"/>
        <v>-10.926038416876088</v>
      </c>
      <c r="AX572" s="106">
        <f t="shared" si="12"/>
        <v>-10.39185350252408</v>
      </c>
      <c r="AY572" s="106">
        <f t="shared" si="12"/>
        <v>-9.7558011372274738</v>
      </c>
      <c r="AZ572" s="106">
        <f t="shared" si="12"/>
        <v>-9.3493954135761932</v>
      </c>
      <c r="BA572" s="106">
        <f t="shared" si="12"/>
        <v>-9.1766216743109883</v>
      </c>
      <c r="BB572" s="106">
        <f t="shared" si="12"/>
        <v>-11.928022102672713</v>
      </c>
      <c r="BC572" s="106">
        <f t="shared" si="12"/>
        <v>-11.522088045127646</v>
      </c>
      <c r="BD572" s="106"/>
      <c r="BE572" s="106"/>
    </row>
    <row r="574" spans="1:57">
      <c r="S574" s="106">
        <f>S572+'Stmts RUS'!G127</f>
        <v>0</v>
      </c>
      <c r="T574" s="106">
        <f>T572+'Stmts RUS'!H127</f>
        <v>-1.3100631690576847E-14</v>
      </c>
      <c r="U574" s="106">
        <f>U572+'Stmts RUS'!I127</f>
        <v>-1.8873791418627661E-15</v>
      </c>
      <c r="V574" s="106">
        <f>V572+'Stmts RUS'!J127</f>
        <v>3.9968028886505635E-15</v>
      </c>
      <c r="W574" s="106">
        <f>W572+'Stmts RUS'!K127</f>
        <v>-1.1546319456101628E-14</v>
      </c>
      <c r="X574" s="106">
        <f>X572+'Stmts RUS'!L127</f>
        <v>-6.5503158452884236E-15</v>
      </c>
      <c r="Y574" s="106">
        <f>Y572+'Stmts RUS'!M127</f>
        <v>0</v>
      </c>
      <c r="Z574" s="106">
        <f>Z572+'Stmts RUS'!N127</f>
        <v>0</v>
      </c>
      <c r="AA574" s="106">
        <f>AA572+'Stmts RUS'!O127</f>
        <v>-8.3266726846886741E-16</v>
      </c>
      <c r="AB574" s="106">
        <f>AB572+'Stmts RUS'!P127</f>
        <v>1.2878587085651816E-14</v>
      </c>
      <c r="AC574" s="106">
        <f>AC572+'Stmts RUS'!Q127</f>
        <v>-7.9380946260698693E-15</v>
      </c>
      <c r="AD574" s="106">
        <f>AD572+'Stmts RUS'!R127</f>
        <v>-5.3290705182007514E-15</v>
      </c>
      <c r="AE574" s="820">
        <f>AE572+'Stmts RUS'!S127</f>
        <v>-1.1191048088221578E-13</v>
      </c>
      <c r="AF574" s="106">
        <f>AF572+'Stmts RUS'!T127</f>
        <v>-8.8817841970012523E-15</v>
      </c>
      <c r="AG574" s="106">
        <f>AG572+'Stmts RUS'!U127</f>
        <v>1.2878587085651816E-14</v>
      </c>
      <c r="AH574" s="106">
        <f>AH572+'Stmts RUS'!V127</f>
        <v>3.3306690738754696E-15</v>
      </c>
      <c r="AI574" s="106">
        <f>AI572+'Stmts RUS'!W127</f>
        <v>1.0658141036401503E-14</v>
      </c>
      <c r="AJ574" s="106">
        <f>AJ572+'Stmts RUS'!X127</f>
        <v>1.1546319456101628E-14</v>
      </c>
      <c r="AK574" s="106">
        <f>AK572+'Stmts RUS'!Y127</f>
        <v>6.6613381477509392E-15</v>
      </c>
      <c r="AL574" s="106">
        <f>AL572+'Stmts RUS'!Z127</f>
        <v>1.4210854715202004E-14</v>
      </c>
      <c r="AM574" s="106">
        <f>AM572+'Stmts RUS'!AA127</f>
        <v>1.7319479184152442E-14</v>
      </c>
      <c r="AN574" s="106">
        <f>AN572+'Stmts RUS'!AB127</f>
        <v>-4.5519144009631418E-15</v>
      </c>
      <c r="AO574" s="106">
        <f>AO572+'Stmts RUS'!AC127</f>
        <v>5.5511151231257827E-15</v>
      </c>
      <c r="AP574" s="106">
        <f>AP572+'Stmts RUS'!AD127</f>
        <v>-2.886579864025407E-15</v>
      </c>
      <c r="AQ574" s="106">
        <f>AQ572+'Stmts RUS'!AE127</f>
        <v>1.1990408665951691E-14</v>
      </c>
      <c r="AR574" s="820">
        <f>AR572+'Stmts RUS'!AF127</f>
        <v>4.2632564145606011E-14</v>
      </c>
      <c r="AS574" s="106">
        <f>AS572+'Stmts RUS'!AG127</f>
        <v>1.2256862191861728E-13</v>
      </c>
      <c r="AT574" s="106">
        <f>AT572+'Stmts RUS'!AH127</f>
        <v>-6.0396132539608516E-14</v>
      </c>
      <c r="AU574" s="106">
        <f>AU572+'Stmts RUS'!AI127</f>
        <v>1.9451107391432743E-13</v>
      </c>
      <c r="AV574" s="106">
        <f>AV572+'Stmts RUS'!AJ127</f>
        <v>-3.3750779948604759E-14</v>
      </c>
      <c r="AW574" s="106">
        <f>AW572+'Stmts RUS'!AK127</f>
        <v>1.2789769243681803E-13</v>
      </c>
      <c r="AX574" s="106">
        <f>AX572+'Stmts RUS'!AL127</f>
        <v>8.7041485130612273E-14</v>
      </c>
      <c r="AY574" s="106">
        <f>AY572+'Stmts RUS'!AM127</f>
        <v>2.0961010704922955E-13</v>
      </c>
      <c r="AZ574" s="106">
        <f>AZ572+'Stmts RUS'!AN127</f>
        <v>2.8421709430404007E-14</v>
      </c>
      <c r="BA574" s="106">
        <f>BA572+'Stmts RUS'!AO127</f>
        <v>-1.3500311979441904E-13</v>
      </c>
      <c r="BB574" s="106">
        <f>BB572+'Stmts RUS'!AP127</f>
        <v>-7.460698725481052E-14</v>
      </c>
      <c r="BC574" s="106">
        <f>BC572+'Stmts RUS'!AQ127</f>
        <v>1.3145040611561853E-13</v>
      </c>
      <c r="BD574" s="106"/>
      <c r="BE574" s="106"/>
    </row>
  </sheetData>
  <phoneticPr fontId="6" type="noConversion"/>
  <pageMargins left="0.75" right="0.75" top="1" bottom="1" header="0.5" footer="0.5"/>
  <pageSetup paperSize="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Z576"/>
  <sheetViews>
    <sheetView workbookViewId="0">
      <pane xSplit="12" ySplit="2" topLeftCell="AM3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AX1" sqref="AX1:AY1048576"/>
    </sheetView>
  </sheetViews>
  <sheetFormatPr defaultRowHeight="12.75"/>
  <cols>
    <col min="2" max="2" width="39.140625" customWidth="1"/>
    <col min="3" max="3" width="10" style="165" hidden="1" customWidth="1"/>
    <col min="4" max="4" width="9.42578125" hidden="1" customWidth="1"/>
    <col min="5" max="10" width="10" hidden="1" customWidth="1"/>
    <col min="11" max="11" width="10" customWidth="1"/>
    <col min="12" max="12" width="9.7109375" style="88" customWidth="1"/>
    <col min="13" max="14" width="8.28515625" style="13" customWidth="1"/>
    <col min="15" max="15" width="8" style="13" customWidth="1"/>
    <col min="16" max="16" width="7.28515625" style="13" customWidth="1"/>
    <col min="17" max="19" width="7.140625" style="13" customWidth="1"/>
    <col min="20" max="20" width="7.5703125" style="13" customWidth="1"/>
    <col min="21" max="21" width="8.42578125" style="13" customWidth="1"/>
    <col min="22" max="22" width="8" style="13" customWidth="1"/>
    <col min="23" max="23" width="9.42578125" style="13" customWidth="1"/>
    <col min="24" max="24" width="9.28515625" style="13" customWidth="1"/>
    <col min="25" max="25" width="7.140625" style="88" customWidth="1"/>
    <col min="26" max="26" width="7.85546875" customWidth="1"/>
    <col min="27" max="27" width="8.140625" customWidth="1"/>
    <col min="28" max="33" width="7.140625" customWidth="1"/>
    <col min="34" max="34" width="7.85546875" customWidth="1"/>
    <col min="35" max="35" width="8.140625" customWidth="1"/>
    <col min="36" max="36" width="8" customWidth="1"/>
    <col min="37" max="37" width="8.140625" customWidth="1"/>
    <col min="38" max="38" width="7.140625" style="88" customWidth="1"/>
    <col min="39" max="39" width="9.28515625" customWidth="1"/>
    <col min="40" max="40" width="9" customWidth="1"/>
    <col min="41" max="45" width="7.140625" bestFit="1" customWidth="1"/>
    <col min="46" max="51" width="7.5703125" bestFit="1" customWidth="1"/>
  </cols>
  <sheetData>
    <row r="1" spans="1:51">
      <c r="C1" s="187"/>
      <c r="D1" s="180"/>
      <c r="E1" s="180"/>
      <c r="F1" s="180"/>
      <c r="G1" s="180"/>
      <c r="H1" s="180"/>
      <c r="I1" s="180"/>
      <c r="J1" s="180"/>
      <c r="K1" s="180">
        <f>'Stmts RUS'!E1</f>
        <v>0</v>
      </c>
      <c r="L1" s="181">
        <f>'Stmts RUS'!F1</f>
        <v>0</v>
      </c>
      <c r="M1" s="180">
        <f>'Stmts RUS'!G1</f>
        <v>2013</v>
      </c>
      <c r="N1" s="180">
        <f>'Stmts RUS'!H1</f>
        <v>2013</v>
      </c>
      <c r="O1" s="180">
        <f>'Stmts RUS'!I1</f>
        <v>2013</v>
      </c>
      <c r="P1" s="180">
        <f>'Stmts RUS'!J1</f>
        <v>2013</v>
      </c>
      <c r="Q1" s="180">
        <f>'Stmts RUS'!K1</f>
        <v>2013</v>
      </c>
      <c r="R1" s="180">
        <f>'Stmts RUS'!L1</f>
        <v>2013</v>
      </c>
      <c r="S1" s="180">
        <f>'Stmts RUS'!M1</f>
        <v>2013</v>
      </c>
      <c r="T1" s="180">
        <f>'Stmts RUS'!N1</f>
        <v>2013</v>
      </c>
      <c r="U1" s="180">
        <f>'Stmts RUS'!O1</f>
        <v>2013</v>
      </c>
      <c r="V1" s="180">
        <f>'Stmts RUS'!P1</f>
        <v>2013</v>
      </c>
      <c r="W1" s="180">
        <f>'Stmts RUS'!Q1</f>
        <v>2013</v>
      </c>
      <c r="X1" s="180">
        <f>'Stmts RUS'!R1</f>
        <v>2013</v>
      </c>
      <c r="Y1" s="181">
        <f>'Stmts RUS'!S1</f>
        <v>0</v>
      </c>
      <c r="Z1" s="180">
        <f>'Stmts RUS'!T1</f>
        <v>2014</v>
      </c>
      <c r="AA1" s="180">
        <f>'Stmts RUS'!U1</f>
        <v>2014</v>
      </c>
      <c r="AB1" s="180">
        <f>'Stmts RUS'!V1</f>
        <v>2014</v>
      </c>
      <c r="AC1" s="180">
        <f>'Stmts RUS'!W1</f>
        <v>2014</v>
      </c>
      <c r="AD1" s="180">
        <f>'Stmts RUS'!X1</f>
        <v>2014</v>
      </c>
      <c r="AE1" s="180">
        <f>'Stmts RUS'!Y1</f>
        <v>2014</v>
      </c>
      <c r="AF1" s="180">
        <f>'Stmts RUS'!Z1</f>
        <v>2014</v>
      </c>
      <c r="AG1" s="180">
        <f>'Stmts RUS'!AA1</f>
        <v>2014</v>
      </c>
      <c r="AH1" s="180">
        <f>'Stmts RUS'!AB1</f>
        <v>2014</v>
      </c>
      <c r="AI1" s="180">
        <f>'Stmts RUS'!AC1</f>
        <v>2014</v>
      </c>
      <c r="AJ1" s="180">
        <f>'Stmts RUS'!AD1</f>
        <v>2014</v>
      </c>
      <c r="AK1" s="180">
        <f>'Stmts RUS'!AE1</f>
        <v>2014</v>
      </c>
      <c r="AL1" s="181">
        <f>'Stmts RUS'!AF1</f>
        <v>0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1:51">
      <c r="C2" s="168"/>
      <c r="D2" s="1"/>
      <c r="E2" s="1"/>
      <c r="F2" s="1"/>
      <c r="G2" s="1"/>
      <c r="H2" s="1"/>
      <c r="I2" s="1"/>
      <c r="J2" s="1"/>
      <c r="K2" s="1">
        <f>'Stmts RUS'!E2</f>
        <v>2012</v>
      </c>
      <c r="L2" s="169">
        <f>'Stmts RUS'!F2</f>
        <v>0</v>
      </c>
      <c r="M2" s="1" t="str">
        <f>'Stmts RUS'!G2</f>
        <v>January</v>
      </c>
      <c r="N2" s="1" t="str">
        <f>'Stmts RUS'!H2</f>
        <v>February</v>
      </c>
      <c r="O2" s="1" t="str">
        <f>'Stmts RUS'!I2</f>
        <v>March</v>
      </c>
      <c r="P2" s="1" t="str">
        <f>'Stmts RUS'!J2</f>
        <v>April</v>
      </c>
      <c r="Q2" s="1" t="str">
        <f>'Stmts RUS'!K2</f>
        <v>May</v>
      </c>
      <c r="R2" s="1" t="str">
        <f>'Stmts RUS'!L2</f>
        <v>June</v>
      </c>
      <c r="S2" s="1" t="str">
        <f>'Stmts RUS'!M2</f>
        <v>July</v>
      </c>
      <c r="T2" s="1" t="str">
        <f>'Stmts RUS'!N2</f>
        <v>August</v>
      </c>
      <c r="U2" s="1" t="str">
        <f>'Stmts RUS'!O2</f>
        <v>September</v>
      </c>
      <c r="V2" s="1" t="str">
        <f>'Stmts RUS'!P2</f>
        <v>October</v>
      </c>
      <c r="W2" s="1" t="str">
        <f>'Stmts RUS'!Q2</f>
        <v>November</v>
      </c>
      <c r="X2" s="1" t="str">
        <f>'Stmts RUS'!R2</f>
        <v>December</v>
      </c>
      <c r="Y2" s="169">
        <f>'Stmts RUS'!S2</f>
        <v>2013</v>
      </c>
      <c r="Z2" s="1" t="str">
        <f>'Stmts RUS'!T2</f>
        <v>January</v>
      </c>
      <c r="AA2" s="1" t="str">
        <f>'Stmts RUS'!U2</f>
        <v>February</v>
      </c>
      <c r="AB2" s="1" t="str">
        <f>'Stmts RUS'!V2</f>
        <v>March</v>
      </c>
      <c r="AC2" s="1" t="str">
        <f>'Stmts RUS'!W2</f>
        <v>April</v>
      </c>
      <c r="AD2" s="1" t="str">
        <f>'Stmts RUS'!X2</f>
        <v>May</v>
      </c>
      <c r="AE2" s="1" t="str">
        <f>'Stmts RUS'!Y2</f>
        <v>June</v>
      </c>
      <c r="AF2" s="1" t="str">
        <f>'Stmts RUS'!Z2</f>
        <v>July</v>
      </c>
      <c r="AG2" s="1" t="str">
        <f>'Stmts RUS'!AA2</f>
        <v>August</v>
      </c>
      <c r="AH2" s="1" t="str">
        <f>'Stmts RUS'!AB2</f>
        <v>September</v>
      </c>
      <c r="AI2" s="1" t="str">
        <f>'Stmts RUS'!AC2</f>
        <v>October</v>
      </c>
      <c r="AJ2" s="1" t="str">
        <f>'Stmts RUS'!AD2</f>
        <v>November</v>
      </c>
      <c r="AK2" s="1" t="str">
        <f>'Stmts RUS'!AE2</f>
        <v>December</v>
      </c>
      <c r="AL2" s="169">
        <f>'Stmts RUS'!AF2</f>
        <v>2014</v>
      </c>
      <c r="AM2" s="29">
        <f>'Stmts RUS'!AG2</f>
        <v>2015</v>
      </c>
      <c r="AN2" s="29">
        <f>'Stmts RUS'!AH2</f>
        <v>2016</v>
      </c>
      <c r="AO2" s="29">
        <f>'Stmts RUS'!AI2</f>
        <v>2017</v>
      </c>
      <c r="AP2" s="29">
        <f>'Stmts RUS'!AJ2</f>
        <v>2018</v>
      </c>
      <c r="AQ2" s="29">
        <f>'Stmts RUS'!AK2</f>
        <v>2019</v>
      </c>
      <c r="AR2" s="29">
        <f>'Stmts RUS'!AL2</f>
        <v>2020</v>
      </c>
      <c r="AS2" s="29">
        <f>'Stmts RUS'!AM2</f>
        <v>2021</v>
      </c>
      <c r="AT2" s="29">
        <f>'Stmts RUS'!AN2</f>
        <v>2022</v>
      </c>
      <c r="AU2" s="29">
        <f>'Stmts RUS'!AO2</f>
        <v>2023</v>
      </c>
      <c r="AV2" s="29">
        <f>'Stmts RUS'!AP2</f>
        <v>2024</v>
      </c>
      <c r="AW2" s="29">
        <f>'Stmts RUS'!AQ2</f>
        <v>2025</v>
      </c>
      <c r="AX2" s="29"/>
      <c r="AY2" s="29"/>
    </row>
    <row r="3" spans="1:51">
      <c r="B3" s="50" t="s">
        <v>267</v>
      </c>
      <c r="C3" s="192"/>
      <c r="D3" s="254"/>
      <c r="E3" s="254"/>
      <c r="F3" s="254"/>
      <c r="G3" s="254"/>
      <c r="H3" s="254"/>
      <c r="I3" s="254"/>
      <c r="J3" s="254"/>
      <c r="K3" s="773"/>
      <c r="L3" s="774"/>
      <c r="M3" s="773">
        <f>PCM!N6</f>
        <v>0.24920700000000001</v>
      </c>
      <c r="N3" s="773">
        <f>PCM!O6</f>
        <v>0.20802899999999999</v>
      </c>
      <c r="O3" s="773">
        <f>PCM!P6</f>
        <v>0.18765899999999999</v>
      </c>
      <c r="P3" s="773">
        <f>PCM!Q6</f>
        <v>0.14787700000000001</v>
      </c>
      <c r="Q3" s="773">
        <f>PCM!R6</f>
        <v>0.165188</v>
      </c>
      <c r="R3" s="773">
        <f>PCM!S6</f>
        <v>0.21676000000000001</v>
      </c>
      <c r="S3" s="773">
        <f>PCM!T6</f>
        <v>0.24324599999999999</v>
      </c>
      <c r="T3" s="773">
        <f>PCM!U6</f>
        <v>0.23417299999999999</v>
      </c>
      <c r="U3" s="773">
        <f>PCM!V6</f>
        <v>0.178893</v>
      </c>
      <c r="V3" s="773">
        <f>PCM!W6</f>
        <v>0.153974</v>
      </c>
      <c r="W3" s="773">
        <f>PCM!X6</f>
        <v>0.17926300000000001</v>
      </c>
      <c r="X3" s="773">
        <f>PCM!Y6</f>
        <v>0.245561</v>
      </c>
      <c r="Y3" s="774">
        <f>SUM(M3:X3)</f>
        <v>2.4098299999999999</v>
      </c>
      <c r="Z3" s="773">
        <f>PCM!AA6</f>
        <v>0.253218</v>
      </c>
      <c r="AA3" s="773">
        <f>PCM!AB6</f>
        <v>0.21137600000000001</v>
      </c>
      <c r="AB3" s="773">
        <f>PCM!AC6</f>
        <v>0.190689</v>
      </c>
      <c r="AC3" s="773">
        <f>PCM!AD6</f>
        <v>0.15026999999999999</v>
      </c>
      <c r="AD3" s="773">
        <f>PCM!AE6</f>
        <v>0.16786699999999999</v>
      </c>
      <c r="AE3" s="773">
        <f>PCM!AF6</f>
        <v>0.220279</v>
      </c>
      <c r="AF3" s="773">
        <f>PCM!AG6</f>
        <v>0.247192</v>
      </c>
      <c r="AG3" s="773">
        <f>PCM!AH6</f>
        <v>0.23797499999999999</v>
      </c>
      <c r="AH3" s="773">
        <f>PCM!AI6</f>
        <v>0.18179500000000001</v>
      </c>
      <c r="AI3" s="773">
        <f>PCM!AJ6</f>
        <v>0.15646599999999999</v>
      </c>
      <c r="AJ3" s="773">
        <f>PCM!AK6</f>
        <v>0.18215799999999999</v>
      </c>
      <c r="AK3" s="773">
        <f>PCM!AL6</f>
        <v>0.24950900000000001</v>
      </c>
      <c r="AL3" s="774">
        <f>SUM(Z3:AK3)</f>
        <v>2.4487940000000004</v>
      </c>
      <c r="AM3" s="775">
        <f>Rates!AM7</f>
        <v>2.4796559999999999</v>
      </c>
      <c r="AN3" s="775">
        <f>Rates!AN7</f>
        <v>2.5194369999999999</v>
      </c>
      <c r="AO3" s="775">
        <f>Rates!AO7</f>
        <v>2.55653560136389</v>
      </c>
      <c r="AP3" s="775">
        <f>Rates!AP7</f>
        <v>2.5840164926056484</v>
      </c>
      <c r="AQ3" s="775">
        <f>Rates!AQ7</f>
        <v>2.6114033762574791</v>
      </c>
      <c r="AR3" s="775">
        <f>Rates!AR7</f>
        <v>2.6456058149199584</v>
      </c>
      <c r="AS3" s="775">
        <f>Rates!AS7</f>
        <v>2.6807658009380657</v>
      </c>
      <c r="AT3" s="775">
        <f>Rates!AT7</f>
        <v>2.7170675413719576</v>
      </c>
      <c r="AU3" s="775">
        <f>Rates!AU7</f>
        <v>2.7541360305730471</v>
      </c>
      <c r="AV3" s="775">
        <f>Rates!AV7</f>
        <v>2.7921748894342926</v>
      </c>
      <c r="AW3" s="775">
        <f>Rates!AW7</f>
        <v>2.8299003046090974</v>
      </c>
      <c r="AX3" s="775"/>
      <c r="AY3" s="775"/>
    </row>
    <row r="4" spans="1:51">
      <c r="B4" s="50" t="s">
        <v>268</v>
      </c>
      <c r="C4" s="192"/>
      <c r="D4" s="254"/>
      <c r="E4" s="254"/>
      <c r="F4" s="254"/>
      <c r="G4" s="254"/>
      <c r="H4" s="254"/>
      <c r="I4" s="254"/>
      <c r="J4" s="254"/>
      <c r="K4" s="773"/>
      <c r="L4" s="774"/>
      <c r="M4" s="773">
        <f>PCM!N7</f>
        <v>7.8513283399999981E-2</v>
      </c>
      <c r="N4" s="773">
        <f>PCM!O7</f>
        <v>7.4303305599999994E-2</v>
      </c>
      <c r="O4" s="773">
        <f>PCM!P7</f>
        <v>8.0396085200000023E-2</v>
      </c>
      <c r="P4" s="773">
        <f>PCM!Q7</f>
        <v>7.7222507999999981E-2</v>
      </c>
      <c r="Q4" s="773">
        <f>PCM!R7</f>
        <v>7.9017435200000014E-2</v>
      </c>
      <c r="R4" s="773">
        <f>PCM!S7</f>
        <v>7.6864135999999986E-2</v>
      </c>
      <c r="S4" s="773">
        <f>PCM!T7</f>
        <v>8.2963563200000021E-2</v>
      </c>
      <c r="T4" s="773">
        <f>PCM!U7</f>
        <v>8.2164623199999981E-2</v>
      </c>
      <c r="U4" s="773">
        <f>PCM!V7</f>
        <v>7.6809088999999997E-2</v>
      </c>
      <c r="V4" s="773">
        <f>PCM!W7</f>
        <v>7.8868982199999993E-2</v>
      </c>
      <c r="W4" s="773">
        <f>PCM!X7</f>
        <v>7.6925885999999999E-2</v>
      </c>
      <c r="X4" s="773">
        <f>PCM!Y7</f>
        <v>7.89785452E-2</v>
      </c>
      <c r="Y4" s="774">
        <f>SUM(M4:X4)</f>
        <v>0.94302744219999979</v>
      </c>
      <c r="Z4" s="773">
        <f>PCM!AA7</f>
        <v>7.9184520199999997E-2</v>
      </c>
      <c r="AA4" s="773">
        <f>PCM!AB7</f>
        <v>7.4303305599999994E-2</v>
      </c>
      <c r="AB4" s="773">
        <f>PCM!AC7</f>
        <v>8.0396085200000023E-2</v>
      </c>
      <c r="AC4" s="773">
        <f>PCM!AD7</f>
        <v>7.7222507999999981E-2</v>
      </c>
      <c r="AD4" s="773">
        <f>PCM!AE7</f>
        <v>7.9017435200000014E-2</v>
      </c>
      <c r="AE4" s="773">
        <f>PCM!AF7</f>
        <v>7.6864135999999986E-2</v>
      </c>
      <c r="AF4" s="773">
        <f>PCM!AG7</f>
        <v>8.2963563200000021E-2</v>
      </c>
      <c r="AG4" s="773">
        <f>PCM!AH7</f>
        <v>8.2164623199999981E-2</v>
      </c>
      <c r="AH4" s="773">
        <f>PCM!AI7</f>
        <v>7.6809088999999997E-2</v>
      </c>
      <c r="AI4" s="773">
        <f>PCM!AJ7</f>
        <v>7.8868982199999993E-2</v>
      </c>
      <c r="AJ4" s="773">
        <f>PCM!AK7</f>
        <v>7.6925885999999999E-2</v>
      </c>
      <c r="AK4" s="773">
        <f>PCM!AL7</f>
        <v>7.89785452E-2</v>
      </c>
      <c r="AL4" s="774">
        <f>SUM(Z4:AK4)</f>
        <v>0.94369867899999971</v>
      </c>
      <c r="AM4" s="775">
        <f>Rates!AM8</f>
        <v>0.94369867900000004</v>
      </c>
      <c r="AN4" s="775">
        <f>Rates!AN8</f>
        <v>0.9441065782000001</v>
      </c>
      <c r="AO4" s="775">
        <f>Rates!AO8</f>
        <v>0.94369867900000015</v>
      </c>
      <c r="AP4" s="775">
        <f>Rates!AP8</f>
        <v>0.94369867900000015</v>
      </c>
      <c r="AQ4" s="775">
        <f>Rates!AQ8</f>
        <v>0.94369867900000015</v>
      </c>
      <c r="AR4" s="775">
        <f>Rates!AR8</f>
        <v>0.9441065782000001</v>
      </c>
      <c r="AS4" s="775">
        <f>Rates!AS8</f>
        <v>0.94369867900000015</v>
      </c>
      <c r="AT4" s="775">
        <f>Rates!AT8</f>
        <v>0.94369867900000015</v>
      </c>
      <c r="AU4" s="775">
        <f>Rates!AU8</f>
        <v>0.94369867900000015</v>
      </c>
      <c r="AV4" s="775">
        <f>Rates!AV8</f>
        <v>0.9441065782000001</v>
      </c>
      <c r="AW4" s="775">
        <f>Rates!AW8</f>
        <v>0.94369867900000015</v>
      </c>
      <c r="AX4" s="775"/>
      <c r="AY4" s="775"/>
    </row>
    <row r="5" spans="1:51">
      <c r="B5" s="50" t="s">
        <v>269</v>
      </c>
      <c r="C5" s="192"/>
      <c r="D5" s="254"/>
      <c r="E5" s="254"/>
      <c r="F5" s="254"/>
      <c r="G5" s="254"/>
      <c r="H5" s="254"/>
      <c r="I5" s="254"/>
      <c r="J5" s="254"/>
      <c r="K5" s="773"/>
      <c r="L5" s="774"/>
      <c r="M5" s="773">
        <f>SUM(M3:M4)</f>
        <v>0.32772028339999998</v>
      </c>
      <c r="N5" s="773">
        <f t="shared" ref="N5:X5" si="0">SUM(N3:N4)</f>
        <v>0.2823323056</v>
      </c>
      <c r="O5" s="773">
        <f t="shared" si="0"/>
        <v>0.26805508519999999</v>
      </c>
      <c r="P5" s="773">
        <f t="shared" si="0"/>
        <v>0.225099508</v>
      </c>
      <c r="Q5" s="773">
        <f t="shared" si="0"/>
        <v>0.24420543520000002</v>
      </c>
      <c r="R5" s="773">
        <f t="shared" si="0"/>
        <v>0.29362413599999998</v>
      </c>
      <c r="S5" s="773">
        <f t="shared" si="0"/>
        <v>0.3262095632</v>
      </c>
      <c r="T5" s="773">
        <f t="shared" si="0"/>
        <v>0.31633762319999997</v>
      </c>
      <c r="U5" s="773">
        <f t="shared" si="0"/>
        <v>0.25570208900000002</v>
      </c>
      <c r="V5" s="773">
        <f t="shared" si="0"/>
        <v>0.23284298219999999</v>
      </c>
      <c r="W5" s="773">
        <f t="shared" si="0"/>
        <v>0.256188886</v>
      </c>
      <c r="X5" s="773">
        <f t="shared" si="0"/>
        <v>0.3245395452</v>
      </c>
      <c r="Y5" s="774">
        <f>SUM(M5:X5)</f>
        <v>3.3528574421999995</v>
      </c>
      <c r="Z5" s="773">
        <f t="shared" ref="Z5:AK5" si="1">SUM(Z3:Z4)</f>
        <v>0.3324025202</v>
      </c>
      <c r="AA5" s="773">
        <f t="shared" si="1"/>
        <v>0.28567930559999999</v>
      </c>
      <c r="AB5" s="773">
        <f t="shared" si="1"/>
        <v>0.27108508520000002</v>
      </c>
      <c r="AC5" s="773">
        <f t="shared" si="1"/>
        <v>0.22749250799999998</v>
      </c>
      <c r="AD5" s="773">
        <f t="shared" si="1"/>
        <v>0.2468844352</v>
      </c>
      <c r="AE5" s="773">
        <f t="shared" si="1"/>
        <v>0.29714313599999997</v>
      </c>
      <c r="AF5" s="773">
        <f t="shared" si="1"/>
        <v>0.3301555632</v>
      </c>
      <c r="AG5" s="773">
        <f t="shared" si="1"/>
        <v>0.3201396232</v>
      </c>
      <c r="AH5" s="773">
        <f t="shared" si="1"/>
        <v>0.25860408899999998</v>
      </c>
      <c r="AI5" s="773">
        <f t="shared" si="1"/>
        <v>0.23533498219999999</v>
      </c>
      <c r="AJ5" s="773">
        <f t="shared" si="1"/>
        <v>0.25908388599999999</v>
      </c>
      <c r="AK5" s="773">
        <f t="shared" si="1"/>
        <v>0.32848754520000001</v>
      </c>
      <c r="AL5" s="774">
        <f>SUM(Z5:AK5)</f>
        <v>3.3924926789999992</v>
      </c>
      <c r="AM5" s="775">
        <f t="shared" ref="AM5:AW5" si="2">SUM(AM3:AM4)</f>
        <v>3.423354679</v>
      </c>
      <c r="AN5" s="775">
        <f t="shared" si="2"/>
        <v>3.4635435781999999</v>
      </c>
      <c r="AO5" s="775">
        <f t="shared" si="2"/>
        <v>3.5002342803638902</v>
      </c>
      <c r="AP5" s="775">
        <f t="shared" si="2"/>
        <v>3.5277151716056485</v>
      </c>
      <c r="AQ5" s="775">
        <f t="shared" si="2"/>
        <v>3.5551020552574792</v>
      </c>
      <c r="AR5" s="775">
        <f t="shared" si="2"/>
        <v>3.5897123931199584</v>
      </c>
      <c r="AS5" s="775">
        <f t="shared" si="2"/>
        <v>3.6244644799380659</v>
      </c>
      <c r="AT5" s="775">
        <f t="shared" si="2"/>
        <v>3.6607662203719578</v>
      </c>
      <c r="AU5" s="775">
        <f t="shared" si="2"/>
        <v>3.6978347095730473</v>
      </c>
      <c r="AV5" s="775">
        <f t="shared" si="2"/>
        <v>3.7362814676342926</v>
      </c>
      <c r="AW5" s="775">
        <f t="shared" si="2"/>
        <v>3.7735989836090975</v>
      </c>
      <c r="AX5" s="775"/>
      <c r="AY5" s="775"/>
    </row>
    <row r="6" spans="1:51" s="33" customFormat="1">
      <c r="B6" s="33" t="s">
        <v>889</v>
      </c>
      <c r="C6" s="166"/>
      <c r="K6" s="722"/>
      <c r="L6" s="584"/>
      <c r="M6" s="771">
        <v>1.357</v>
      </c>
      <c r="N6" s="771">
        <v>1.357</v>
      </c>
      <c r="O6" s="771">
        <v>1.357</v>
      </c>
      <c r="P6" s="771">
        <v>1.357</v>
      </c>
      <c r="Q6" s="771">
        <v>1.357</v>
      </c>
      <c r="R6" s="771">
        <v>1.357</v>
      </c>
      <c r="S6" s="771">
        <v>1.357</v>
      </c>
      <c r="T6" s="771">
        <v>1.357</v>
      </c>
      <c r="U6" s="772">
        <f>S32/Y5-S27/Y5</f>
        <v>0.68508313310372948</v>
      </c>
      <c r="V6" s="469">
        <f>U6</f>
        <v>0.68508313310372948</v>
      </c>
      <c r="W6" s="469">
        <f>V6</f>
        <v>0.68508313310372948</v>
      </c>
      <c r="X6" s="469">
        <f>W6</f>
        <v>0.68508313310372948</v>
      </c>
      <c r="Y6" s="470"/>
      <c r="Z6" s="469">
        <f>X6</f>
        <v>0.68508313310372948</v>
      </c>
      <c r="AA6" s="469">
        <f>Z6</f>
        <v>0.68508313310372948</v>
      </c>
      <c r="AB6" s="469">
        <f t="shared" ref="AB6:AG6" si="3">AA6</f>
        <v>0.68508313310372948</v>
      </c>
      <c r="AC6" s="469">
        <f t="shared" si="3"/>
        <v>0.68508313310372948</v>
      </c>
      <c r="AD6" s="469">
        <f t="shared" si="3"/>
        <v>0.68508313310372948</v>
      </c>
      <c r="AE6" s="469">
        <f t="shared" si="3"/>
        <v>0.68508313310372948</v>
      </c>
      <c r="AF6" s="469">
        <f t="shared" si="3"/>
        <v>0.68508313310372948</v>
      </c>
      <c r="AG6" s="469">
        <f t="shared" si="3"/>
        <v>0.68508313310372948</v>
      </c>
      <c r="AH6" s="471">
        <f>AF32/Y5-AF27/Y5</f>
        <v>0.31995189662832124</v>
      </c>
      <c r="AI6" s="469">
        <f>AH6</f>
        <v>0.31995189662832124</v>
      </c>
      <c r="AJ6" s="469">
        <f>AH6</f>
        <v>0.31995189662832124</v>
      </c>
      <c r="AK6" s="469">
        <f>AH6</f>
        <v>0.31995189662832124</v>
      </c>
      <c r="AL6" s="470"/>
      <c r="AM6" s="469">
        <f>AK6</f>
        <v>0.31995189662832124</v>
      </c>
      <c r="AN6" s="469">
        <f>AM32/AM5-AM27/AM5</f>
        <v>-1.0340520374622204</v>
      </c>
      <c r="AO6" s="469">
        <f t="shared" ref="AO6:AW6" si="4">AN32/AN5-AN27/AN5</f>
        <v>-0.98724368665736029</v>
      </c>
      <c r="AP6" s="469">
        <f t="shared" si="4"/>
        <v>-0.98100747577917546</v>
      </c>
      <c r="AQ6" s="469">
        <f t="shared" si="4"/>
        <v>-1.0689326218597828</v>
      </c>
      <c r="AR6" s="469">
        <f t="shared" si="4"/>
        <v>-1.0603839309684941</v>
      </c>
      <c r="AS6" s="469">
        <f t="shared" si="4"/>
        <v>-1.0459570615534537</v>
      </c>
      <c r="AT6" s="469">
        <f t="shared" si="4"/>
        <v>-1.1348643260993998</v>
      </c>
      <c r="AU6" s="469">
        <f t="shared" si="4"/>
        <v>-1.1228930852424654</v>
      </c>
      <c r="AV6" s="469">
        <f t="shared" si="4"/>
        <v>-1.112034742502348</v>
      </c>
      <c r="AW6" s="469">
        <f t="shared" si="4"/>
        <v>-1.1974052163063931</v>
      </c>
      <c r="AX6" s="469"/>
      <c r="AY6" s="469"/>
    </row>
    <row r="7" spans="1:51" ht="25.5">
      <c r="B7" s="36" t="s">
        <v>250</v>
      </c>
      <c r="C7" s="193"/>
      <c r="D7" s="182"/>
      <c r="E7" s="182"/>
      <c r="F7" s="182"/>
      <c r="G7" s="182"/>
      <c r="H7" s="182"/>
      <c r="I7" s="182"/>
      <c r="J7" s="182"/>
      <c r="K7" s="808">
        <f>-2.59414684-0.73314668-0.51040079</f>
        <v>-3.8376943099999998</v>
      </c>
      <c r="L7" s="776">
        <f>SUM(D7:K7)</f>
        <v>-3.8376943099999998</v>
      </c>
      <c r="M7" s="777">
        <f>'FAC, PPA, ES, SC'!M24*'Regulatory Charge'!M5</f>
        <v>-0.194174583900389</v>
      </c>
      <c r="N7" s="777">
        <f>'FAC, PPA, ES, SC'!N24*'Regulatory Charge'!N5</f>
        <v>-0.15734923630801489</v>
      </c>
      <c r="O7" s="777">
        <f>'FAC, PPA, ES, SC'!O24*'Regulatory Charge'!O5</f>
        <v>-0.15379308939499772</v>
      </c>
      <c r="P7" s="777">
        <f>'FAC, PPA, ES, SC'!P24*'Regulatory Charge'!P5</f>
        <v>-0.12401459772481539</v>
      </c>
      <c r="Q7" s="777">
        <f>'FAC, PPA, ES, SC'!Q24*'Regulatory Charge'!Q5</f>
        <v>-0.13810243517838555</v>
      </c>
      <c r="R7" s="777">
        <f>'FAC, PPA, ES, SC'!R24*'Regulatory Charge'!R5</f>
        <v>-0.16898603180949218</v>
      </c>
      <c r="S7" s="777">
        <f>'FAC, PPA, ES, SC'!S24*'Regulatory Charge'!S5</f>
        <v>-0.19242504866263799</v>
      </c>
      <c r="T7" s="777">
        <f>'FAC, PPA, ES, SC'!T24*'Regulatory Charge'!T5</f>
        <v>-0.17021011531797822</v>
      </c>
      <c r="U7" s="777">
        <f>'FAC, PPA, ES, SC'!U24*'Regulatory Charge'!U5</f>
        <v>-9.0133372174539428E-2</v>
      </c>
      <c r="V7" s="777">
        <f>'FAC, PPA, ES, SC'!V24*'Regulatory Charge'!V5</f>
        <v>-7.863416379098033E-2</v>
      </c>
      <c r="W7" s="777">
        <f>'FAC, PPA, ES, SC'!W24*'Regulatory Charge'!W5</f>
        <v>-9.0431044572984939E-2</v>
      </c>
      <c r="X7" s="777">
        <f>'FAC, PPA, ES, SC'!X24*'Regulatory Charge'!X5</f>
        <v>-0.13652091752083603</v>
      </c>
      <c r="Y7" s="776">
        <f>SUM(M7:X7)</f>
        <v>-1.6947746363560519</v>
      </c>
      <c r="Z7" s="777">
        <f>'FAC, PPA, ES, SC'!Z24*'Regulatory Charge'!Z5</f>
        <v>-0.13733940741340422</v>
      </c>
      <c r="AA7" s="777">
        <f>'FAC, PPA, ES, SC'!AA24*'Regulatory Charge'!AA5</f>
        <v>-9.9911687204640859E-2</v>
      </c>
      <c r="AB7" s="777">
        <f>'FAC, PPA, ES, SC'!AB24*'Regulatory Charge'!AB5</f>
        <v>-9.7803839570682047E-2</v>
      </c>
      <c r="AC7" s="777">
        <f>'FAC, PPA, ES, SC'!AC24*'Regulatory Charge'!AC5</f>
        <v>-6.9554371388560826E-2</v>
      </c>
      <c r="AD7" s="777">
        <f>'FAC, PPA, ES, SC'!AD24*'Regulatory Charge'!AD5</f>
        <v>-8.312085220601001E-2</v>
      </c>
      <c r="AE7" s="777">
        <f>'FAC, PPA, ES, SC'!AE24*'Regulatory Charge'!AE5</f>
        <v>-0.11197149421708141</v>
      </c>
      <c r="AF7" s="777">
        <f>'FAC, PPA, ES, SC'!AF24*'Regulatory Charge'!AF5</f>
        <v>-0.13583980087693173</v>
      </c>
      <c r="AG7" s="777">
        <f>'FAC, PPA, ES, SC'!AG24*'Regulatory Charge'!AG5</f>
        <v>-0.12919834193526394</v>
      </c>
      <c r="AH7" s="777">
        <f>'FAC, PPA, ES, SC'!AH24*'Regulatory Charge'!AH5</f>
        <v>-8.7888191623747405E-2</v>
      </c>
      <c r="AI7" s="777">
        <f>'FAC, PPA, ES, SC'!AI24*'Regulatory Charge'!AI5</f>
        <v>-7.6332700564497147E-2</v>
      </c>
      <c r="AJ7" s="777">
        <f>'FAC, PPA, ES, SC'!AJ24*'Regulatory Charge'!AJ5</f>
        <v>-8.8179251385506863E-2</v>
      </c>
      <c r="AK7" s="777">
        <f>'FAC, PPA, ES, SC'!AK24*'Regulatory Charge'!AK5</f>
        <v>-0.13472883567776628</v>
      </c>
      <c r="AL7" s="776">
        <f>SUM(Z7:AK7)</f>
        <v>-1.2518687740640926</v>
      </c>
      <c r="AM7" s="778">
        <f>'FAC, PPA, ES, SC'!AM24*'Regulatory Charge'!AM5</f>
        <v>3.4683448847825082</v>
      </c>
      <c r="AN7" s="778">
        <f>'FAC, PPA, ES, SC'!AN24*'Regulatory Charge'!AN5</f>
        <v>3.4609189441417176</v>
      </c>
      <c r="AO7" s="778">
        <f>'FAC, PPA, ES, SC'!AO24*'Regulatory Charge'!AO5</f>
        <v>3.4699786600858453</v>
      </c>
      <c r="AP7" s="778">
        <f>'FAC, PPA, ES, SC'!AP24*'Regulatory Charge'!AP5</f>
        <v>3.7978487873081983</v>
      </c>
      <c r="AQ7" s="778">
        <f>'FAC, PPA, ES, SC'!AQ24*'Regulatory Charge'!AQ5</f>
        <v>3.7990478256946187</v>
      </c>
      <c r="AR7" s="778">
        <f>'FAC, PPA, ES, SC'!AR24*'Regulatory Charge'!AR5</f>
        <v>3.7913852726445305</v>
      </c>
      <c r="AS7" s="778">
        <f>'FAC, PPA, ES, SC'!AS24*'Regulatory Charge'!AS5</f>
        <v>4.149624630107243</v>
      </c>
      <c r="AT7" s="778">
        <f>'FAC, PPA, ES, SC'!AT24*'Regulatory Charge'!AT5</f>
        <v>4.1518466257386111</v>
      </c>
      <c r="AU7" s="778">
        <f>'FAC, PPA, ES, SC'!AU24*'Regulatory Charge'!AU5</f>
        <v>4.1537446192805962</v>
      </c>
      <c r="AV7" s="778">
        <f>'FAC, PPA, ES, SC'!AV24*'Regulatory Charge'!AV5</f>
        <v>4.5165970496348962</v>
      </c>
      <c r="AW7" s="778">
        <f>'FAC, PPA, ES, SC'!AW24*'Regulatory Charge'!AW5</f>
        <v>4.5292135103322773</v>
      </c>
      <c r="AX7" s="778"/>
      <c r="AY7" s="778"/>
    </row>
    <row r="8" spans="1:51" ht="13.5" thickBot="1">
      <c r="B8" s="33"/>
      <c r="C8" s="166"/>
      <c r="D8" s="33"/>
      <c r="E8" s="33"/>
      <c r="F8" s="33"/>
      <c r="G8" s="33"/>
      <c r="H8" s="33"/>
      <c r="I8" s="33"/>
      <c r="J8" s="33"/>
      <c r="K8" s="722"/>
      <c r="L8" s="58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211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211"/>
      <c r="AM8" s="78"/>
      <c r="AN8" s="779"/>
      <c r="AO8" s="780"/>
      <c r="AP8" s="78"/>
      <c r="AQ8" s="78"/>
      <c r="AR8" s="78"/>
      <c r="AS8" s="78"/>
      <c r="AT8" s="78"/>
      <c r="AU8" s="78"/>
      <c r="AV8" s="78"/>
      <c r="AW8" s="78"/>
      <c r="AX8" s="78"/>
      <c r="AY8" s="78"/>
    </row>
    <row r="9" spans="1:51">
      <c r="A9" s="37">
        <v>1</v>
      </c>
      <c r="B9" s="38" t="s">
        <v>251</v>
      </c>
      <c r="C9" s="194"/>
      <c r="D9" s="38"/>
      <c r="E9" s="38"/>
      <c r="F9" s="38"/>
      <c r="G9" s="38"/>
      <c r="H9" s="38"/>
      <c r="I9" s="38"/>
      <c r="J9" s="38"/>
      <c r="K9" s="781"/>
      <c r="L9" s="782"/>
      <c r="M9" s="783"/>
      <c r="N9" s="783"/>
      <c r="O9" s="783"/>
      <c r="P9" s="783"/>
      <c r="Q9" s="783"/>
      <c r="R9" s="783"/>
      <c r="S9" s="783"/>
      <c r="T9" s="783"/>
      <c r="U9" s="783"/>
      <c r="V9" s="783"/>
      <c r="W9" s="783"/>
      <c r="X9" s="783"/>
      <c r="Y9" s="784"/>
      <c r="Z9" s="785"/>
      <c r="AA9" s="785"/>
      <c r="AB9" s="785"/>
      <c r="AC9" s="785"/>
      <c r="AD9" s="785"/>
      <c r="AE9" s="785"/>
      <c r="AF9" s="785"/>
      <c r="AG9" s="785"/>
      <c r="AH9" s="785"/>
      <c r="AI9" s="785"/>
      <c r="AJ9" s="785"/>
      <c r="AK9" s="785"/>
      <c r="AL9" s="784"/>
      <c r="AM9" s="785"/>
      <c r="AN9" s="780"/>
      <c r="AO9" s="785"/>
      <c r="AP9" s="785"/>
      <c r="AQ9" s="785"/>
      <c r="AR9" s="785"/>
      <c r="AS9" s="785"/>
      <c r="AT9" s="785"/>
      <c r="AU9" s="785"/>
      <c r="AV9" s="785"/>
      <c r="AW9" s="785"/>
      <c r="AX9" s="785"/>
      <c r="AY9" s="785"/>
    </row>
    <row r="10" spans="1:51">
      <c r="A10" s="1">
        <f t="shared" ref="A10:A48" si="5">A9+1</f>
        <v>2</v>
      </c>
      <c r="B10" s="39"/>
      <c r="C10" s="195"/>
      <c r="D10" s="39"/>
      <c r="E10" s="39"/>
      <c r="F10" s="39"/>
      <c r="G10" s="39"/>
      <c r="H10" s="39"/>
      <c r="I10" s="39"/>
      <c r="J10" s="39"/>
      <c r="K10" s="786"/>
      <c r="L10" s="787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211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211"/>
      <c r="AM10" s="78"/>
      <c r="AN10" s="780"/>
      <c r="AO10" s="780"/>
      <c r="AP10" s="78"/>
      <c r="AQ10" s="78"/>
      <c r="AR10" s="78"/>
      <c r="AS10" s="78"/>
      <c r="AT10" s="78"/>
      <c r="AU10" s="78"/>
      <c r="AV10" s="78"/>
      <c r="AW10" s="78"/>
      <c r="AX10" s="78"/>
      <c r="AY10" s="78"/>
    </row>
    <row r="11" spans="1:51">
      <c r="A11" s="1">
        <f t="shared" si="5"/>
        <v>3</v>
      </c>
      <c r="B11" s="33" t="s">
        <v>252</v>
      </c>
      <c r="C11" s="166"/>
      <c r="D11" s="33"/>
      <c r="E11" s="33"/>
      <c r="F11" s="33"/>
      <c r="G11" s="33"/>
      <c r="H11" s="33"/>
      <c r="I11" s="33"/>
      <c r="J11" s="33"/>
      <c r="K11" s="722"/>
      <c r="L11" s="58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211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211"/>
      <c r="AM11" s="78"/>
      <c r="AN11" s="780"/>
      <c r="AO11" s="780"/>
      <c r="AP11" s="78"/>
      <c r="AQ11" s="78"/>
      <c r="AR11" s="78"/>
      <c r="AS11" s="78"/>
      <c r="AT11" s="78"/>
      <c r="AU11" s="78"/>
      <c r="AV11" s="78"/>
      <c r="AW11" s="78"/>
      <c r="AX11" s="78"/>
      <c r="AY11" s="78"/>
    </row>
    <row r="12" spans="1:51">
      <c r="A12" s="1">
        <f t="shared" si="5"/>
        <v>4</v>
      </c>
      <c r="B12" s="40" t="s">
        <v>253</v>
      </c>
      <c r="C12" s="196"/>
      <c r="D12" s="40"/>
      <c r="E12" s="40"/>
      <c r="F12" s="40"/>
      <c r="G12" s="40"/>
      <c r="H12" s="40"/>
      <c r="I12" s="40"/>
      <c r="J12" s="40"/>
      <c r="K12" s="788"/>
      <c r="L12" s="789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211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211"/>
      <c r="AM12" s="78"/>
      <c r="AN12" s="780"/>
      <c r="AO12" s="780"/>
      <c r="AP12" s="78"/>
      <c r="AQ12" s="78"/>
      <c r="AR12" s="78"/>
      <c r="AS12" s="78"/>
      <c r="AT12" s="78"/>
      <c r="AU12" s="78"/>
      <c r="AV12" s="78"/>
      <c r="AW12" s="78"/>
      <c r="AX12" s="78"/>
      <c r="AY12" s="78"/>
    </row>
    <row r="13" spans="1:51">
      <c r="A13" s="1">
        <f t="shared" si="5"/>
        <v>5</v>
      </c>
      <c r="B13" s="41" t="s">
        <v>254</v>
      </c>
      <c r="C13" s="197"/>
      <c r="D13" s="41"/>
      <c r="E13" s="41"/>
      <c r="F13" s="41"/>
      <c r="G13" s="41"/>
      <c r="H13" s="41"/>
      <c r="I13" s="41"/>
      <c r="J13" s="41"/>
      <c r="K13" s="790"/>
      <c r="L13" s="791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211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211"/>
      <c r="AM13" s="78"/>
      <c r="AN13" s="780"/>
      <c r="AO13" s="780"/>
      <c r="AP13" s="78"/>
      <c r="AQ13" s="78"/>
      <c r="AR13" s="78"/>
      <c r="AS13" s="78"/>
      <c r="AT13" s="78"/>
      <c r="AU13" s="78"/>
      <c r="AV13" s="78"/>
      <c r="AW13" s="78"/>
      <c r="AX13" s="78"/>
      <c r="AY13" s="78"/>
    </row>
    <row r="14" spans="1:51">
      <c r="A14" s="1">
        <f t="shared" si="5"/>
        <v>6</v>
      </c>
      <c r="B14" s="42" t="s">
        <v>255</v>
      </c>
      <c r="C14" s="198"/>
      <c r="D14" s="113"/>
      <c r="E14" s="113"/>
      <c r="F14" s="113"/>
      <c r="G14" s="113"/>
      <c r="H14" s="113"/>
      <c r="I14" s="113"/>
      <c r="J14" s="113"/>
      <c r="K14" s="586">
        <f>-MIN(0,K7)</f>
        <v>3.8376943099999998</v>
      </c>
      <c r="L14" s="580">
        <f>SUM(D14:K14)</f>
        <v>3.8376943099999998</v>
      </c>
      <c r="M14" s="586">
        <f>-MIN(0,M7)</f>
        <v>0.194174583900389</v>
      </c>
      <c r="N14" s="586">
        <f t="shared" ref="N14:W14" si="6">-MIN(0,N7)</f>
        <v>0.15734923630801489</v>
      </c>
      <c r="O14" s="586">
        <f t="shared" si="6"/>
        <v>0.15379308939499772</v>
      </c>
      <c r="P14" s="586">
        <f t="shared" si="6"/>
        <v>0.12401459772481539</v>
      </c>
      <c r="Q14" s="586">
        <f t="shared" si="6"/>
        <v>0.13810243517838555</v>
      </c>
      <c r="R14" s="586">
        <f t="shared" si="6"/>
        <v>0.16898603180949218</v>
      </c>
      <c r="S14" s="586">
        <f t="shared" si="6"/>
        <v>0.19242504866263799</v>
      </c>
      <c r="T14" s="586">
        <f t="shared" si="6"/>
        <v>0.17021011531797822</v>
      </c>
      <c r="U14" s="586">
        <f t="shared" si="6"/>
        <v>9.0133372174539428E-2</v>
      </c>
      <c r="V14" s="586">
        <f t="shared" si="6"/>
        <v>7.863416379098033E-2</v>
      </c>
      <c r="W14" s="586">
        <f t="shared" si="6"/>
        <v>9.0431044572984939E-2</v>
      </c>
      <c r="X14" s="586">
        <f>-MIN(0,X7)</f>
        <v>0.13652091752083603</v>
      </c>
      <c r="Y14" s="580">
        <f>SUM(M14:X14)</f>
        <v>1.6947746363560519</v>
      </c>
      <c r="Z14" s="586">
        <f>-MIN(0,Z7)</f>
        <v>0.13733940741340422</v>
      </c>
      <c r="AA14" s="586">
        <f t="shared" ref="AA14:AK14" si="7">-MIN(0,AA7)</f>
        <v>9.9911687204640859E-2</v>
      </c>
      <c r="AB14" s="586">
        <f t="shared" si="7"/>
        <v>9.7803839570682047E-2</v>
      </c>
      <c r="AC14" s="586">
        <f t="shared" si="7"/>
        <v>6.9554371388560826E-2</v>
      </c>
      <c r="AD14" s="586">
        <f t="shared" si="7"/>
        <v>8.312085220601001E-2</v>
      </c>
      <c r="AE14" s="586">
        <f t="shared" si="7"/>
        <v>0.11197149421708141</v>
      </c>
      <c r="AF14" s="586">
        <f t="shared" si="7"/>
        <v>0.13583980087693173</v>
      </c>
      <c r="AG14" s="586">
        <f t="shared" si="7"/>
        <v>0.12919834193526394</v>
      </c>
      <c r="AH14" s="586">
        <f t="shared" si="7"/>
        <v>8.7888191623747405E-2</v>
      </c>
      <c r="AI14" s="586">
        <f t="shared" si="7"/>
        <v>7.6332700564497147E-2</v>
      </c>
      <c r="AJ14" s="586">
        <f t="shared" si="7"/>
        <v>8.8179251385506863E-2</v>
      </c>
      <c r="AK14" s="586">
        <f t="shared" si="7"/>
        <v>0.13472883567776628</v>
      </c>
      <c r="AL14" s="580">
        <f>SUM(Z14:AK14)</f>
        <v>1.2518687740640926</v>
      </c>
      <c r="AM14" s="674">
        <f>-MIN(0,AM7)</f>
        <v>0</v>
      </c>
      <c r="AN14" s="792">
        <f t="shared" ref="AN14:AW14" si="8">-MIN(0,AN7)</f>
        <v>0</v>
      </c>
      <c r="AO14" s="792">
        <f t="shared" si="8"/>
        <v>0</v>
      </c>
      <c r="AP14" s="674">
        <f t="shared" si="8"/>
        <v>0</v>
      </c>
      <c r="AQ14" s="674">
        <f t="shared" si="8"/>
        <v>0</v>
      </c>
      <c r="AR14" s="674">
        <f t="shared" si="8"/>
        <v>0</v>
      </c>
      <c r="AS14" s="674">
        <f t="shared" si="8"/>
        <v>0</v>
      </c>
      <c r="AT14" s="674">
        <f t="shared" si="8"/>
        <v>0</v>
      </c>
      <c r="AU14" s="674">
        <f t="shared" si="8"/>
        <v>0</v>
      </c>
      <c r="AV14" s="674">
        <f t="shared" si="8"/>
        <v>0</v>
      </c>
      <c r="AW14" s="674">
        <f t="shared" si="8"/>
        <v>0</v>
      </c>
      <c r="AX14" s="674"/>
      <c r="AY14" s="674"/>
    </row>
    <row r="15" spans="1:51" ht="15">
      <c r="A15" s="1">
        <f t="shared" si="5"/>
        <v>7</v>
      </c>
      <c r="B15" s="42" t="s">
        <v>256</v>
      </c>
      <c r="C15" s="198"/>
      <c r="D15" s="255"/>
      <c r="E15" s="255"/>
      <c r="F15" s="255"/>
      <c r="G15" s="255"/>
      <c r="H15" s="255"/>
      <c r="I15" s="255"/>
      <c r="J15" s="255"/>
      <c r="K15" s="793">
        <f>-MAX(0,K7)</f>
        <v>0</v>
      </c>
      <c r="L15" s="794">
        <f>SUM(D15:K15)</f>
        <v>0</v>
      </c>
      <c r="M15" s="793">
        <f t="shared" ref="M15:W15" si="9">-MAX(0,M7)</f>
        <v>0</v>
      </c>
      <c r="N15" s="793">
        <f t="shared" si="9"/>
        <v>0</v>
      </c>
      <c r="O15" s="793">
        <f t="shared" si="9"/>
        <v>0</v>
      </c>
      <c r="P15" s="793">
        <f t="shared" si="9"/>
        <v>0</v>
      </c>
      <c r="Q15" s="793">
        <f t="shared" si="9"/>
        <v>0</v>
      </c>
      <c r="R15" s="793">
        <f t="shared" si="9"/>
        <v>0</v>
      </c>
      <c r="S15" s="793">
        <f t="shared" si="9"/>
        <v>0</v>
      </c>
      <c r="T15" s="793">
        <f t="shared" si="9"/>
        <v>0</v>
      </c>
      <c r="U15" s="793">
        <f t="shared" si="9"/>
        <v>0</v>
      </c>
      <c r="V15" s="793">
        <f t="shared" si="9"/>
        <v>0</v>
      </c>
      <c r="W15" s="793">
        <f t="shared" si="9"/>
        <v>0</v>
      </c>
      <c r="X15" s="793">
        <f>-MAX(0,X7)</f>
        <v>0</v>
      </c>
      <c r="Y15" s="794">
        <f>SUM(M15:X15)</f>
        <v>0</v>
      </c>
      <c r="Z15" s="793">
        <f>-MAX(0,Z7)</f>
        <v>0</v>
      </c>
      <c r="AA15" s="793">
        <f t="shared" ref="AA15:AK15" si="10">-MAX(0,AA7)</f>
        <v>0</v>
      </c>
      <c r="AB15" s="793">
        <f t="shared" si="10"/>
        <v>0</v>
      </c>
      <c r="AC15" s="793">
        <f t="shared" si="10"/>
        <v>0</v>
      </c>
      <c r="AD15" s="793">
        <f t="shared" si="10"/>
        <v>0</v>
      </c>
      <c r="AE15" s="793">
        <f t="shared" si="10"/>
        <v>0</v>
      </c>
      <c r="AF15" s="793">
        <f t="shared" si="10"/>
        <v>0</v>
      </c>
      <c r="AG15" s="793">
        <f t="shared" si="10"/>
        <v>0</v>
      </c>
      <c r="AH15" s="793">
        <f t="shared" si="10"/>
        <v>0</v>
      </c>
      <c r="AI15" s="793">
        <f t="shared" si="10"/>
        <v>0</v>
      </c>
      <c r="AJ15" s="793">
        <f t="shared" si="10"/>
        <v>0</v>
      </c>
      <c r="AK15" s="793">
        <f t="shared" si="10"/>
        <v>0</v>
      </c>
      <c r="AL15" s="795">
        <f>SUM(Z15:AK15)</f>
        <v>0</v>
      </c>
      <c r="AM15" s="796">
        <f>-MAX(0,AM7)</f>
        <v>-3.4683448847825082</v>
      </c>
      <c r="AN15" s="797">
        <f t="shared" ref="AN15:AW15" si="11">-MAX(0,AN7)</f>
        <v>-3.4609189441417176</v>
      </c>
      <c r="AO15" s="797">
        <f t="shared" si="11"/>
        <v>-3.4699786600858453</v>
      </c>
      <c r="AP15" s="796">
        <f t="shared" si="11"/>
        <v>-3.7978487873081983</v>
      </c>
      <c r="AQ15" s="796">
        <f t="shared" si="11"/>
        <v>-3.7990478256946187</v>
      </c>
      <c r="AR15" s="796">
        <f t="shared" si="11"/>
        <v>-3.7913852726445305</v>
      </c>
      <c r="AS15" s="796">
        <f t="shared" si="11"/>
        <v>-4.149624630107243</v>
      </c>
      <c r="AT15" s="796">
        <f t="shared" si="11"/>
        <v>-4.1518466257386111</v>
      </c>
      <c r="AU15" s="796">
        <f t="shared" si="11"/>
        <v>-4.1537446192805962</v>
      </c>
      <c r="AV15" s="796">
        <f t="shared" si="11"/>
        <v>-4.5165970496348962</v>
      </c>
      <c r="AW15" s="796">
        <f t="shared" si="11"/>
        <v>-4.5292135103322773</v>
      </c>
      <c r="AX15" s="796"/>
      <c r="AY15" s="796"/>
    </row>
    <row r="16" spans="1:51">
      <c r="A16" s="1">
        <f t="shared" si="5"/>
        <v>8</v>
      </c>
      <c r="B16" s="42" t="s">
        <v>131</v>
      </c>
      <c r="C16" s="198"/>
      <c r="D16" s="113"/>
      <c r="E16" s="113"/>
      <c r="F16" s="113"/>
      <c r="G16" s="113"/>
      <c r="H16" s="113"/>
      <c r="I16" s="113"/>
      <c r="J16" s="113"/>
      <c r="K16" s="586">
        <f>SUM(K14:K15)</f>
        <v>3.8376943099999998</v>
      </c>
      <c r="L16" s="580">
        <f>SUM(D16:K16)</f>
        <v>3.8376943099999998</v>
      </c>
      <c r="M16" s="586">
        <f>SUM(M14:M15)</f>
        <v>0.194174583900389</v>
      </c>
      <c r="N16" s="586">
        <f t="shared" ref="N16:W16" si="12">SUM(N14:N15)</f>
        <v>0.15734923630801489</v>
      </c>
      <c r="O16" s="586">
        <f t="shared" si="12"/>
        <v>0.15379308939499772</v>
      </c>
      <c r="P16" s="586">
        <f t="shared" si="12"/>
        <v>0.12401459772481539</v>
      </c>
      <c r="Q16" s="586">
        <f t="shared" si="12"/>
        <v>0.13810243517838555</v>
      </c>
      <c r="R16" s="586">
        <f t="shared" si="12"/>
        <v>0.16898603180949218</v>
      </c>
      <c r="S16" s="586">
        <f t="shared" si="12"/>
        <v>0.19242504866263799</v>
      </c>
      <c r="T16" s="586">
        <f t="shared" si="12"/>
        <v>0.17021011531797822</v>
      </c>
      <c r="U16" s="586">
        <f t="shared" si="12"/>
        <v>9.0133372174539428E-2</v>
      </c>
      <c r="V16" s="586">
        <f t="shared" si="12"/>
        <v>7.863416379098033E-2</v>
      </c>
      <c r="W16" s="586">
        <f t="shared" si="12"/>
        <v>9.0431044572984939E-2</v>
      </c>
      <c r="X16" s="586">
        <f>SUM(X14:X15)</f>
        <v>0.13652091752083603</v>
      </c>
      <c r="Y16" s="580">
        <f>SUM(M16:X16)</f>
        <v>1.6947746363560519</v>
      </c>
      <c r="Z16" s="586">
        <f>SUM(Z14:Z15)</f>
        <v>0.13733940741340422</v>
      </c>
      <c r="AA16" s="586">
        <f t="shared" ref="AA16:AK16" si="13">SUM(AA14:AA15)</f>
        <v>9.9911687204640859E-2</v>
      </c>
      <c r="AB16" s="586">
        <f t="shared" si="13"/>
        <v>9.7803839570682047E-2</v>
      </c>
      <c r="AC16" s="586">
        <f t="shared" si="13"/>
        <v>6.9554371388560826E-2</v>
      </c>
      <c r="AD16" s="586">
        <f t="shared" si="13"/>
        <v>8.312085220601001E-2</v>
      </c>
      <c r="AE16" s="586">
        <f t="shared" si="13"/>
        <v>0.11197149421708141</v>
      </c>
      <c r="AF16" s="586">
        <f t="shared" si="13"/>
        <v>0.13583980087693173</v>
      </c>
      <c r="AG16" s="586">
        <f t="shared" si="13"/>
        <v>0.12919834193526394</v>
      </c>
      <c r="AH16" s="586">
        <f t="shared" si="13"/>
        <v>8.7888191623747405E-2</v>
      </c>
      <c r="AI16" s="586">
        <f t="shared" si="13"/>
        <v>7.6332700564497147E-2</v>
      </c>
      <c r="AJ16" s="586">
        <f t="shared" si="13"/>
        <v>8.8179251385506863E-2</v>
      </c>
      <c r="AK16" s="586">
        <f t="shared" si="13"/>
        <v>0.13472883567776628</v>
      </c>
      <c r="AL16" s="580">
        <f>SUM(Z16:AK16)</f>
        <v>1.2518687740640926</v>
      </c>
      <c r="AM16" s="78">
        <f>AM15+AM14</f>
        <v>-3.4683448847825082</v>
      </c>
      <c r="AN16" s="780">
        <f t="shared" ref="AN16:AW16" si="14">AN15+AN14</f>
        <v>-3.4609189441417176</v>
      </c>
      <c r="AO16" s="780">
        <f>AO15+AO14</f>
        <v>-3.4699786600858453</v>
      </c>
      <c r="AP16" s="78">
        <f t="shared" si="14"/>
        <v>-3.7978487873081983</v>
      </c>
      <c r="AQ16" s="78">
        <f t="shared" si="14"/>
        <v>-3.7990478256946187</v>
      </c>
      <c r="AR16" s="78">
        <f t="shared" si="14"/>
        <v>-3.7913852726445305</v>
      </c>
      <c r="AS16" s="78">
        <f t="shared" si="14"/>
        <v>-4.149624630107243</v>
      </c>
      <c r="AT16" s="78">
        <f t="shared" si="14"/>
        <v>-4.1518466257386111</v>
      </c>
      <c r="AU16" s="78">
        <f t="shared" si="14"/>
        <v>-4.1537446192805962</v>
      </c>
      <c r="AV16" s="78">
        <f t="shared" si="14"/>
        <v>-4.5165970496348962</v>
      </c>
      <c r="AW16" s="78">
        <f t="shared" si="14"/>
        <v>-4.5292135103322773</v>
      </c>
      <c r="AX16" s="78"/>
      <c r="AY16" s="78"/>
    </row>
    <row r="17" spans="1:51">
      <c r="A17" s="1">
        <f t="shared" si="5"/>
        <v>9</v>
      </c>
      <c r="B17" s="41"/>
      <c r="C17" s="197"/>
      <c r="D17" s="41"/>
      <c r="E17" s="41"/>
      <c r="F17" s="41"/>
      <c r="G17" s="41"/>
      <c r="H17" s="41"/>
      <c r="I17" s="41"/>
      <c r="J17" s="41"/>
      <c r="K17" s="790"/>
      <c r="L17" s="791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211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211"/>
      <c r="AM17" s="78"/>
      <c r="AN17" s="780"/>
      <c r="AO17" s="780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1:51">
      <c r="A18" s="1">
        <f t="shared" si="5"/>
        <v>10</v>
      </c>
      <c r="B18" s="40" t="s">
        <v>257</v>
      </c>
      <c r="C18" s="196"/>
      <c r="D18" s="40"/>
      <c r="E18" s="40"/>
      <c r="F18" s="40"/>
      <c r="G18" s="40"/>
      <c r="H18" s="40"/>
      <c r="I18" s="40"/>
      <c r="J18" s="40"/>
      <c r="K18" s="788"/>
      <c r="L18" s="789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211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211"/>
      <c r="AM18" s="78"/>
      <c r="AN18" s="780"/>
      <c r="AO18" s="780"/>
      <c r="AP18" s="78"/>
      <c r="AQ18" s="78"/>
      <c r="AR18" s="78"/>
      <c r="AS18" s="78"/>
      <c r="AT18" s="78"/>
      <c r="AU18" s="78"/>
      <c r="AV18" s="78"/>
      <c r="AW18" s="78"/>
      <c r="AX18" s="78"/>
      <c r="AY18" s="78"/>
    </row>
    <row r="19" spans="1:51">
      <c r="A19" s="1">
        <f t="shared" si="5"/>
        <v>11</v>
      </c>
      <c r="B19" s="41" t="s">
        <v>66</v>
      </c>
      <c r="C19" s="197"/>
      <c r="D19" s="41"/>
      <c r="E19" s="41"/>
      <c r="F19" s="41"/>
      <c r="G19" s="41"/>
      <c r="H19" s="41"/>
      <c r="I19" s="41"/>
      <c r="J19" s="41"/>
      <c r="K19" s="790"/>
      <c r="L19" s="791"/>
      <c r="M19" s="78">
        <f t="shared" ref="M19:T19" si="15">M20</f>
        <v>-0.44471642457379995</v>
      </c>
      <c r="N19" s="78">
        <f t="shared" si="15"/>
        <v>-0.3831249386992</v>
      </c>
      <c r="O19" s="78">
        <f t="shared" si="15"/>
        <v>-0.3637507506164</v>
      </c>
      <c r="P19" s="78">
        <f t="shared" si="15"/>
        <v>-0.305460032356</v>
      </c>
      <c r="Q19" s="78">
        <f t="shared" si="15"/>
        <v>-0.3313867755664</v>
      </c>
      <c r="R19" s="78">
        <f t="shared" si="15"/>
        <v>-0.398447952552</v>
      </c>
      <c r="S19" s="78">
        <f t="shared" si="15"/>
        <v>-0.44266637726239999</v>
      </c>
      <c r="T19" s="78">
        <f t="shared" si="15"/>
        <v>-0.42927015468239998</v>
      </c>
      <c r="U19" s="78">
        <f>U20</f>
        <v>-0.17517718827328871</v>
      </c>
      <c r="V19" s="78">
        <f>V20</f>
        <v>-0.15951679976679192</v>
      </c>
      <c r="W19" s="78">
        <f>W20</f>
        <v>-0.17551068468723419</v>
      </c>
      <c r="X19" s="78">
        <f>X20</f>
        <v>-0.22233656844167543</v>
      </c>
      <c r="Y19" s="211"/>
      <c r="Z19" s="78">
        <f>Z20</f>
        <v>-0.22772335999019172</v>
      </c>
      <c r="AA19" s="78">
        <f t="shared" ref="AA19:AK19" si="16">AA20</f>
        <v>-0.19571407374334579</v>
      </c>
      <c r="AB19" s="78">
        <f t="shared" si="16"/>
        <v>-0.18571581950650745</v>
      </c>
      <c r="AC19" s="78">
        <f t="shared" si="16"/>
        <v>-0.15585128013826524</v>
      </c>
      <c r="AD19" s="78">
        <f t="shared" si="16"/>
        <v>-0.16913636238136068</v>
      </c>
      <c r="AE19" s="78">
        <f t="shared" si="16"/>
        <v>-0.20356775059114757</v>
      </c>
      <c r="AF19" s="78">
        <f t="shared" si="16"/>
        <v>-0.22618400764868238</v>
      </c>
      <c r="AG19" s="78">
        <f t="shared" si="16"/>
        <v>-0.21932225609250341</v>
      </c>
      <c r="AH19" s="78">
        <f t="shared" si="16"/>
        <v>-8.2740868751389182E-2</v>
      </c>
      <c r="AI19" s="78">
        <f t="shared" si="16"/>
        <v>-7.5295873897882212E-2</v>
      </c>
      <c r="AJ19" s="78">
        <f t="shared" si="16"/>
        <v>-8.2894380711535764E-2</v>
      </c>
      <c r="AK19" s="78">
        <f t="shared" si="16"/>
        <v>-0.10510021310552141</v>
      </c>
      <c r="AL19" s="211"/>
      <c r="AM19" s="780">
        <f>AM20</f>
        <v>-1.0953088223774878</v>
      </c>
      <c r="AN19" s="780">
        <f>AN20</f>
        <v>3.5814842938768994</v>
      </c>
      <c r="AO19" s="780">
        <f>AO20</f>
        <v>3.4555841951109194</v>
      </c>
      <c r="AP19" s="78">
        <f>AP20</f>
        <v>3.4607149557647578</v>
      </c>
      <c r="AQ19" s="78">
        <f t="shared" ref="AQ19:AV19" si="17">AQ20</f>
        <v>3.8001645609054795</v>
      </c>
      <c r="AR19" s="78">
        <f>AR20</f>
        <v>3.8064733384628617</v>
      </c>
      <c r="AS19" s="78">
        <f t="shared" si="17"/>
        <v>3.791034217140886</v>
      </c>
      <c r="AT19" s="78">
        <f t="shared" si="17"/>
        <v>4.1544729896898689</v>
      </c>
      <c r="AU19" s="78">
        <f t="shared" si="17"/>
        <v>4.1522730257491549</v>
      </c>
      <c r="AV19" s="78">
        <f t="shared" si="17"/>
        <v>4.1548747997769953</v>
      </c>
      <c r="AW19" s="78">
        <f>AW20</f>
        <v>4.5185271072220363</v>
      </c>
      <c r="AX19" s="78"/>
      <c r="AY19" s="78"/>
    </row>
    <row r="20" spans="1:51">
      <c r="A20" s="1">
        <f t="shared" si="5"/>
        <v>12</v>
      </c>
      <c r="B20" s="41" t="s">
        <v>254</v>
      </c>
      <c r="C20" s="197"/>
      <c r="D20" s="41"/>
      <c r="E20" s="41"/>
      <c r="F20" s="41"/>
      <c r="G20" s="41"/>
      <c r="H20" s="41"/>
      <c r="I20" s="41"/>
      <c r="J20" s="41"/>
      <c r="K20" s="790"/>
      <c r="L20" s="791"/>
      <c r="M20" s="78">
        <f t="shared" ref="M20:T20" si="18">-M5*M6</f>
        <v>-0.44471642457379995</v>
      </c>
      <c r="N20" s="78">
        <f t="shared" si="18"/>
        <v>-0.3831249386992</v>
      </c>
      <c r="O20" s="78">
        <f t="shared" si="18"/>
        <v>-0.3637507506164</v>
      </c>
      <c r="P20" s="78">
        <f t="shared" si="18"/>
        <v>-0.305460032356</v>
      </c>
      <c r="Q20" s="78">
        <f t="shared" si="18"/>
        <v>-0.3313867755664</v>
      </c>
      <c r="R20" s="78">
        <f t="shared" si="18"/>
        <v>-0.398447952552</v>
      </c>
      <c r="S20" s="78">
        <f t="shared" si="18"/>
        <v>-0.44266637726239999</v>
      </c>
      <c r="T20" s="78">
        <f t="shared" si="18"/>
        <v>-0.42927015468239998</v>
      </c>
      <c r="U20" s="78">
        <f>-U5*U6</f>
        <v>-0.17517718827328871</v>
      </c>
      <c r="V20" s="78">
        <f>-V5*V6</f>
        <v>-0.15951679976679192</v>
      </c>
      <c r="W20" s="78">
        <f>-W5*W6</f>
        <v>-0.17551068468723419</v>
      </c>
      <c r="X20" s="78">
        <f>-X5*X6</f>
        <v>-0.22233656844167543</v>
      </c>
      <c r="Y20" s="211"/>
      <c r="Z20" s="78">
        <f>-Z5*Z6</f>
        <v>-0.22772335999019172</v>
      </c>
      <c r="AA20" s="78">
        <f t="shared" ref="AA20:AK20" si="19">-AA5*AA6</f>
        <v>-0.19571407374334579</v>
      </c>
      <c r="AB20" s="78">
        <f t="shared" si="19"/>
        <v>-0.18571581950650745</v>
      </c>
      <c r="AC20" s="78">
        <f t="shared" si="19"/>
        <v>-0.15585128013826524</v>
      </c>
      <c r="AD20" s="78">
        <f t="shared" si="19"/>
        <v>-0.16913636238136068</v>
      </c>
      <c r="AE20" s="78">
        <f t="shared" si="19"/>
        <v>-0.20356775059114757</v>
      </c>
      <c r="AF20" s="78">
        <f t="shared" si="19"/>
        <v>-0.22618400764868238</v>
      </c>
      <c r="AG20" s="78">
        <f t="shared" si="19"/>
        <v>-0.21932225609250341</v>
      </c>
      <c r="AH20" s="78">
        <f t="shared" si="19"/>
        <v>-8.2740868751389182E-2</v>
      </c>
      <c r="AI20" s="78">
        <f>-AI5*AI6</f>
        <v>-7.5295873897882212E-2</v>
      </c>
      <c r="AJ20" s="78">
        <f t="shared" si="19"/>
        <v>-8.2894380711535764E-2</v>
      </c>
      <c r="AK20" s="78">
        <f t="shared" si="19"/>
        <v>-0.10510021310552141</v>
      </c>
      <c r="AL20" s="211"/>
      <c r="AM20" s="78">
        <f>-AM5*AM6</f>
        <v>-1.0953088223774878</v>
      </c>
      <c r="AN20" s="78">
        <f t="shared" ref="AN20:AW20" si="20">-AN5*AN6</f>
        <v>3.5814842938768994</v>
      </c>
      <c r="AO20" s="78">
        <f t="shared" si="20"/>
        <v>3.4555841951109194</v>
      </c>
      <c r="AP20" s="78">
        <f t="shared" si="20"/>
        <v>3.4607149557647578</v>
      </c>
      <c r="AQ20" s="78">
        <f t="shared" si="20"/>
        <v>3.8001645609054795</v>
      </c>
      <c r="AR20" s="78">
        <f t="shared" si="20"/>
        <v>3.8064733384628617</v>
      </c>
      <c r="AS20" s="78">
        <f t="shared" si="20"/>
        <v>3.791034217140886</v>
      </c>
      <c r="AT20" s="78">
        <f>-AT5*AT6</f>
        <v>4.1544729896898689</v>
      </c>
      <c r="AU20" s="78">
        <f t="shared" si="20"/>
        <v>4.1522730257491549</v>
      </c>
      <c r="AV20" s="78">
        <f t="shared" si="20"/>
        <v>4.1548747997769953</v>
      </c>
      <c r="AW20" s="78">
        <f t="shared" si="20"/>
        <v>4.5185271072220363</v>
      </c>
      <c r="AX20" s="78"/>
      <c r="AY20" s="78"/>
    </row>
    <row r="21" spans="1:51">
      <c r="A21" s="1">
        <f t="shared" si="5"/>
        <v>13</v>
      </c>
      <c r="B21" s="42"/>
      <c r="C21" s="198"/>
      <c r="D21" s="42"/>
      <c r="E21" s="42"/>
      <c r="F21" s="42"/>
      <c r="G21" s="42"/>
      <c r="H21" s="42"/>
      <c r="I21" s="42"/>
      <c r="J21" s="42"/>
      <c r="K21" s="798"/>
      <c r="L21" s="799"/>
      <c r="M21" s="74" t="s">
        <v>43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211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211"/>
      <c r="AM21" s="78"/>
      <c r="AN21" s="780"/>
      <c r="AO21" s="780"/>
      <c r="AP21" s="78"/>
      <c r="AQ21" s="78"/>
      <c r="AR21" s="78"/>
      <c r="AS21" s="78"/>
      <c r="AT21" s="78"/>
      <c r="AU21" s="78"/>
      <c r="AV21" s="78"/>
      <c r="AW21" s="78"/>
      <c r="AX21" s="78"/>
      <c r="AY21" s="78"/>
    </row>
    <row r="22" spans="1:51">
      <c r="A22" s="1">
        <f t="shared" si="5"/>
        <v>14</v>
      </c>
      <c r="B22" s="45" t="s">
        <v>171</v>
      </c>
      <c r="C22" s="199"/>
      <c r="D22" s="31"/>
      <c r="E22" s="31"/>
      <c r="F22" s="31"/>
      <c r="G22" s="31"/>
      <c r="H22" s="31"/>
      <c r="I22" s="31"/>
      <c r="J22" s="31"/>
      <c r="K22" s="726">
        <f>-K16+K19-K20</f>
        <v>-3.8376943099999998</v>
      </c>
      <c r="L22" s="580">
        <f>SUM(D22:K22)</f>
        <v>-3.8376943099999998</v>
      </c>
      <c r="M22" s="726">
        <f>-M16+M19-M20</f>
        <v>-0.19417458390038905</v>
      </c>
      <c r="N22" s="726">
        <f t="shared" ref="N22:W22" si="21">-N16+N19-N20</f>
        <v>-0.15734923630801484</v>
      </c>
      <c r="O22" s="726">
        <f t="shared" si="21"/>
        <v>-0.15379308939499775</v>
      </c>
      <c r="P22" s="726">
        <f t="shared" si="21"/>
        <v>-0.12401459772481538</v>
      </c>
      <c r="Q22" s="726">
        <f t="shared" si="21"/>
        <v>-0.13810243517838555</v>
      </c>
      <c r="R22" s="726">
        <f t="shared" si="21"/>
        <v>-0.16898603180949218</v>
      </c>
      <c r="S22" s="726">
        <f t="shared" si="21"/>
        <v>-0.19242504866263799</v>
      </c>
      <c r="T22" s="726">
        <f t="shared" si="21"/>
        <v>-0.17021011531797819</v>
      </c>
      <c r="U22" s="726">
        <f t="shared" si="21"/>
        <v>-9.0133372174539428E-2</v>
      </c>
      <c r="V22" s="726">
        <f t="shared" si="21"/>
        <v>-7.8634163790980344E-2</v>
      </c>
      <c r="W22" s="726">
        <f t="shared" si="21"/>
        <v>-9.0431044572984953E-2</v>
      </c>
      <c r="X22" s="726">
        <f>-X16+X19-X20</f>
        <v>-0.136520917520836</v>
      </c>
      <c r="Y22" s="727">
        <f>SUM(M22:X22)</f>
        <v>-1.6947746363560519</v>
      </c>
      <c r="Z22" s="726">
        <f>-Z16+Z19-Z20</f>
        <v>-0.13733940741340422</v>
      </c>
      <c r="AA22" s="726">
        <f t="shared" ref="AA22:AK22" si="22">-AA16+AA19-AA20</f>
        <v>-9.9911687204640859E-2</v>
      </c>
      <c r="AB22" s="726">
        <f t="shared" si="22"/>
        <v>-9.7803839570682061E-2</v>
      </c>
      <c r="AC22" s="726">
        <f t="shared" si="22"/>
        <v>-6.9554371388560826E-2</v>
      </c>
      <c r="AD22" s="726">
        <f t="shared" si="22"/>
        <v>-8.3120852206010037E-2</v>
      </c>
      <c r="AE22" s="726">
        <f t="shared" si="22"/>
        <v>-0.11197149421708141</v>
      </c>
      <c r="AF22" s="726">
        <f t="shared" si="22"/>
        <v>-0.13583980087693173</v>
      </c>
      <c r="AG22" s="726">
        <f t="shared" si="22"/>
        <v>-0.12919834193526394</v>
      </c>
      <c r="AH22" s="726">
        <f t="shared" si="22"/>
        <v>-8.7888191623747405E-2</v>
      </c>
      <c r="AI22" s="726">
        <f>-AI16+AI19-AI20</f>
        <v>-7.6332700564497161E-2</v>
      </c>
      <c r="AJ22" s="726">
        <f t="shared" si="22"/>
        <v>-8.8179251385506863E-2</v>
      </c>
      <c r="AK22" s="726">
        <f t="shared" si="22"/>
        <v>-0.13472883567776628</v>
      </c>
      <c r="AL22" s="727">
        <f>SUM(Z22:AK22)</f>
        <v>-1.2518687740640928</v>
      </c>
      <c r="AM22" s="780">
        <f>-AM16+AM19-AM20</f>
        <v>3.4683448847825087</v>
      </c>
      <c r="AN22" s="780">
        <f>-AN16+AN19-AN20</f>
        <v>3.4609189441417172</v>
      </c>
      <c r="AO22" s="780">
        <f t="shared" ref="AO22:AW22" si="23">-AO16+AO19-AO20</f>
        <v>3.4699786600858449</v>
      </c>
      <c r="AP22" s="78">
        <f t="shared" si="23"/>
        <v>3.7978487873081987</v>
      </c>
      <c r="AQ22" s="78">
        <f t="shared" si="23"/>
        <v>3.7990478256946187</v>
      </c>
      <c r="AR22" s="78">
        <f t="shared" si="23"/>
        <v>3.791385272644531</v>
      </c>
      <c r="AS22" s="78">
        <f t="shared" si="23"/>
        <v>4.1496246301072421</v>
      </c>
      <c r="AT22" s="78">
        <f t="shared" si="23"/>
        <v>4.1518466257386111</v>
      </c>
      <c r="AU22" s="78">
        <f t="shared" si="23"/>
        <v>4.1537446192805962</v>
      </c>
      <c r="AV22" s="78">
        <f t="shared" si="23"/>
        <v>4.5165970496348953</v>
      </c>
      <c r="AW22" s="78">
        <f t="shared" si="23"/>
        <v>4.5292135103322781</v>
      </c>
      <c r="AX22" s="78"/>
      <c r="AY22" s="78"/>
    </row>
    <row r="23" spans="1:51">
      <c r="A23" s="1">
        <f t="shared" si="5"/>
        <v>15</v>
      </c>
      <c r="B23" s="46"/>
      <c r="C23" s="200"/>
      <c r="D23" s="46"/>
      <c r="E23" s="46"/>
      <c r="F23" s="46"/>
      <c r="G23" s="46"/>
      <c r="H23" s="46"/>
      <c r="I23" s="46"/>
      <c r="J23" s="46"/>
      <c r="K23" s="800"/>
      <c r="L23" s="801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211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211"/>
      <c r="AM23" s="78"/>
      <c r="AN23" s="780"/>
      <c r="AO23" s="780"/>
      <c r="AP23" s="78"/>
      <c r="AQ23" s="78"/>
      <c r="AR23" s="78"/>
      <c r="AS23" s="78"/>
      <c r="AT23" s="78"/>
      <c r="AU23" s="78"/>
      <c r="AV23" s="78"/>
      <c r="AW23" s="78"/>
      <c r="AX23" s="78"/>
      <c r="AY23" s="78"/>
    </row>
    <row r="24" spans="1:51">
      <c r="A24" s="1">
        <f t="shared" si="5"/>
        <v>16</v>
      </c>
      <c r="B24" s="33" t="s">
        <v>259</v>
      </c>
      <c r="C24" s="166"/>
      <c r="D24" s="33"/>
      <c r="E24" s="33"/>
      <c r="F24" s="33"/>
      <c r="G24" s="33"/>
      <c r="H24" s="33"/>
      <c r="I24" s="33"/>
      <c r="J24" s="33"/>
      <c r="K24" s="722"/>
      <c r="L24" s="58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211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211"/>
      <c r="AM24" s="78"/>
      <c r="AN24" s="780"/>
      <c r="AO24" s="780"/>
      <c r="AP24" s="78"/>
      <c r="AQ24" s="78"/>
      <c r="AR24" s="78"/>
      <c r="AS24" s="78"/>
      <c r="AT24" s="78"/>
      <c r="AU24" s="78"/>
      <c r="AV24" s="78"/>
      <c r="AW24" s="78"/>
      <c r="AX24" s="78"/>
      <c r="AY24" s="78"/>
    </row>
    <row r="25" spans="1:51">
      <c r="A25" s="1">
        <f t="shared" si="5"/>
        <v>17</v>
      </c>
      <c r="B25" s="46" t="s">
        <v>261</v>
      </c>
      <c r="C25" s="200"/>
      <c r="D25" s="46"/>
      <c r="E25" s="46"/>
      <c r="F25" s="46"/>
      <c r="G25" s="46"/>
      <c r="H25" s="46"/>
      <c r="I25" s="46"/>
      <c r="J25" s="46"/>
      <c r="K25" s="800"/>
      <c r="L25" s="801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211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211"/>
      <c r="AM25" s="78"/>
      <c r="AN25" s="780"/>
      <c r="AO25" s="780"/>
      <c r="AP25" s="78"/>
      <c r="AQ25" s="78"/>
      <c r="AR25" s="78"/>
      <c r="AS25" s="78"/>
      <c r="AT25" s="78"/>
      <c r="AU25" s="78"/>
      <c r="AV25" s="78"/>
      <c r="AW25" s="78"/>
      <c r="AX25" s="78"/>
      <c r="AY25" s="78"/>
    </row>
    <row r="26" spans="1:51">
      <c r="A26" s="1">
        <f t="shared" si="5"/>
        <v>18</v>
      </c>
      <c r="B26" s="48" t="s">
        <v>262</v>
      </c>
      <c r="C26" s="201"/>
      <c r="D26" s="48"/>
      <c r="E26" s="48"/>
      <c r="F26" s="48"/>
      <c r="G26" s="48"/>
      <c r="H26" s="48"/>
      <c r="I26" s="48"/>
      <c r="J26" s="48"/>
      <c r="K26" s="802"/>
      <c r="L26" s="803"/>
      <c r="M26" s="78">
        <f t="shared" ref="M26:T26" si="24">M20</f>
        <v>-0.44471642457379995</v>
      </c>
      <c r="N26" s="78">
        <f t="shared" si="24"/>
        <v>-0.3831249386992</v>
      </c>
      <c r="O26" s="78">
        <f t="shared" si="24"/>
        <v>-0.3637507506164</v>
      </c>
      <c r="P26" s="78">
        <f t="shared" si="24"/>
        <v>-0.305460032356</v>
      </c>
      <c r="Q26" s="78">
        <f t="shared" si="24"/>
        <v>-0.3313867755664</v>
      </c>
      <c r="R26" s="78">
        <f t="shared" si="24"/>
        <v>-0.398447952552</v>
      </c>
      <c r="S26" s="78">
        <f t="shared" si="24"/>
        <v>-0.44266637726239999</v>
      </c>
      <c r="T26" s="78">
        <f t="shared" si="24"/>
        <v>-0.42927015468239998</v>
      </c>
      <c r="U26" s="78">
        <f>U20</f>
        <v>-0.17517718827328871</v>
      </c>
      <c r="V26" s="78">
        <f>V20</f>
        <v>-0.15951679976679192</v>
      </c>
      <c r="W26" s="78">
        <f>W20</f>
        <v>-0.17551068468723419</v>
      </c>
      <c r="X26" s="78">
        <f>X20</f>
        <v>-0.22233656844167543</v>
      </c>
      <c r="Y26" s="211"/>
      <c r="Z26" s="78">
        <f>Z20</f>
        <v>-0.22772335999019172</v>
      </c>
      <c r="AA26" s="78">
        <f t="shared" ref="AA26:AK26" si="25">AA20</f>
        <v>-0.19571407374334579</v>
      </c>
      <c r="AB26" s="78">
        <f t="shared" si="25"/>
        <v>-0.18571581950650745</v>
      </c>
      <c r="AC26" s="78">
        <f t="shared" si="25"/>
        <v>-0.15585128013826524</v>
      </c>
      <c r="AD26" s="78">
        <f t="shared" si="25"/>
        <v>-0.16913636238136068</v>
      </c>
      <c r="AE26" s="78">
        <f t="shared" si="25"/>
        <v>-0.20356775059114757</v>
      </c>
      <c r="AF26" s="78">
        <f t="shared" si="25"/>
        <v>-0.22618400764868238</v>
      </c>
      <c r="AG26" s="78">
        <f t="shared" si="25"/>
        <v>-0.21932225609250341</v>
      </c>
      <c r="AH26" s="78">
        <f t="shared" si="25"/>
        <v>-8.2740868751389182E-2</v>
      </c>
      <c r="AI26" s="78">
        <f t="shared" si="25"/>
        <v>-7.5295873897882212E-2</v>
      </c>
      <c r="AJ26" s="78">
        <f t="shared" si="25"/>
        <v>-8.2894380711535764E-2</v>
      </c>
      <c r="AK26" s="78">
        <f t="shared" si="25"/>
        <v>-0.10510021310552141</v>
      </c>
      <c r="AL26" s="211"/>
      <c r="AM26" s="780">
        <f>AM20</f>
        <v>-1.0953088223774878</v>
      </c>
      <c r="AN26" s="780">
        <f>AN20</f>
        <v>3.5814842938768994</v>
      </c>
      <c r="AO26" s="780">
        <f>AO20</f>
        <v>3.4555841951109194</v>
      </c>
      <c r="AP26" s="78">
        <f>AP20</f>
        <v>3.4607149557647578</v>
      </c>
      <c r="AQ26" s="78">
        <f t="shared" ref="AQ26:AW26" si="26">AQ20</f>
        <v>3.8001645609054795</v>
      </c>
      <c r="AR26" s="78">
        <f t="shared" si="26"/>
        <v>3.8064733384628617</v>
      </c>
      <c r="AS26" s="78">
        <f t="shared" si="26"/>
        <v>3.791034217140886</v>
      </c>
      <c r="AT26" s="78">
        <f t="shared" si="26"/>
        <v>4.1544729896898689</v>
      </c>
      <c r="AU26" s="78">
        <f t="shared" si="26"/>
        <v>4.1522730257491549</v>
      </c>
      <c r="AV26" s="78">
        <f t="shared" si="26"/>
        <v>4.1548747997769953</v>
      </c>
      <c r="AW26" s="78">
        <f t="shared" si="26"/>
        <v>4.5185271072220363</v>
      </c>
      <c r="AX26" s="78"/>
      <c r="AY26" s="78"/>
    </row>
    <row r="27" spans="1:51" ht="15">
      <c r="A27" s="1">
        <f t="shared" si="5"/>
        <v>19</v>
      </c>
      <c r="B27" s="48" t="s">
        <v>263</v>
      </c>
      <c r="C27" s="201"/>
      <c r="D27" s="183"/>
      <c r="E27" s="183"/>
      <c r="F27" s="183"/>
      <c r="G27" s="183"/>
      <c r="H27" s="183"/>
      <c r="I27" s="183"/>
      <c r="J27" s="183"/>
      <c r="K27" s="804">
        <v>0</v>
      </c>
      <c r="L27" s="805">
        <f>SUM(D27:K27)</f>
        <v>0</v>
      </c>
      <c r="M27" s="804">
        <f>MAX(0,-K32+M22-M26+K27)</f>
        <v>0</v>
      </c>
      <c r="N27" s="804">
        <f t="shared" ref="N27:X27" si="27">MAX(0,-M32+N22-N26+M27)</f>
        <v>0</v>
      </c>
      <c r="O27" s="804">
        <f t="shared" si="27"/>
        <v>0</v>
      </c>
      <c r="P27" s="804">
        <f t="shared" si="27"/>
        <v>0</v>
      </c>
      <c r="Q27" s="804">
        <f t="shared" si="27"/>
        <v>0</v>
      </c>
      <c r="R27" s="804">
        <f t="shared" si="27"/>
        <v>0</v>
      </c>
      <c r="S27" s="804">
        <f t="shared" si="27"/>
        <v>0</v>
      </c>
      <c r="T27" s="804">
        <f t="shared" si="27"/>
        <v>0</v>
      </c>
      <c r="U27" s="804">
        <f t="shared" si="27"/>
        <v>0</v>
      </c>
      <c r="V27" s="804">
        <f t="shared" si="27"/>
        <v>0</v>
      </c>
      <c r="W27" s="804">
        <f t="shared" si="27"/>
        <v>0</v>
      </c>
      <c r="X27" s="804">
        <f t="shared" si="27"/>
        <v>0</v>
      </c>
      <c r="Y27" s="794"/>
      <c r="Z27" s="804">
        <f>MAX(0,-X32+Z22-Z26+X27)</f>
        <v>0</v>
      </c>
      <c r="AA27" s="804">
        <f>MAX(0,-Z32+AA22-AA26+Z27)</f>
        <v>0</v>
      </c>
      <c r="AB27" s="804">
        <f t="shared" ref="AB27:AG27" si="28">MAX(0,-AA32+AB22-AB26+AA27)</f>
        <v>0</v>
      </c>
      <c r="AC27" s="804">
        <f t="shared" si="28"/>
        <v>0</v>
      </c>
      <c r="AD27" s="804">
        <f t="shared" si="28"/>
        <v>0</v>
      </c>
      <c r="AE27" s="804">
        <f t="shared" si="28"/>
        <v>0</v>
      </c>
      <c r="AF27" s="804">
        <f t="shared" si="28"/>
        <v>0</v>
      </c>
      <c r="AG27" s="804">
        <f t="shared" si="28"/>
        <v>0</v>
      </c>
      <c r="AH27" s="804">
        <f>MAX(0,-AG32+AH22-AH26+AG27)</f>
        <v>0</v>
      </c>
      <c r="AI27" s="804">
        <f>MAX(0,-AH32+AI22-AI26+AH27)</f>
        <v>0</v>
      </c>
      <c r="AJ27" s="804">
        <f>MAX(0,-AI32+AJ22-AJ26+AI27)</f>
        <v>0</v>
      </c>
      <c r="AK27" s="804">
        <f>MAX(0,-AJ32+AK22-AK26+AJ27)</f>
        <v>0</v>
      </c>
      <c r="AL27" s="794"/>
      <c r="AM27" s="804">
        <f>MAX(0,-AK32+AM22-AM26+AK27)</f>
        <v>3.5399268807757753</v>
      </c>
      <c r="AN27" s="804">
        <f>MAX(0,-AM32+AN22-AN26+AM27)</f>
        <v>3.4193615310405931</v>
      </c>
      <c r="AO27" s="804">
        <f t="shared" ref="AO27:AW27" si="29">MAX(0,-AN32+AO22-AO26+AN27)</f>
        <v>3.4337559960155186</v>
      </c>
      <c r="AP27" s="804">
        <f>MAX(0,-AO32+AP22-AP26+AO27)</f>
        <v>3.7708898275589595</v>
      </c>
      <c r="AQ27" s="804">
        <f>MAX(0,-AP32+AQ22-AQ26+AP27)</f>
        <v>3.7697730923480988</v>
      </c>
      <c r="AR27" s="804">
        <f t="shared" si="29"/>
        <v>3.754685026529768</v>
      </c>
      <c r="AS27" s="804">
        <f t="shared" si="29"/>
        <v>4.1132754394961246</v>
      </c>
      <c r="AT27" s="804">
        <f t="shared" si="29"/>
        <v>4.1106490755448668</v>
      </c>
      <c r="AU27" s="804">
        <f t="shared" si="29"/>
        <v>4.1121206690763081</v>
      </c>
      <c r="AV27" s="804">
        <f t="shared" si="29"/>
        <v>4.4738429189342082</v>
      </c>
      <c r="AW27" s="804">
        <f t="shared" si="29"/>
        <v>4.48452932204445</v>
      </c>
      <c r="AX27" s="804"/>
      <c r="AY27" s="804"/>
    </row>
    <row r="28" spans="1:51">
      <c r="A28" s="1">
        <f t="shared" si="5"/>
        <v>20</v>
      </c>
      <c r="B28" s="48" t="s">
        <v>131</v>
      </c>
      <c r="C28" s="201"/>
      <c r="D28" s="256"/>
      <c r="E28" s="256"/>
      <c r="F28" s="256"/>
      <c r="G28" s="256"/>
      <c r="H28" s="256"/>
      <c r="I28" s="256"/>
      <c r="J28" s="256"/>
      <c r="K28" s="806">
        <f>K26+K27</f>
        <v>0</v>
      </c>
      <c r="L28" s="805">
        <f>SUM(D28:K28)</f>
        <v>0</v>
      </c>
      <c r="M28" s="806">
        <f>M26+M27</f>
        <v>-0.44471642457379995</v>
      </c>
      <c r="N28" s="806">
        <f t="shared" ref="N28:W28" si="30">N26+N27</f>
        <v>-0.3831249386992</v>
      </c>
      <c r="O28" s="806">
        <f t="shared" si="30"/>
        <v>-0.3637507506164</v>
      </c>
      <c r="P28" s="806">
        <f t="shared" si="30"/>
        <v>-0.305460032356</v>
      </c>
      <c r="Q28" s="806">
        <f t="shared" si="30"/>
        <v>-0.3313867755664</v>
      </c>
      <c r="R28" s="806">
        <f t="shared" si="30"/>
        <v>-0.398447952552</v>
      </c>
      <c r="S28" s="806">
        <f t="shared" si="30"/>
        <v>-0.44266637726239999</v>
      </c>
      <c r="T28" s="806">
        <f t="shared" si="30"/>
        <v>-0.42927015468239998</v>
      </c>
      <c r="U28" s="806">
        <f t="shared" si="30"/>
        <v>-0.17517718827328871</v>
      </c>
      <c r="V28" s="806">
        <f t="shared" si="30"/>
        <v>-0.15951679976679192</v>
      </c>
      <c r="W28" s="806">
        <f t="shared" si="30"/>
        <v>-0.17551068468723419</v>
      </c>
      <c r="X28" s="806">
        <f>X26+X27</f>
        <v>-0.22233656844167543</v>
      </c>
      <c r="Y28" s="211"/>
      <c r="Z28" s="806">
        <f>Z26+Z27</f>
        <v>-0.22772335999019172</v>
      </c>
      <c r="AA28" s="806">
        <f t="shared" ref="AA28:AK28" si="31">AA26+AA27</f>
        <v>-0.19571407374334579</v>
      </c>
      <c r="AB28" s="806">
        <f t="shared" si="31"/>
        <v>-0.18571581950650745</v>
      </c>
      <c r="AC28" s="806">
        <f t="shared" si="31"/>
        <v>-0.15585128013826524</v>
      </c>
      <c r="AD28" s="806">
        <f t="shared" si="31"/>
        <v>-0.16913636238136068</v>
      </c>
      <c r="AE28" s="806">
        <f t="shared" si="31"/>
        <v>-0.20356775059114757</v>
      </c>
      <c r="AF28" s="806">
        <f t="shared" si="31"/>
        <v>-0.22618400764868238</v>
      </c>
      <c r="AG28" s="806">
        <f t="shared" si="31"/>
        <v>-0.21932225609250341</v>
      </c>
      <c r="AH28" s="806">
        <f t="shared" si="31"/>
        <v>-8.2740868751389182E-2</v>
      </c>
      <c r="AI28" s="806">
        <f t="shared" si="31"/>
        <v>-7.5295873897882212E-2</v>
      </c>
      <c r="AJ28" s="806">
        <f t="shared" si="31"/>
        <v>-8.2894380711535764E-2</v>
      </c>
      <c r="AK28" s="806">
        <f t="shared" si="31"/>
        <v>-0.10510021310552141</v>
      </c>
      <c r="AL28" s="211"/>
      <c r="AM28" s="78">
        <f>AM26+AM27</f>
        <v>2.4446180583982873</v>
      </c>
      <c r="AN28" s="780">
        <f t="shared" ref="AN28:AW28" si="32">AN26+AN27</f>
        <v>7.0008458249174925</v>
      </c>
      <c r="AO28" s="780">
        <f>AO26+AO27</f>
        <v>6.889340191126438</v>
      </c>
      <c r="AP28" s="78">
        <f t="shared" si="32"/>
        <v>7.2316047833237178</v>
      </c>
      <c r="AQ28" s="78">
        <f t="shared" si="32"/>
        <v>7.5699376532535787</v>
      </c>
      <c r="AR28" s="78">
        <f t="shared" si="32"/>
        <v>7.5611583649926297</v>
      </c>
      <c r="AS28" s="78">
        <f t="shared" si="32"/>
        <v>7.904309656637011</v>
      </c>
      <c r="AT28" s="78">
        <f t="shared" si="32"/>
        <v>8.2651220652347348</v>
      </c>
      <c r="AU28" s="78">
        <f t="shared" si="32"/>
        <v>8.264393694825463</v>
      </c>
      <c r="AV28" s="78">
        <f t="shared" si="32"/>
        <v>8.6287177187112043</v>
      </c>
      <c r="AW28" s="78">
        <f t="shared" si="32"/>
        <v>9.0030564292664863</v>
      </c>
      <c r="AX28" s="78"/>
      <c r="AY28" s="78"/>
    </row>
    <row r="29" spans="1:51">
      <c r="A29" s="1">
        <f t="shared" si="5"/>
        <v>21</v>
      </c>
      <c r="B29" s="46"/>
      <c r="C29" s="200"/>
      <c r="D29" s="46"/>
      <c r="E29" s="46"/>
      <c r="F29" s="46"/>
      <c r="G29" s="46"/>
      <c r="H29" s="46"/>
      <c r="I29" s="46"/>
      <c r="J29" s="46"/>
      <c r="K29" s="800"/>
      <c r="L29" s="801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211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211"/>
      <c r="AM29" s="78"/>
      <c r="AN29" s="780"/>
      <c r="AO29" s="780"/>
      <c r="AP29" s="78"/>
      <c r="AQ29" s="78"/>
      <c r="AR29" s="78"/>
      <c r="AS29" s="78"/>
      <c r="AT29" s="78"/>
      <c r="AU29" s="78"/>
      <c r="AV29" s="78"/>
      <c r="AW29" s="78"/>
      <c r="AX29" s="78"/>
      <c r="AY29" s="78"/>
    </row>
    <row r="30" spans="1:51">
      <c r="A30" s="1">
        <f t="shared" si="5"/>
        <v>22</v>
      </c>
      <c r="B30" s="46" t="s">
        <v>264</v>
      </c>
      <c r="C30" s="200"/>
      <c r="D30" s="257"/>
      <c r="E30" s="257"/>
      <c r="F30" s="257"/>
      <c r="G30" s="257"/>
      <c r="H30" s="257"/>
      <c r="I30" s="257"/>
      <c r="J30" s="257"/>
      <c r="K30" s="807"/>
      <c r="L30" s="801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211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211"/>
      <c r="AM30" s="78"/>
      <c r="AN30" s="780"/>
      <c r="AO30" s="780"/>
      <c r="AP30" s="78"/>
      <c r="AQ30" s="78"/>
      <c r="AR30" s="78"/>
      <c r="AS30" s="78"/>
      <c r="AT30" s="78"/>
      <c r="AU30" s="78"/>
      <c r="AV30" s="78"/>
      <c r="AW30" s="78"/>
      <c r="AX30" s="78"/>
      <c r="AY30" s="78"/>
    </row>
    <row r="31" spans="1:51">
      <c r="A31" s="1">
        <f t="shared" si="5"/>
        <v>23</v>
      </c>
      <c r="B31" s="48" t="s">
        <v>265</v>
      </c>
      <c r="C31" s="201"/>
      <c r="D31" s="23"/>
      <c r="E31" s="23"/>
      <c r="F31" s="23"/>
      <c r="G31" s="23"/>
      <c r="H31" s="23"/>
      <c r="I31" s="23"/>
      <c r="J31" s="23"/>
      <c r="K31" s="74">
        <f>J31+K22</f>
        <v>-3.8376943099999998</v>
      </c>
      <c r="L31" s="211"/>
      <c r="M31" s="74">
        <f>K31+M22</f>
        <v>-4.0318688939003886</v>
      </c>
      <c r="N31" s="74">
        <f>M31+N22</f>
        <v>-4.1892181302084035</v>
      </c>
      <c r="O31" s="74">
        <f>N31+O22</f>
        <v>-4.343011219603401</v>
      </c>
      <c r="P31" s="74">
        <f t="shared" ref="P31:W31" si="33">O31+P22</f>
        <v>-4.4670258173282162</v>
      </c>
      <c r="Q31" s="74">
        <f t="shared" si="33"/>
        <v>-4.605128252506602</v>
      </c>
      <c r="R31" s="74">
        <f t="shared" si="33"/>
        <v>-4.7741142843160942</v>
      </c>
      <c r="S31" s="74">
        <f t="shared" si="33"/>
        <v>-4.9665393329787317</v>
      </c>
      <c r="T31" s="74">
        <f>S31+T22</f>
        <v>-5.13674944829671</v>
      </c>
      <c r="U31" s="74">
        <f>T31+U22</f>
        <v>-5.2268828204712499</v>
      </c>
      <c r="V31" s="74">
        <f t="shared" si="33"/>
        <v>-5.3055169842622298</v>
      </c>
      <c r="W31" s="74">
        <f t="shared" si="33"/>
        <v>-5.3959480288352148</v>
      </c>
      <c r="X31" s="74">
        <f>W31+X22</f>
        <v>-5.532468946356051</v>
      </c>
      <c r="Y31" s="211"/>
      <c r="Z31" s="78">
        <f>X31+Z22</f>
        <v>-5.6698083537694552</v>
      </c>
      <c r="AA31" s="74">
        <f>Z31+AA22</f>
        <v>-5.7697200409740965</v>
      </c>
      <c r="AB31" s="74">
        <f t="shared" ref="AB31:AK31" si="34">AA31+AB22</f>
        <v>-5.8675238805447787</v>
      </c>
      <c r="AC31" s="74">
        <f t="shared" si="34"/>
        <v>-5.9370782519333396</v>
      </c>
      <c r="AD31" s="74">
        <f t="shared" si="34"/>
        <v>-6.0201991041393494</v>
      </c>
      <c r="AE31" s="74">
        <f t="shared" si="34"/>
        <v>-6.1321705983564305</v>
      </c>
      <c r="AF31" s="74">
        <f t="shared" si="34"/>
        <v>-6.2680103992333622</v>
      </c>
      <c r="AG31" s="74">
        <f t="shared" si="34"/>
        <v>-6.397208741168626</v>
      </c>
      <c r="AH31" s="74">
        <f t="shared" si="34"/>
        <v>-6.4850969327923735</v>
      </c>
      <c r="AI31" s="74">
        <f t="shared" si="34"/>
        <v>-6.5614296333568705</v>
      </c>
      <c r="AJ31" s="74">
        <f t="shared" si="34"/>
        <v>-6.6496088847423778</v>
      </c>
      <c r="AK31" s="74">
        <f t="shared" si="34"/>
        <v>-6.7843377204201438</v>
      </c>
      <c r="AL31" s="211"/>
      <c r="AM31" s="78">
        <f>AK31+AM22</f>
        <v>-3.3159928356376351</v>
      </c>
      <c r="AN31" s="780">
        <f>AM31+AN22</f>
        <v>0.14492610850408205</v>
      </c>
      <c r="AO31" s="78">
        <f>AN31+AO22</f>
        <v>3.6149047685899269</v>
      </c>
      <c r="AP31" s="78">
        <f>AO31+AP22</f>
        <v>7.4127535558981261</v>
      </c>
      <c r="AQ31" s="78">
        <f>AP31+AQ22</f>
        <v>11.211801381592744</v>
      </c>
      <c r="AR31" s="78">
        <f t="shared" ref="AR31:AW31" si="35">AQ31+AR22</f>
        <v>15.003186654237275</v>
      </c>
      <c r="AS31" s="78">
        <f t="shared" si="35"/>
        <v>19.152811284344516</v>
      </c>
      <c r="AT31" s="78">
        <f t="shared" si="35"/>
        <v>23.304657910083126</v>
      </c>
      <c r="AU31" s="78">
        <f t="shared" si="35"/>
        <v>27.458402529363724</v>
      </c>
      <c r="AV31" s="78">
        <f t="shared" si="35"/>
        <v>31.97499957899862</v>
      </c>
      <c r="AW31" s="78">
        <f t="shared" si="35"/>
        <v>36.504213089330896</v>
      </c>
      <c r="AX31" s="78"/>
      <c r="AY31" s="78"/>
    </row>
    <row r="32" spans="1:51" ht="17.25">
      <c r="A32" s="1">
        <f t="shared" si="5"/>
        <v>24</v>
      </c>
      <c r="B32" s="48" t="s">
        <v>266</v>
      </c>
      <c r="C32" s="201"/>
      <c r="D32" s="183"/>
      <c r="E32" s="183"/>
      <c r="F32" s="183"/>
      <c r="G32" s="183"/>
      <c r="H32" s="183"/>
      <c r="I32" s="183"/>
      <c r="J32" s="183"/>
      <c r="K32" s="808">
        <f>2.59414684+0.73314668+0.51040079</f>
        <v>3.8376943099999998</v>
      </c>
      <c r="L32" s="794"/>
      <c r="M32" s="804">
        <f>-MIN(0,(-K32+M7+K27-M20))</f>
        <v>3.5871524693265888</v>
      </c>
      <c r="N32" s="804">
        <f>-MIN(0,(-M32+N7+M27-N20))</f>
        <v>3.3613767669354035</v>
      </c>
      <c r="O32" s="804">
        <f t="shared" ref="O32:T32" si="36">-MIN(0,(-N32+O7+N27-O20))</f>
        <v>3.1514191057140013</v>
      </c>
      <c r="P32" s="804">
        <f t="shared" si="36"/>
        <v>2.9699736710828164</v>
      </c>
      <c r="Q32" s="804">
        <f t="shared" si="36"/>
        <v>2.7766893306948019</v>
      </c>
      <c r="R32" s="804">
        <f t="shared" si="36"/>
        <v>2.5472274099522942</v>
      </c>
      <c r="S32" s="804">
        <f t="shared" si="36"/>
        <v>2.2969860813525322</v>
      </c>
      <c r="T32" s="804">
        <f t="shared" si="36"/>
        <v>2.0379260419881104</v>
      </c>
      <c r="U32" s="804">
        <f>-MIN(0,(-T32+U7+T27-U20))</f>
        <v>1.9528822258893612</v>
      </c>
      <c r="V32" s="804">
        <f>-MIN(0,(-U32+V7+U27-V20))</f>
        <v>1.8719995899135498</v>
      </c>
      <c r="W32" s="804">
        <f>-MIN(0,(-V32+W7+V27-W20))</f>
        <v>1.7869199497993007</v>
      </c>
      <c r="X32" s="804">
        <f>-MIN(0,(-W32+X7+W27-X20))</f>
        <v>1.7011042988784613</v>
      </c>
      <c r="Y32" s="794"/>
      <c r="Z32" s="804">
        <f>-MIN(0,(-X32+Z7+X27-Z20))</f>
        <v>1.6107203463016737</v>
      </c>
      <c r="AA32" s="804">
        <f>-MIN(0,(-Z32+AA7+Z27-AA20))</f>
        <v>1.5149179597629687</v>
      </c>
      <c r="AB32" s="804">
        <f t="shared" ref="AB32:AK32" si="37">-MIN(0,(-AA32+AB7+AA27-AB20))</f>
        <v>1.4270059798271433</v>
      </c>
      <c r="AC32" s="804">
        <f t="shared" si="37"/>
        <v>1.340709071077439</v>
      </c>
      <c r="AD32" s="804">
        <f t="shared" si="37"/>
        <v>1.2546935609020884</v>
      </c>
      <c r="AE32" s="804">
        <f t="shared" si="37"/>
        <v>1.1630973045280224</v>
      </c>
      <c r="AF32" s="804">
        <f t="shared" si="37"/>
        <v>1.0727530977562718</v>
      </c>
      <c r="AG32" s="804">
        <f t="shared" si="37"/>
        <v>0.9826291835990324</v>
      </c>
      <c r="AH32" s="804">
        <f>-MIN(0,(-AG32+AH7+AG27-AH20))</f>
        <v>0.9877765064713907</v>
      </c>
      <c r="AI32" s="804">
        <f t="shared" si="37"/>
        <v>0.98881333313800557</v>
      </c>
      <c r="AJ32" s="804">
        <f t="shared" si="37"/>
        <v>0.99409820381197667</v>
      </c>
      <c r="AK32" s="804">
        <f t="shared" si="37"/>
        <v>1.0237268263842214</v>
      </c>
      <c r="AL32" s="794"/>
      <c r="AM32" s="796">
        <f>-MIN(0,(-AK32+AM7+AK27-AM20))</f>
        <v>0</v>
      </c>
      <c r="AN32" s="797">
        <f>-MIN(0,(-AM32+AN7+AM27-AN20))</f>
        <v>0</v>
      </c>
      <c r="AO32" s="797">
        <f>-MIN(0,(-AN32+AO7+AN27-AO20))</f>
        <v>0</v>
      </c>
      <c r="AP32" s="797">
        <f t="shared" ref="AP32:AW32" si="38">-MIN(0,(-AO32+AP7+AO27-AP20))</f>
        <v>0</v>
      </c>
      <c r="AQ32" s="797">
        <f t="shared" si="38"/>
        <v>0</v>
      </c>
      <c r="AR32" s="797">
        <f t="shared" si="38"/>
        <v>0</v>
      </c>
      <c r="AS32" s="797">
        <f t="shared" si="38"/>
        <v>0</v>
      </c>
      <c r="AT32" s="797">
        <f t="shared" si="38"/>
        <v>0</v>
      </c>
      <c r="AU32" s="797">
        <f t="shared" si="38"/>
        <v>0</v>
      </c>
      <c r="AV32" s="797">
        <f t="shared" si="38"/>
        <v>0</v>
      </c>
      <c r="AW32" s="797">
        <f t="shared" si="38"/>
        <v>0</v>
      </c>
      <c r="AX32" s="797"/>
      <c r="AY32" s="797"/>
    </row>
    <row r="33" spans="1:52">
      <c r="A33" s="1">
        <f t="shared" si="5"/>
        <v>25</v>
      </c>
      <c r="B33" s="48" t="s">
        <v>131</v>
      </c>
      <c r="C33" s="201"/>
      <c r="D33" s="258"/>
      <c r="E33" s="258"/>
      <c r="F33" s="258"/>
      <c r="G33" s="258"/>
      <c r="H33" s="258"/>
      <c r="I33" s="258"/>
      <c r="J33" s="258"/>
      <c r="K33" s="802">
        <f>+K31+K32</f>
        <v>0</v>
      </c>
      <c r="L33" s="803"/>
      <c r="M33" s="586">
        <f t="shared" ref="M33:W33" si="39">+M31+M32</f>
        <v>-0.44471642457379978</v>
      </c>
      <c r="N33" s="586">
        <f t="shared" si="39"/>
        <v>-0.82784136327299995</v>
      </c>
      <c r="O33" s="586">
        <f t="shared" si="39"/>
        <v>-1.1915921138893997</v>
      </c>
      <c r="P33" s="586">
        <f t="shared" si="39"/>
        <v>-1.4970521462453998</v>
      </c>
      <c r="Q33" s="586">
        <f t="shared" si="39"/>
        <v>-1.8284389218118</v>
      </c>
      <c r="R33" s="586">
        <f t="shared" si="39"/>
        <v>-2.2268868743638</v>
      </c>
      <c r="S33" s="586">
        <f t="shared" si="39"/>
        <v>-2.6695532516261995</v>
      </c>
      <c r="T33" s="586">
        <f>+T31+T32</f>
        <v>-3.0988234063085995</v>
      </c>
      <c r="U33" s="586">
        <f t="shared" si="39"/>
        <v>-3.2740005945818886</v>
      </c>
      <c r="V33" s="586">
        <f t="shared" si="39"/>
        <v>-3.4335173943486801</v>
      </c>
      <c r="W33" s="586">
        <f t="shared" si="39"/>
        <v>-3.6090280790359142</v>
      </c>
      <c r="X33" s="586">
        <f>+X31+X32</f>
        <v>-3.8313646474775895</v>
      </c>
      <c r="Y33" s="211"/>
      <c r="Z33" s="586">
        <f>+Z31+Z32</f>
        <v>-4.059088007467782</v>
      </c>
      <c r="AA33" s="586">
        <f t="shared" ref="AA33:AK33" si="40">+AA31+AA32</f>
        <v>-4.2548020812111282</v>
      </c>
      <c r="AB33" s="586">
        <f t="shared" si="40"/>
        <v>-4.4405179007176354</v>
      </c>
      <c r="AC33" s="586">
        <f t="shared" si="40"/>
        <v>-4.5963691808559002</v>
      </c>
      <c r="AD33" s="586">
        <f t="shared" si="40"/>
        <v>-4.7655055432372606</v>
      </c>
      <c r="AE33" s="586">
        <f t="shared" si="40"/>
        <v>-4.9690732938284086</v>
      </c>
      <c r="AF33" s="586">
        <f t="shared" si="40"/>
        <v>-5.1952573014770902</v>
      </c>
      <c r="AG33" s="586">
        <f t="shared" si="40"/>
        <v>-5.4145795575695939</v>
      </c>
      <c r="AH33" s="586">
        <f t="shared" si="40"/>
        <v>-5.4973204263209832</v>
      </c>
      <c r="AI33" s="586">
        <f t="shared" si="40"/>
        <v>-5.5726163002188649</v>
      </c>
      <c r="AJ33" s="586">
        <f t="shared" si="40"/>
        <v>-5.6555106809304014</v>
      </c>
      <c r="AK33" s="586">
        <f t="shared" si="40"/>
        <v>-5.7606108940359224</v>
      </c>
      <c r="AL33" s="211"/>
      <c r="AM33" s="78">
        <f>AM31+AM32</f>
        <v>-3.3159928356376351</v>
      </c>
      <c r="AN33" s="780">
        <f t="shared" ref="AN33:AW33" si="41">AN31+AN32</f>
        <v>0.14492610850408205</v>
      </c>
      <c r="AO33" s="78">
        <f t="shared" si="41"/>
        <v>3.6149047685899269</v>
      </c>
      <c r="AP33" s="78">
        <f t="shared" si="41"/>
        <v>7.4127535558981261</v>
      </c>
      <c r="AQ33" s="78">
        <f t="shared" si="41"/>
        <v>11.211801381592744</v>
      </c>
      <c r="AR33" s="78">
        <f t="shared" si="41"/>
        <v>15.003186654237275</v>
      </c>
      <c r="AS33" s="78">
        <f t="shared" si="41"/>
        <v>19.152811284344516</v>
      </c>
      <c r="AT33" s="78">
        <f t="shared" si="41"/>
        <v>23.304657910083126</v>
      </c>
      <c r="AU33" s="78">
        <f t="shared" si="41"/>
        <v>27.458402529363724</v>
      </c>
      <c r="AV33" s="78">
        <f t="shared" si="41"/>
        <v>31.97499957899862</v>
      </c>
      <c r="AW33" s="78">
        <f t="shared" si="41"/>
        <v>36.504213089330896</v>
      </c>
      <c r="AX33" s="78"/>
      <c r="AY33" s="78"/>
    </row>
    <row r="34" spans="1:52">
      <c r="A34" s="1">
        <f t="shared" si="5"/>
        <v>26</v>
      </c>
      <c r="B34" s="48"/>
      <c r="C34" s="201"/>
      <c r="D34" s="48"/>
      <c r="E34" s="48"/>
      <c r="F34" s="48"/>
      <c r="G34" s="48"/>
      <c r="H34" s="48"/>
      <c r="I34" s="48"/>
      <c r="J34" s="48"/>
      <c r="K34" s="802"/>
      <c r="L34" s="803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211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211"/>
      <c r="AM34" s="78"/>
      <c r="AN34" s="780"/>
      <c r="AO34" s="780"/>
      <c r="AP34" s="78"/>
      <c r="AQ34" s="78"/>
      <c r="AR34" s="78"/>
      <c r="AS34" s="78"/>
      <c r="AT34" s="78"/>
      <c r="AU34" s="78"/>
      <c r="AV34" s="78"/>
      <c r="AW34" s="78"/>
      <c r="AX34" s="78"/>
      <c r="AY34" s="78"/>
    </row>
    <row r="35" spans="1:52">
      <c r="A35" s="1">
        <f t="shared" si="5"/>
        <v>27</v>
      </c>
      <c r="B35" s="500" t="s">
        <v>935</v>
      </c>
      <c r="K35" s="78"/>
      <c r="L35" s="211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211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211"/>
      <c r="AM35" s="78"/>
      <c r="AN35" s="780"/>
      <c r="AO35" s="780"/>
      <c r="AP35" s="780"/>
      <c r="AQ35" s="78"/>
      <c r="AR35" s="78"/>
      <c r="AS35" s="78"/>
      <c r="AT35" s="78"/>
      <c r="AU35" s="78"/>
      <c r="AV35" s="78"/>
      <c r="AW35" s="78"/>
      <c r="AX35" s="78"/>
      <c r="AY35" s="78"/>
    </row>
    <row r="36" spans="1:52">
      <c r="A36" s="1">
        <f t="shared" si="5"/>
        <v>28</v>
      </c>
      <c r="B36" s="501" t="s">
        <v>937</v>
      </c>
      <c r="K36" s="78"/>
      <c r="L36" s="211"/>
      <c r="M36" s="74"/>
      <c r="N36" s="74"/>
      <c r="O36" s="74"/>
      <c r="P36" s="726"/>
      <c r="Q36" s="726"/>
      <c r="R36" s="726"/>
      <c r="S36" s="726"/>
      <c r="T36" s="726"/>
      <c r="U36" s="726"/>
      <c r="V36" s="726"/>
      <c r="W36" s="74"/>
      <c r="X36" s="74"/>
      <c r="Y36" s="211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211"/>
      <c r="AM36" s="78"/>
      <c r="AN36" s="780"/>
      <c r="AO36" s="780"/>
      <c r="AP36" s="780"/>
      <c r="AQ36" s="78"/>
      <c r="AR36" s="78"/>
      <c r="AS36" s="78"/>
      <c r="AT36" s="78"/>
      <c r="AU36" s="78"/>
      <c r="AV36" s="78"/>
      <c r="AW36" s="78"/>
      <c r="AX36" s="78"/>
      <c r="AY36" s="78"/>
    </row>
    <row r="37" spans="1:52">
      <c r="A37" s="1">
        <f t="shared" si="5"/>
        <v>29</v>
      </c>
      <c r="B37" s="48" t="s">
        <v>393</v>
      </c>
      <c r="K37" s="78"/>
      <c r="L37" s="211"/>
      <c r="M37" s="575">
        <f>$K$38/33</f>
        <v>2.1335972121212122E-2</v>
      </c>
      <c r="N37" s="575">
        <f t="shared" ref="N37:X37" si="42">$K$38/33</f>
        <v>2.1335972121212122E-2</v>
      </c>
      <c r="O37" s="575">
        <f t="shared" si="42"/>
        <v>2.1335972121212122E-2</v>
      </c>
      <c r="P37" s="575">
        <f t="shared" si="42"/>
        <v>2.1335972121212122E-2</v>
      </c>
      <c r="Q37" s="575">
        <f t="shared" si="42"/>
        <v>2.1335972121212122E-2</v>
      </c>
      <c r="R37" s="575">
        <f t="shared" si="42"/>
        <v>2.1335972121212122E-2</v>
      </c>
      <c r="S37" s="575">
        <f t="shared" si="42"/>
        <v>2.1335972121212122E-2</v>
      </c>
      <c r="T37" s="575">
        <f t="shared" si="42"/>
        <v>2.1335972121212122E-2</v>
      </c>
      <c r="U37" s="575">
        <f t="shared" si="42"/>
        <v>2.1335972121212122E-2</v>
      </c>
      <c r="V37" s="575">
        <f t="shared" si="42"/>
        <v>2.1335972121212122E-2</v>
      </c>
      <c r="W37" s="575">
        <f t="shared" si="42"/>
        <v>2.1335972121212122E-2</v>
      </c>
      <c r="X37" s="575">
        <f t="shared" si="42"/>
        <v>2.1335972121212122E-2</v>
      </c>
      <c r="Y37" s="809">
        <f>SUM(M37:X37)</f>
        <v>0.25603166545454553</v>
      </c>
      <c r="Z37" s="575">
        <f>$K$38/33</f>
        <v>2.1335972121212122E-2</v>
      </c>
      <c r="AA37" s="575">
        <f t="shared" ref="AA37:AK37" si="43">$K$38/33</f>
        <v>2.1335972121212122E-2</v>
      </c>
      <c r="AB37" s="575">
        <f t="shared" si="43"/>
        <v>2.1335972121212122E-2</v>
      </c>
      <c r="AC37" s="575">
        <f t="shared" si="43"/>
        <v>2.1335972121212122E-2</v>
      </c>
      <c r="AD37" s="575">
        <f t="shared" si="43"/>
        <v>2.1335972121212122E-2</v>
      </c>
      <c r="AE37" s="575">
        <f t="shared" si="43"/>
        <v>2.1335972121212122E-2</v>
      </c>
      <c r="AF37" s="575">
        <f t="shared" si="43"/>
        <v>2.1335972121212122E-2</v>
      </c>
      <c r="AG37" s="575">
        <f t="shared" si="43"/>
        <v>2.1335972121212122E-2</v>
      </c>
      <c r="AH37" s="575">
        <f t="shared" si="43"/>
        <v>2.1335972121212122E-2</v>
      </c>
      <c r="AI37" s="575">
        <f t="shared" si="43"/>
        <v>2.1335972121212122E-2</v>
      </c>
      <c r="AJ37" s="575">
        <f t="shared" si="43"/>
        <v>2.1335972121212122E-2</v>
      </c>
      <c r="AK37" s="575">
        <f t="shared" si="43"/>
        <v>2.1335972121212122E-2</v>
      </c>
      <c r="AL37" s="809">
        <f>SUM(Z37:AK37)</f>
        <v>0.25603166545454553</v>
      </c>
      <c r="AM37" s="499">
        <f>K38/33*9</f>
        <v>0.19202374909090911</v>
      </c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  <c r="AY37" s="499"/>
    </row>
    <row r="38" spans="1:52">
      <c r="A38" s="1">
        <f t="shared" si="5"/>
        <v>30</v>
      </c>
      <c r="B38" s="48" t="s">
        <v>368</v>
      </c>
      <c r="K38" s="823">
        <v>0.70408707999999998</v>
      </c>
      <c r="L38" s="211"/>
      <c r="M38" s="74">
        <f>K38-M37-M36</f>
        <v>0.6827511078787879</v>
      </c>
      <c r="N38" s="74">
        <f>M38-N37-N36</f>
        <v>0.66141513575757582</v>
      </c>
      <c r="O38" s="74">
        <f t="shared" ref="O38:X38" si="44">N38-O37-O36</f>
        <v>0.64007916363636375</v>
      </c>
      <c r="P38" s="74">
        <f t="shared" si="44"/>
        <v>0.61874319151515167</v>
      </c>
      <c r="Q38" s="74">
        <f t="shared" si="44"/>
        <v>0.59740721939393959</v>
      </c>
      <c r="R38" s="74">
        <f t="shared" si="44"/>
        <v>0.57607124727272752</v>
      </c>
      <c r="S38" s="74">
        <f t="shared" si="44"/>
        <v>0.55473527515151544</v>
      </c>
      <c r="T38" s="74">
        <f t="shared" si="44"/>
        <v>0.53339930303030336</v>
      </c>
      <c r="U38" s="74">
        <f t="shared" si="44"/>
        <v>0.51206333090909129</v>
      </c>
      <c r="V38" s="74">
        <f t="shared" si="44"/>
        <v>0.49072735878787915</v>
      </c>
      <c r="W38" s="74">
        <f t="shared" si="44"/>
        <v>0.46939138666666702</v>
      </c>
      <c r="X38" s="74">
        <f t="shared" si="44"/>
        <v>0.44805541454545489</v>
      </c>
      <c r="Y38" s="211"/>
      <c r="Z38" s="74">
        <f>X38-Z37-Z36</f>
        <v>0.42671944242424276</v>
      </c>
      <c r="AA38" s="74">
        <f t="shared" ref="AA38:AK38" si="45">Z38-AA37-AA36</f>
        <v>0.40538347030303062</v>
      </c>
      <c r="AB38" s="74">
        <f t="shared" si="45"/>
        <v>0.38404749818181849</v>
      </c>
      <c r="AC38" s="74">
        <f t="shared" si="45"/>
        <v>0.36271152606060636</v>
      </c>
      <c r="AD38" s="74">
        <f t="shared" si="45"/>
        <v>0.34137555393939423</v>
      </c>
      <c r="AE38" s="74">
        <f t="shared" si="45"/>
        <v>0.3200395818181821</v>
      </c>
      <c r="AF38" s="74">
        <f t="shared" si="45"/>
        <v>0.29870360969696996</v>
      </c>
      <c r="AG38" s="74">
        <f t="shared" si="45"/>
        <v>0.27736763757575783</v>
      </c>
      <c r="AH38" s="74">
        <f t="shared" si="45"/>
        <v>0.2560316654545457</v>
      </c>
      <c r="AI38" s="74">
        <f t="shared" si="45"/>
        <v>0.23469569333333357</v>
      </c>
      <c r="AJ38" s="74">
        <f t="shared" si="45"/>
        <v>0.21335972121212143</v>
      </c>
      <c r="AK38" s="74">
        <f t="shared" si="45"/>
        <v>0.1920237490909093</v>
      </c>
      <c r="AL38" s="211"/>
      <c r="AM38" s="74">
        <f>AK38-AM37-AM36</f>
        <v>1.9428902930940239E-16</v>
      </c>
      <c r="AN38" s="74">
        <f>AM38-AN37-AN36</f>
        <v>1.9428902930940239E-16</v>
      </c>
      <c r="AO38" s="74">
        <f t="shared" ref="AO38:AW38" si="46">AN38-AO37-AO36</f>
        <v>1.9428902930940239E-16</v>
      </c>
      <c r="AP38" s="74">
        <f t="shared" si="46"/>
        <v>1.9428902930940239E-16</v>
      </c>
      <c r="AQ38" s="74">
        <f t="shared" si="46"/>
        <v>1.9428902930940239E-16</v>
      </c>
      <c r="AR38" s="74">
        <f t="shared" si="46"/>
        <v>1.9428902930940239E-16</v>
      </c>
      <c r="AS38" s="74">
        <f t="shared" si="46"/>
        <v>1.9428902930940239E-16</v>
      </c>
      <c r="AT38" s="74">
        <f t="shared" si="46"/>
        <v>1.9428902930940239E-16</v>
      </c>
      <c r="AU38" s="74">
        <f t="shared" si="46"/>
        <v>1.9428902930940239E-16</v>
      </c>
      <c r="AV38" s="74">
        <f t="shared" si="46"/>
        <v>1.9428902930940239E-16</v>
      </c>
      <c r="AW38" s="74">
        <f t="shared" si="46"/>
        <v>1.9428902930940239E-16</v>
      </c>
      <c r="AX38" s="74"/>
      <c r="AY38" s="74"/>
      <c r="AZ38" s="232"/>
    </row>
    <row r="39" spans="1:52">
      <c r="A39" s="1">
        <f t="shared" si="5"/>
        <v>31</v>
      </c>
      <c r="B39" s="48"/>
      <c r="K39" s="78"/>
      <c r="L39" s="211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211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211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</row>
    <row r="40" spans="1:52">
      <c r="A40" s="1">
        <f t="shared" si="5"/>
        <v>32</v>
      </c>
      <c r="B40" s="500" t="s">
        <v>1008</v>
      </c>
      <c r="K40" s="78"/>
      <c r="L40" s="211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211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211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</row>
    <row r="41" spans="1:52" s="569" customFormat="1">
      <c r="A41" s="1">
        <f t="shared" si="5"/>
        <v>33</v>
      </c>
      <c r="B41" s="501" t="s">
        <v>1009</v>
      </c>
      <c r="C41" s="165"/>
      <c r="K41" s="823"/>
      <c r="L41" s="211"/>
      <c r="M41" s="822">
        <f>-0.122691-0.14538688</f>
        <v>-0.26807787999999999</v>
      </c>
      <c r="N41" s="822">
        <v>-0.17857400000000001</v>
      </c>
      <c r="O41" s="822">
        <v>-0.121555</v>
      </c>
      <c r="P41" s="822">
        <v>-0.15382000000000001</v>
      </c>
      <c r="Q41" s="822">
        <v>-0.18356</v>
      </c>
      <c r="R41" s="822">
        <v>-0.30271100000000001</v>
      </c>
      <c r="S41" s="822">
        <v>-7.7429999999999999E-2</v>
      </c>
      <c r="T41" s="822">
        <v>-7.4190000000000002E-3</v>
      </c>
      <c r="U41" s="726"/>
      <c r="V41" s="726"/>
      <c r="W41" s="74"/>
      <c r="X41" s="74"/>
      <c r="Y41" s="211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211"/>
      <c r="AM41" s="78"/>
      <c r="AN41" s="780"/>
      <c r="AO41" s="780"/>
      <c r="AP41" s="780"/>
      <c r="AQ41" s="78"/>
      <c r="AR41" s="78"/>
      <c r="AS41" s="78"/>
      <c r="AT41" s="78"/>
      <c r="AU41" s="78"/>
      <c r="AV41" s="78"/>
      <c r="AW41" s="78"/>
      <c r="AX41" s="78"/>
      <c r="AY41" s="78"/>
    </row>
    <row r="42" spans="1:52" s="569" customFormat="1">
      <c r="A42" s="1">
        <f t="shared" si="5"/>
        <v>34</v>
      </c>
      <c r="B42" s="48" t="s">
        <v>393</v>
      </c>
      <c r="C42" s="165"/>
      <c r="K42" s="78"/>
      <c r="L42" s="211"/>
      <c r="M42" s="575"/>
      <c r="N42" s="575"/>
      <c r="O42" s="575"/>
      <c r="P42" s="575"/>
      <c r="Q42" s="575"/>
      <c r="R42" s="575"/>
      <c r="S42" s="575"/>
      <c r="T42" s="575"/>
      <c r="U42" s="575">
        <f>$T$43/36</f>
        <v>4.4054916666666659E-2</v>
      </c>
      <c r="V42" s="575">
        <f t="shared" ref="V42:AK42" si="47">$T$43/36</f>
        <v>4.4054916666666659E-2</v>
      </c>
      <c r="W42" s="575">
        <f t="shared" si="47"/>
        <v>4.4054916666666659E-2</v>
      </c>
      <c r="X42" s="575">
        <f t="shared" si="47"/>
        <v>4.4054916666666659E-2</v>
      </c>
      <c r="Y42" s="809">
        <f>SUM(M42:X42)</f>
        <v>0.17621966666666664</v>
      </c>
      <c r="Z42" s="575">
        <f t="shared" si="47"/>
        <v>4.4054916666666659E-2</v>
      </c>
      <c r="AA42" s="575">
        <f t="shared" si="47"/>
        <v>4.4054916666666659E-2</v>
      </c>
      <c r="AB42" s="575">
        <f t="shared" si="47"/>
        <v>4.4054916666666659E-2</v>
      </c>
      <c r="AC42" s="575">
        <f t="shared" si="47"/>
        <v>4.4054916666666659E-2</v>
      </c>
      <c r="AD42" s="575">
        <f t="shared" si="47"/>
        <v>4.4054916666666659E-2</v>
      </c>
      <c r="AE42" s="575">
        <f t="shared" si="47"/>
        <v>4.4054916666666659E-2</v>
      </c>
      <c r="AF42" s="575">
        <f t="shared" si="47"/>
        <v>4.4054916666666659E-2</v>
      </c>
      <c r="AG42" s="575">
        <f t="shared" si="47"/>
        <v>4.4054916666666659E-2</v>
      </c>
      <c r="AH42" s="575">
        <f t="shared" si="47"/>
        <v>4.4054916666666659E-2</v>
      </c>
      <c r="AI42" s="575">
        <f t="shared" si="47"/>
        <v>4.4054916666666659E-2</v>
      </c>
      <c r="AJ42" s="575">
        <f t="shared" si="47"/>
        <v>4.4054916666666659E-2</v>
      </c>
      <c r="AK42" s="575">
        <f t="shared" si="47"/>
        <v>4.4054916666666659E-2</v>
      </c>
      <c r="AL42" s="809">
        <f>SUM(Z42:AK42)</f>
        <v>0.52865899999999988</v>
      </c>
      <c r="AM42" s="575">
        <f>$T$43/3</f>
        <v>0.52865899999999988</v>
      </c>
      <c r="AN42" s="575">
        <f>$T$43/36*8</f>
        <v>0.35243933333333327</v>
      </c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</row>
    <row r="43" spans="1:52" s="569" customFormat="1">
      <c r="A43" s="1">
        <f t="shared" si="5"/>
        <v>35</v>
      </c>
      <c r="B43" s="48" t="s">
        <v>368</v>
      </c>
      <c r="C43" s="165"/>
      <c r="K43" s="823">
        <f>0.438217-0.14538688</f>
        <v>0.29283012000000003</v>
      </c>
      <c r="L43" s="211"/>
      <c r="M43" s="74">
        <f>K43-M42-M41</f>
        <v>0.56090799999999996</v>
      </c>
      <c r="N43" s="74">
        <f>M43-N42-N41</f>
        <v>0.73948199999999997</v>
      </c>
      <c r="O43" s="74">
        <f t="shared" ref="O43" si="48">N43-O42-O41</f>
        <v>0.86103699999999994</v>
      </c>
      <c r="P43" s="74">
        <f t="shared" ref="P43" si="49">O43-P42-P41</f>
        <v>1.0148569999999999</v>
      </c>
      <c r="Q43" s="74">
        <f t="shared" ref="Q43" si="50">P43-Q42-Q41</f>
        <v>1.1984169999999998</v>
      </c>
      <c r="R43" s="74">
        <f t="shared" ref="R43" si="51">Q43-R42-R41</f>
        <v>1.5011279999999998</v>
      </c>
      <c r="S43" s="74">
        <f t="shared" ref="S43" si="52">R43-S42-S41</f>
        <v>1.5785579999999997</v>
      </c>
      <c r="T43" s="74">
        <f t="shared" ref="T43" si="53">S43-T42-T41</f>
        <v>1.5859769999999997</v>
      </c>
      <c r="U43" s="74">
        <f t="shared" ref="U43" si="54">T43-U42-U41</f>
        <v>1.5419220833333331</v>
      </c>
      <c r="V43" s="74">
        <f t="shared" ref="V43" si="55">U43-V42-V41</f>
        <v>1.4978671666666665</v>
      </c>
      <c r="W43" s="74">
        <f t="shared" ref="W43" si="56">V43-W42-W41</f>
        <v>1.4538122499999999</v>
      </c>
      <c r="X43" s="74">
        <f t="shared" ref="X43" si="57">W43-X42-X41</f>
        <v>1.4097573333333333</v>
      </c>
      <c r="Y43" s="211"/>
      <c r="Z43" s="74">
        <f>X43-Z42-Z41</f>
        <v>1.3657024166666667</v>
      </c>
      <c r="AA43" s="74">
        <f t="shared" ref="AA43" si="58">Z43-AA42-AA41</f>
        <v>1.3216475000000001</v>
      </c>
      <c r="AB43" s="74">
        <f t="shared" ref="AB43" si="59">AA43-AB42-AB41</f>
        <v>1.2775925833333335</v>
      </c>
      <c r="AC43" s="74">
        <f t="shared" ref="AC43" si="60">AB43-AC42-AC41</f>
        <v>1.2335376666666669</v>
      </c>
      <c r="AD43" s="74">
        <f t="shared" ref="AD43" si="61">AC43-AD42-AD41</f>
        <v>1.1894827500000003</v>
      </c>
      <c r="AE43" s="74">
        <f t="shared" ref="AE43" si="62">AD43-AE42-AE41</f>
        <v>1.1454278333333336</v>
      </c>
      <c r="AF43" s="74">
        <f t="shared" ref="AF43" si="63">AE43-AF42-AF41</f>
        <v>1.101372916666667</v>
      </c>
      <c r="AG43" s="74">
        <f t="shared" ref="AG43" si="64">AF43-AG42-AG41</f>
        <v>1.0573180000000004</v>
      </c>
      <c r="AH43" s="74">
        <f t="shared" ref="AH43" si="65">AG43-AH42-AH41</f>
        <v>1.0132630833333338</v>
      </c>
      <c r="AI43" s="74">
        <f t="shared" ref="AI43" si="66">AH43-AI42-AI41</f>
        <v>0.9692081666666672</v>
      </c>
      <c r="AJ43" s="74">
        <f t="shared" ref="AJ43" si="67">AI43-AJ42-AJ41</f>
        <v>0.92515325000000059</v>
      </c>
      <c r="AK43" s="74">
        <f t="shared" ref="AK43" si="68">AJ43-AK42-AK41</f>
        <v>0.88109833333333398</v>
      </c>
      <c r="AL43" s="211"/>
      <c r="AM43" s="74">
        <f>AK43-AM42-AM41</f>
        <v>0.3524393333333341</v>
      </c>
      <c r="AN43" s="74">
        <f>AM43-AN42-AN41</f>
        <v>8.3266726846886741E-16</v>
      </c>
      <c r="AO43" s="74">
        <f t="shared" ref="AO43" si="69">AN43-AO42-AO41</f>
        <v>8.3266726846886741E-16</v>
      </c>
      <c r="AP43" s="74">
        <f t="shared" ref="AP43" si="70">AO43-AP42-AP41</f>
        <v>8.3266726846886741E-16</v>
      </c>
      <c r="AQ43" s="74">
        <f t="shared" ref="AQ43" si="71">AP43-AQ42-AQ41</f>
        <v>8.3266726846886741E-16</v>
      </c>
      <c r="AR43" s="74">
        <f t="shared" ref="AR43" si="72">AQ43-AR42-AR41</f>
        <v>8.3266726846886741E-16</v>
      </c>
      <c r="AS43" s="74">
        <f t="shared" ref="AS43" si="73">AR43-AS42-AS41</f>
        <v>8.3266726846886741E-16</v>
      </c>
      <c r="AT43" s="74">
        <f t="shared" ref="AT43" si="74">AS43-AT42-AT41</f>
        <v>8.3266726846886741E-16</v>
      </c>
      <c r="AU43" s="74">
        <f t="shared" ref="AU43" si="75">AT43-AU42-AU41</f>
        <v>8.3266726846886741E-16</v>
      </c>
      <c r="AV43" s="74">
        <f t="shared" ref="AV43" si="76">AU43-AV42-AV41</f>
        <v>8.3266726846886741E-16</v>
      </c>
      <c r="AW43" s="74">
        <f t="shared" ref="AW43" si="77">AV43-AW42-AW41</f>
        <v>8.3266726846886741E-16</v>
      </c>
      <c r="AX43" s="74"/>
      <c r="AY43" s="74"/>
    </row>
    <row r="44" spans="1:52" s="569" customFormat="1">
      <c r="A44" s="1">
        <f t="shared" si="5"/>
        <v>36</v>
      </c>
      <c r="C44" s="165"/>
      <c r="K44" s="78"/>
      <c r="L44" s="211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211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211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</row>
    <row r="45" spans="1:52" s="569" customFormat="1">
      <c r="A45" s="1">
        <f t="shared" si="5"/>
        <v>37</v>
      </c>
      <c r="B45" s="500" t="s">
        <v>1020</v>
      </c>
      <c r="C45" s="165"/>
      <c r="K45" s="78"/>
      <c r="L45" s="211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211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211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</row>
    <row r="46" spans="1:52" s="569" customFormat="1">
      <c r="A46" s="1">
        <f t="shared" si="5"/>
        <v>38</v>
      </c>
      <c r="B46" s="501" t="s">
        <v>1009</v>
      </c>
      <c r="C46" s="165"/>
      <c r="K46" s="78"/>
      <c r="L46" s="211"/>
      <c r="M46" s="74"/>
      <c r="N46" s="74"/>
      <c r="O46" s="74"/>
      <c r="P46" s="74"/>
      <c r="Q46" s="74"/>
      <c r="R46" s="74"/>
      <c r="S46" s="74"/>
      <c r="T46" s="822">
        <v>-4.5999999999999996</v>
      </c>
      <c r="U46" s="726"/>
      <c r="V46" s="726"/>
      <c r="W46" s="74"/>
      <c r="X46" s="74"/>
      <c r="Y46" s="211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211"/>
      <c r="AM46" s="78"/>
      <c r="AN46" s="780"/>
      <c r="AO46" s="780"/>
      <c r="AP46" s="780"/>
      <c r="AQ46" s="78"/>
      <c r="AR46" s="78"/>
      <c r="AS46" s="78"/>
      <c r="AT46" s="78"/>
      <c r="AU46" s="78"/>
      <c r="AV46" s="78"/>
      <c r="AW46" s="78"/>
      <c r="AX46" s="78"/>
      <c r="AY46" s="78"/>
    </row>
    <row r="47" spans="1:52" s="569" customFormat="1">
      <c r="A47" s="1">
        <f t="shared" si="5"/>
        <v>39</v>
      </c>
      <c r="B47" s="48" t="s">
        <v>393</v>
      </c>
      <c r="C47" s="165"/>
      <c r="K47" s="78"/>
      <c r="L47" s="211"/>
      <c r="M47" s="575"/>
      <c r="N47" s="575"/>
      <c r="O47" s="575"/>
      <c r="P47" s="575"/>
      <c r="Q47" s="575"/>
      <c r="R47" s="575"/>
      <c r="S47" s="575"/>
      <c r="T47" s="575"/>
      <c r="U47" s="575">
        <f>-$T$46/60</f>
        <v>7.6666666666666661E-2</v>
      </c>
      <c r="V47" s="575">
        <f t="shared" ref="V47:AK47" si="78">-$T$46/60</f>
        <v>7.6666666666666661E-2</v>
      </c>
      <c r="W47" s="575">
        <f t="shared" si="78"/>
        <v>7.6666666666666661E-2</v>
      </c>
      <c r="X47" s="575">
        <f t="shared" si="78"/>
        <v>7.6666666666666661E-2</v>
      </c>
      <c r="Y47" s="809">
        <f>SUM(M47:X47)</f>
        <v>0.30666666666666664</v>
      </c>
      <c r="Z47" s="575">
        <f t="shared" si="78"/>
        <v>7.6666666666666661E-2</v>
      </c>
      <c r="AA47" s="575">
        <f t="shared" si="78"/>
        <v>7.6666666666666661E-2</v>
      </c>
      <c r="AB47" s="575">
        <f t="shared" si="78"/>
        <v>7.6666666666666661E-2</v>
      </c>
      <c r="AC47" s="575">
        <f t="shared" si="78"/>
        <v>7.6666666666666661E-2</v>
      </c>
      <c r="AD47" s="575">
        <f t="shared" si="78"/>
        <v>7.6666666666666661E-2</v>
      </c>
      <c r="AE47" s="575">
        <f t="shared" si="78"/>
        <v>7.6666666666666661E-2</v>
      </c>
      <c r="AF47" s="575">
        <f t="shared" si="78"/>
        <v>7.6666666666666661E-2</v>
      </c>
      <c r="AG47" s="575">
        <f t="shared" si="78"/>
        <v>7.6666666666666661E-2</v>
      </c>
      <c r="AH47" s="575">
        <f t="shared" si="78"/>
        <v>7.6666666666666661E-2</v>
      </c>
      <c r="AI47" s="575">
        <f t="shared" si="78"/>
        <v>7.6666666666666661E-2</v>
      </c>
      <c r="AJ47" s="575">
        <f t="shared" si="78"/>
        <v>7.6666666666666661E-2</v>
      </c>
      <c r="AK47" s="575">
        <f t="shared" si="78"/>
        <v>7.6666666666666661E-2</v>
      </c>
      <c r="AL47" s="809">
        <f>SUM(Z47:AK47)</f>
        <v>0.91999999999999993</v>
      </c>
      <c r="AM47" s="575">
        <f>-$T$46/60*12</f>
        <v>0.91999999999999993</v>
      </c>
      <c r="AN47" s="575">
        <f t="shared" ref="AN47:AO47" si="79">-$T$46/60*12</f>
        <v>0.91999999999999993</v>
      </c>
      <c r="AO47" s="575">
        <f t="shared" si="79"/>
        <v>0.91999999999999993</v>
      </c>
      <c r="AP47" s="575">
        <f>-$T$46/60*8</f>
        <v>0.61333333333333329</v>
      </c>
      <c r="AQ47" s="499"/>
      <c r="AR47" s="499"/>
      <c r="AS47" s="499"/>
      <c r="AT47" s="499"/>
      <c r="AU47" s="499"/>
      <c r="AV47" s="499"/>
      <c r="AW47" s="499"/>
      <c r="AX47" s="499"/>
      <c r="AY47" s="499"/>
    </row>
    <row r="48" spans="1:52" s="569" customFormat="1">
      <c r="A48" s="1">
        <f t="shared" si="5"/>
        <v>40</v>
      </c>
      <c r="B48" s="48" t="s">
        <v>368</v>
      </c>
      <c r="C48" s="165"/>
      <c r="K48" s="78"/>
      <c r="L48" s="211"/>
      <c r="M48" s="74">
        <f>K48-M47-M46</f>
        <v>0</v>
      </c>
      <c r="N48" s="74">
        <f>M48-N47-N46</f>
        <v>0</v>
      </c>
      <c r="O48" s="74">
        <f t="shared" ref="O48" si="80">N48-O47-O46</f>
        <v>0</v>
      </c>
      <c r="P48" s="74">
        <f t="shared" ref="P48" si="81">O48-P47-P46</f>
        <v>0</v>
      </c>
      <c r="Q48" s="74">
        <f t="shared" ref="Q48" si="82">P48-Q47-Q46</f>
        <v>0</v>
      </c>
      <c r="R48" s="74">
        <f t="shared" ref="R48" si="83">Q48-R47-R46</f>
        <v>0</v>
      </c>
      <c r="S48" s="74">
        <f t="shared" ref="S48" si="84">R48-S47-S46</f>
        <v>0</v>
      </c>
      <c r="T48" s="74">
        <f t="shared" ref="T48" si="85">S48-T47-T46</f>
        <v>4.5999999999999996</v>
      </c>
      <c r="U48" s="74">
        <f t="shared" ref="U48" si="86">T48-U47-U46</f>
        <v>4.5233333333333334</v>
      </c>
      <c r="V48" s="74">
        <f t="shared" ref="V48" si="87">U48-V47-V46</f>
        <v>4.4466666666666672</v>
      </c>
      <c r="W48" s="74">
        <f t="shared" ref="W48" si="88">V48-W47-W46</f>
        <v>4.370000000000001</v>
      </c>
      <c r="X48" s="74">
        <f t="shared" ref="X48" si="89">W48-X47-X46</f>
        <v>4.2933333333333348</v>
      </c>
      <c r="Y48" s="211"/>
      <c r="Z48" s="74">
        <f>X48-Z47-Z46</f>
        <v>4.2166666666666686</v>
      </c>
      <c r="AA48" s="74">
        <f t="shared" ref="AA48" si="90">Z48-AA47-AA46</f>
        <v>4.1400000000000023</v>
      </c>
      <c r="AB48" s="74">
        <f t="shared" ref="AB48" si="91">AA48-AB47-AB46</f>
        <v>4.0633333333333361</v>
      </c>
      <c r="AC48" s="74">
        <f t="shared" ref="AC48" si="92">AB48-AC47-AC46</f>
        <v>3.9866666666666695</v>
      </c>
      <c r="AD48" s="74">
        <f t="shared" ref="AD48" si="93">AC48-AD47-AD46</f>
        <v>3.9100000000000028</v>
      </c>
      <c r="AE48" s="74">
        <f t="shared" ref="AE48" si="94">AD48-AE47-AE46</f>
        <v>3.8333333333333361</v>
      </c>
      <c r="AF48" s="74">
        <f t="shared" ref="AF48" si="95">AE48-AF47-AF46</f>
        <v>3.7566666666666695</v>
      </c>
      <c r="AG48" s="74">
        <f t="shared" ref="AG48" si="96">AF48-AG47-AG46</f>
        <v>3.6800000000000028</v>
      </c>
      <c r="AH48" s="74">
        <f t="shared" ref="AH48" si="97">AG48-AH47-AH46</f>
        <v>3.6033333333333362</v>
      </c>
      <c r="AI48" s="74">
        <f t="shared" ref="AI48" si="98">AH48-AI47-AI46</f>
        <v>3.5266666666666695</v>
      </c>
      <c r="AJ48" s="74">
        <f t="shared" ref="AJ48" si="99">AI48-AJ47-AJ46</f>
        <v>3.4500000000000028</v>
      </c>
      <c r="AK48" s="74">
        <f t="shared" ref="AK48" si="100">AJ48-AK47-AK46</f>
        <v>3.3733333333333362</v>
      </c>
      <c r="AL48" s="211"/>
      <c r="AM48" s="74">
        <f>AK48-AM47-AM46</f>
        <v>2.4533333333333363</v>
      </c>
      <c r="AN48" s="74">
        <f>AM48-AN47-AN46</f>
        <v>1.5333333333333363</v>
      </c>
      <c r="AO48" s="74">
        <f t="shared" ref="AO48" si="101">AN48-AO47-AO46</f>
        <v>0.61333333333333639</v>
      </c>
      <c r="AP48" s="74">
        <f t="shared" ref="AP48" si="102">AO48-AP47-AP46</f>
        <v>3.1086244689504383E-15</v>
      </c>
      <c r="AQ48" s="74">
        <f t="shared" ref="AQ48" si="103">AP48-AQ47-AQ46</f>
        <v>3.1086244689504383E-15</v>
      </c>
      <c r="AR48" s="74">
        <f t="shared" ref="AR48" si="104">AQ48-AR47-AR46</f>
        <v>3.1086244689504383E-15</v>
      </c>
      <c r="AS48" s="74">
        <f t="shared" ref="AS48" si="105">AR48-AS47-AS46</f>
        <v>3.1086244689504383E-15</v>
      </c>
      <c r="AT48" s="74">
        <f t="shared" ref="AT48" si="106">AS48-AT47-AT46</f>
        <v>3.1086244689504383E-15</v>
      </c>
      <c r="AU48" s="74">
        <f t="shared" ref="AU48" si="107">AT48-AU47-AU46</f>
        <v>3.1086244689504383E-15</v>
      </c>
      <c r="AV48" s="74">
        <f t="shared" ref="AV48" si="108">AU48-AV47-AV46</f>
        <v>3.1086244689504383E-15</v>
      </c>
      <c r="AW48" s="74">
        <f t="shared" ref="AW48" si="109">AV48-AW47-AW46</f>
        <v>3.1086244689504383E-15</v>
      </c>
      <c r="AX48" s="74"/>
      <c r="AY48" s="74"/>
    </row>
    <row r="49" spans="1:51" s="569" customFormat="1">
      <c r="C49" s="165"/>
      <c r="K49" s="78"/>
      <c r="L49" s="211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211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211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</row>
    <row r="50" spans="1:51" s="569" customFormat="1">
      <c r="C50" s="165"/>
      <c r="K50" s="78"/>
      <c r="L50" s="211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211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211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</row>
    <row r="51" spans="1:51">
      <c r="B51" t="s">
        <v>792</v>
      </c>
      <c r="K51" s="78"/>
      <c r="L51" s="211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211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211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</row>
    <row r="52" spans="1:51">
      <c r="A52" s="235" t="s">
        <v>1011</v>
      </c>
      <c r="B52" s="235" t="s">
        <v>1021</v>
      </c>
      <c r="D52" s="4"/>
      <c r="E52" s="4"/>
      <c r="F52" s="4"/>
      <c r="G52" s="4"/>
      <c r="H52" s="4"/>
      <c r="I52" s="4"/>
      <c r="J52" s="4"/>
      <c r="K52" s="78">
        <f>K16+K20</f>
        <v>3.8376943099999998</v>
      </c>
      <c r="L52" s="211">
        <f>SUM(C52:K52)</f>
        <v>3.8376943099999998</v>
      </c>
      <c r="M52" s="78">
        <f>M16+M20</f>
        <v>-0.25054184067341095</v>
      </c>
      <c r="N52" s="78">
        <f t="shared" ref="N52:W52" si="110">N16+N20</f>
        <v>-0.22577570239118511</v>
      </c>
      <c r="O52" s="78">
        <f t="shared" si="110"/>
        <v>-0.20995766122140228</v>
      </c>
      <c r="P52" s="78">
        <f t="shared" si="110"/>
        <v>-0.18144543463118462</v>
      </c>
      <c r="Q52" s="78">
        <f t="shared" si="110"/>
        <v>-0.19328434038801445</v>
      </c>
      <c r="R52" s="78">
        <f t="shared" si="110"/>
        <v>-0.22946192074250782</v>
      </c>
      <c r="S52" s="78">
        <f t="shared" si="110"/>
        <v>-0.250241328599762</v>
      </c>
      <c r="T52" s="78">
        <f t="shared" si="110"/>
        <v>-0.25906003936442179</v>
      </c>
      <c r="U52" s="78">
        <f t="shared" si="110"/>
        <v>-8.5043816098749281E-2</v>
      </c>
      <c r="V52" s="78">
        <f t="shared" si="110"/>
        <v>-8.0882635975811593E-2</v>
      </c>
      <c r="W52" s="78">
        <f t="shared" si="110"/>
        <v>-8.5079640114249247E-2</v>
      </c>
      <c r="X52" s="78">
        <f>X16+X20</f>
        <v>-8.5815650920839398E-2</v>
      </c>
      <c r="Y52" s="211">
        <f>SUM(M52:X52)</f>
        <v>-2.1365900111215383</v>
      </c>
      <c r="Z52" s="78">
        <f>Z16+Z20</f>
        <v>-9.0383952576787496E-2</v>
      </c>
      <c r="AA52" s="78">
        <f t="shared" ref="AA52:AK52" si="111">AA16+AA20</f>
        <v>-9.5802386538704931E-2</v>
      </c>
      <c r="AB52" s="78">
        <f t="shared" si="111"/>
        <v>-8.7911979935825404E-2</v>
      </c>
      <c r="AC52" s="78">
        <f t="shared" si="111"/>
        <v>-8.6296908749704415E-2</v>
      </c>
      <c r="AD52" s="78">
        <f t="shared" si="111"/>
        <v>-8.6015510175350668E-2</v>
      </c>
      <c r="AE52" s="78">
        <f t="shared" si="111"/>
        <v>-9.1596256374066154E-2</v>
      </c>
      <c r="AF52" s="78">
        <f t="shared" si="111"/>
        <v>-9.0344206771750646E-2</v>
      </c>
      <c r="AG52" s="78">
        <f t="shared" si="111"/>
        <v>-9.0123914157239471E-2</v>
      </c>
      <c r="AH52" s="78">
        <f t="shared" si="111"/>
        <v>5.1473228723582232E-3</v>
      </c>
      <c r="AI52" s="78">
        <f t="shared" si="111"/>
        <v>1.0368266666149345E-3</v>
      </c>
      <c r="AJ52" s="78">
        <f t="shared" si="111"/>
        <v>5.2848706739710982E-3</v>
      </c>
      <c r="AK52" s="78">
        <f t="shared" si="111"/>
        <v>2.962862257224487E-2</v>
      </c>
      <c r="AL52" s="211">
        <f>SUM(Z52:AK52)</f>
        <v>-0.67737747249423996</v>
      </c>
      <c r="AM52" s="78">
        <f>AM16+AM20</f>
        <v>-4.5636537071599959</v>
      </c>
      <c r="AN52" s="78">
        <f>AN16+AN20</f>
        <v>0.12056534973518174</v>
      </c>
      <c r="AO52" s="78">
        <f>AO16+AO20</f>
        <v>-1.4394464974925913E-2</v>
      </c>
      <c r="AP52" s="78">
        <f>AP16+AP20</f>
        <v>-0.33713383154344045</v>
      </c>
      <c r="AQ52" s="78">
        <f t="shared" ref="AQ52:AW52" si="112">AQ16+AQ20</f>
        <v>1.1167352108607531E-3</v>
      </c>
      <c r="AR52" s="78">
        <f t="shared" si="112"/>
        <v>1.508806581833122E-2</v>
      </c>
      <c r="AS52" s="78">
        <f>AS16+AS20</f>
        <v>-0.35859041296635707</v>
      </c>
      <c r="AT52" s="78">
        <f t="shared" si="112"/>
        <v>2.6263639512578152E-3</v>
      </c>
      <c r="AU52" s="78">
        <f t="shared" si="112"/>
        <v>-1.4715935314413287E-3</v>
      </c>
      <c r="AV52" s="78">
        <f t="shared" si="112"/>
        <v>-0.36172224985790091</v>
      </c>
      <c r="AW52" s="78">
        <f t="shared" si="112"/>
        <v>-1.0686403110240938E-2</v>
      </c>
      <c r="AX52" s="78"/>
      <c r="AY52" s="78"/>
    </row>
    <row r="53" spans="1:51">
      <c r="A53" s="235" t="s">
        <v>936</v>
      </c>
      <c r="B53" s="13" t="s">
        <v>113</v>
      </c>
      <c r="D53" s="64"/>
      <c r="E53" s="64"/>
      <c r="F53" s="64"/>
      <c r="G53" s="64"/>
      <c r="H53" s="64"/>
      <c r="I53" s="64"/>
      <c r="J53" s="64"/>
      <c r="K53" s="78"/>
      <c r="L53" s="211"/>
      <c r="M53" s="78">
        <f>M37+M42</f>
        <v>2.1335972121212122E-2</v>
      </c>
      <c r="N53" s="78">
        <f t="shared" ref="N53:W53" si="113">N37+N42</f>
        <v>2.1335972121212122E-2</v>
      </c>
      <c r="O53" s="78">
        <f t="shared" si="113"/>
        <v>2.1335972121212122E-2</v>
      </c>
      <c r="P53" s="78">
        <f t="shared" si="113"/>
        <v>2.1335972121212122E-2</v>
      </c>
      <c r="Q53" s="78">
        <f t="shared" si="113"/>
        <v>2.1335972121212122E-2</v>
      </c>
      <c r="R53" s="78">
        <f t="shared" si="113"/>
        <v>2.1335972121212122E-2</v>
      </c>
      <c r="S53" s="78">
        <f t="shared" si="113"/>
        <v>2.1335972121212122E-2</v>
      </c>
      <c r="T53" s="78">
        <f t="shared" si="113"/>
        <v>2.1335972121212122E-2</v>
      </c>
      <c r="U53" s="78">
        <f t="shared" si="113"/>
        <v>6.5390888787878784E-2</v>
      </c>
      <c r="V53" s="78">
        <f t="shared" si="113"/>
        <v>6.5390888787878784E-2</v>
      </c>
      <c r="W53" s="78">
        <f t="shared" si="113"/>
        <v>6.5390888787878784E-2</v>
      </c>
      <c r="X53" s="78">
        <f>X37+X42</f>
        <v>6.5390888787878784E-2</v>
      </c>
      <c r="Y53" s="211">
        <f>SUM(M53:X53)</f>
        <v>0.4322513321212122</v>
      </c>
      <c r="Z53" s="78">
        <f>Z37+Z42</f>
        <v>6.5390888787878784E-2</v>
      </c>
      <c r="AA53" s="78">
        <f t="shared" ref="AA53:AW53" si="114">AA37+AA42</f>
        <v>6.5390888787878784E-2</v>
      </c>
      <c r="AB53" s="78">
        <f t="shared" si="114"/>
        <v>6.5390888787878784E-2</v>
      </c>
      <c r="AC53" s="78">
        <f t="shared" si="114"/>
        <v>6.5390888787878784E-2</v>
      </c>
      <c r="AD53" s="78">
        <f t="shared" si="114"/>
        <v>6.5390888787878784E-2</v>
      </c>
      <c r="AE53" s="78">
        <f t="shared" si="114"/>
        <v>6.5390888787878784E-2</v>
      </c>
      <c r="AF53" s="78">
        <f t="shared" si="114"/>
        <v>6.5390888787878784E-2</v>
      </c>
      <c r="AG53" s="78">
        <f t="shared" si="114"/>
        <v>6.5390888787878784E-2</v>
      </c>
      <c r="AH53" s="78">
        <f t="shared" si="114"/>
        <v>6.5390888787878784E-2</v>
      </c>
      <c r="AI53" s="78">
        <f t="shared" si="114"/>
        <v>6.5390888787878784E-2</v>
      </c>
      <c r="AJ53" s="78">
        <f t="shared" si="114"/>
        <v>6.5390888787878784E-2</v>
      </c>
      <c r="AK53" s="78">
        <f t="shared" si="114"/>
        <v>6.5390888787878784E-2</v>
      </c>
      <c r="AL53" s="211">
        <f>SUM(Z53:AK53)</f>
        <v>0.78469066545454547</v>
      </c>
      <c r="AM53" s="78">
        <f t="shared" si="114"/>
        <v>0.72068274909090901</v>
      </c>
      <c r="AN53" s="78">
        <f t="shared" si="114"/>
        <v>0.35243933333333327</v>
      </c>
      <c r="AO53" s="78">
        <f t="shared" si="114"/>
        <v>0</v>
      </c>
      <c r="AP53" s="78">
        <f t="shared" si="114"/>
        <v>0</v>
      </c>
      <c r="AQ53" s="78">
        <f t="shared" si="114"/>
        <v>0</v>
      </c>
      <c r="AR53" s="78">
        <f t="shared" si="114"/>
        <v>0</v>
      </c>
      <c r="AS53" s="78">
        <f t="shared" si="114"/>
        <v>0</v>
      </c>
      <c r="AT53" s="78">
        <f t="shared" si="114"/>
        <v>0</v>
      </c>
      <c r="AU53" s="78">
        <f t="shared" si="114"/>
        <v>0</v>
      </c>
      <c r="AV53" s="78">
        <f t="shared" si="114"/>
        <v>0</v>
      </c>
      <c r="AW53" s="78">
        <f t="shared" si="114"/>
        <v>0</v>
      </c>
      <c r="AX53" s="78"/>
      <c r="AY53" s="78"/>
    </row>
    <row r="54" spans="1:51">
      <c r="A54" s="235" t="s">
        <v>737</v>
      </c>
      <c r="B54" s="13" t="s">
        <v>976</v>
      </c>
      <c r="M54" s="78">
        <f>M47</f>
        <v>0</v>
      </c>
      <c r="N54" s="78">
        <f t="shared" ref="N54:AW54" si="115">N47</f>
        <v>0</v>
      </c>
      <c r="O54" s="78">
        <f t="shared" si="115"/>
        <v>0</v>
      </c>
      <c r="P54" s="78">
        <f t="shared" si="115"/>
        <v>0</v>
      </c>
      <c r="Q54" s="78">
        <f t="shared" si="115"/>
        <v>0</v>
      </c>
      <c r="R54" s="78">
        <f t="shared" si="115"/>
        <v>0</v>
      </c>
      <c r="S54" s="78">
        <f t="shared" si="115"/>
        <v>0</v>
      </c>
      <c r="T54" s="78">
        <f t="shared" si="115"/>
        <v>0</v>
      </c>
      <c r="U54" s="78">
        <f t="shared" si="115"/>
        <v>7.6666666666666661E-2</v>
      </c>
      <c r="V54" s="78">
        <f t="shared" si="115"/>
        <v>7.6666666666666661E-2</v>
      </c>
      <c r="W54" s="78">
        <f t="shared" si="115"/>
        <v>7.6666666666666661E-2</v>
      </c>
      <c r="X54" s="78">
        <f t="shared" si="115"/>
        <v>7.6666666666666661E-2</v>
      </c>
      <c r="Y54" s="211">
        <f>SUM(M54:X54)</f>
        <v>0.30666666666666664</v>
      </c>
      <c r="Z54" s="78">
        <f t="shared" si="115"/>
        <v>7.6666666666666661E-2</v>
      </c>
      <c r="AA54" s="78">
        <f t="shared" si="115"/>
        <v>7.6666666666666661E-2</v>
      </c>
      <c r="AB54" s="78">
        <f t="shared" si="115"/>
        <v>7.6666666666666661E-2</v>
      </c>
      <c r="AC54" s="78">
        <f t="shared" si="115"/>
        <v>7.6666666666666661E-2</v>
      </c>
      <c r="AD54" s="78">
        <f t="shared" si="115"/>
        <v>7.6666666666666661E-2</v>
      </c>
      <c r="AE54" s="78">
        <f t="shared" si="115"/>
        <v>7.6666666666666661E-2</v>
      </c>
      <c r="AF54" s="78">
        <f t="shared" si="115"/>
        <v>7.6666666666666661E-2</v>
      </c>
      <c r="AG54" s="78">
        <f t="shared" si="115"/>
        <v>7.6666666666666661E-2</v>
      </c>
      <c r="AH54" s="78">
        <f t="shared" si="115"/>
        <v>7.6666666666666661E-2</v>
      </c>
      <c r="AI54" s="78">
        <f t="shared" si="115"/>
        <v>7.6666666666666661E-2</v>
      </c>
      <c r="AJ54" s="78">
        <f t="shared" si="115"/>
        <v>7.6666666666666661E-2</v>
      </c>
      <c r="AK54" s="78">
        <f t="shared" si="115"/>
        <v>7.6666666666666661E-2</v>
      </c>
      <c r="AL54" s="211">
        <f>SUM(Z54:AK54)</f>
        <v>0.91999999999999993</v>
      </c>
      <c r="AM54" s="78">
        <f t="shared" si="115"/>
        <v>0.91999999999999993</v>
      </c>
      <c r="AN54" s="78">
        <f t="shared" si="115"/>
        <v>0.91999999999999993</v>
      </c>
      <c r="AO54" s="78">
        <f t="shared" si="115"/>
        <v>0.91999999999999993</v>
      </c>
      <c r="AP54" s="78">
        <f t="shared" si="115"/>
        <v>0.61333333333333329</v>
      </c>
      <c r="AQ54" s="78">
        <f t="shared" si="115"/>
        <v>0</v>
      </c>
      <c r="AR54" s="78">
        <f t="shared" si="115"/>
        <v>0</v>
      </c>
      <c r="AS54" s="78">
        <f t="shared" si="115"/>
        <v>0</v>
      </c>
      <c r="AT54" s="78">
        <f t="shared" si="115"/>
        <v>0</v>
      </c>
      <c r="AU54" s="78">
        <f t="shared" si="115"/>
        <v>0</v>
      </c>
      <c r="AV54" s="78">
        <f t="shared" si="115"/>
        <v>0</v>
      </c>
      <c r="AW54" s="78">
        <f t="shared" si="115"/>
        <v>0</v>
      </c>
      <c r="AX54" s="78"/>
      <c r="AY54" s="78"/>
    </row>
    <row r="55" spans="1:51">
      <c r="D55" s="4"/>
      <c r="E55" s="4"/>
      <c r="F55" s="4"/>
      <c r="G55" s="4"/>
      <c r="H55" s="4"/>
      <c r="I55" s="4"/>
      <c r="J55" s="4"/>
      <c r="K55" s="4"/>
      <c r="L55" s="8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89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89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</row>
    <row r="432" spans="1:2" ht="18">
      <c r="A432" s="267" t="s">
        <v>817</v>
      </c>
      <c r="B432" s="13"/>
    </row>
    <row r="433" spans="1:38">
      <c r="A433" s="894" t="s">
        <v>607</v>
      </c>
      <c r="B433" s="891" t="s">
        <v>1026</v>
      </c>
      <c r="Y433" s="89">
        <f t="shared" ref="Y433:Y496" si="116">SUM(M433:X433)</f>
        <v>0</v>
      </c>
      <c r="AL433" s="206">
        <f t="shared" ref="AL433:AL496" si="117">SUM(Z433:AK433)</f>
        <v>0</v>
      </c>
    </row>
    <row r="434" spans="1:38">
      <c r="A434" s="894" t="s">
        <v>818</v>
      </c>
      <c r="B434" s="891" t="s">
        <v>1027</v>
      </c>
      <c r="Y434" s="89">
        <f t="shared" si="116"/>
        <v>0</v>
      </c>
      <c r="AL434" s="206">
        <f t="shared" si="117"/>
        <v>0</v>
      </c>
    </row>
    <row r="435" spans="1:38">
      <c r="A435" s="894" t="s">
        <v>607</v>
      </c>
      <c r="B435" s="891" t="s">
        <v>1026</v>
      </c>
      <c r="Y435" s="89">
        <f t="shared" si="116"/>
        <v>0</v>
      </c>
      <c r="AL435" s="206">
        <f t="shared" si="117"/>
        <v>0</v>
      </c>
    </row>
    <row r="436" spans="1:38">
      <c r="A436" s="894" t="s">
        <v>818</v>
      </c>
      <c r="B436" s="891" t="s">
        <v>1028</v>
      </c>
      <c r="Y436" s="89">
        <f t="shared" si="116"/>
        <v>0</v>
      </c>
      <c r="AL436" s="206">
        <f t="shared" si="117"/>
        <v>0</v>
      </c>
    </row>
    <row r="437" spans="1:38">
      <c r="A437" s="894" t="s">
        <v>607</v>
      </c>
      <c r="B437" s="891" t="s">
        <v>1026</v>
      </c>
      <c r="Y437" s="89">
        <f t="shared" si="116"/>
        <v>0</v>
      </c>
      <c r="AL437" s="206">
        <f t="shared" si="117"/>
        <v>0</v>
      </c>
    </row>
    <row r="438" spans="1:38">
      <c r="A438" s="894" t="s">
        <v>818</v>
      </c>
      <c r="B438" s="891" t="s">
        <v>1028</v>
      </c>
      <c r="Y438" s="89">
        <f t="shared" si="116"/>
        <v>0</v>
      </c>
      <c r="AL438" s="206">
        <f t="shared" si="117"/>
        <v>0</v>
      </c>
    </row>
    <row r="439" spans="1:38">
      <c r="A439" s="894" t="s">
        <v>607</v>
      </c>
      <c r="B439" s="891" t="s">
        <v>1026</v>
      </c>
      <c r="Y439" s="89">
        <f t="shared" si="116"/>
        <v>0</v>
      </c>
      <c r="AL439" s="206">
        <f t="shared" si="117"/>
        <v>0</v>
      </c>
    </row>
    <row r="440" spans="1:38">
      <c r="A440" s="894" t="s">
        <v>818</v>
      </c>
      <c r="B440" s="891" t="s">
        <v>1027</v>
      </c>
      <c r="Y440" s="89">
        <f t="shared" si="116"/>
        <v>0</v>
      </c>
      <c r="AL440" s="206">
        <f t="shared" si="117"/>
        <v>0</v>
      </c>
    </row>
    <row r="441" spans="1:38">
      <c r="A441" s="894" t="s">
        <v>612</v>
      </c>
      <c r="B441" s="891" t="s">
        <v>819</v>
      </c>
      <c r="Y441" s="89">
        <f t="shared" si="116"/>
        <v>0</v>
      </c>
      <c r="AL441" s="206">
        <f t="shared" si="117"/>
        <v>0</v>
      </c>
    </row>
    <row r="442" spans="1:38">
      <c r="A442" s="894">
        <v>403.5</v>
      </c>
      <c r="B442" s="891" t="s">
        <v>820</v>
      </c>
      <c r="Y442" s="89">
        <f t="shared" si="116"/>
        <v>0</v>
      </c>
      <c r="AL442" s="206">
        <f t="shared" si="117"/>
        <v>0</v>
      </c>
    </row>
    <row r="443" spans="1:38">
      <c r="A443" s="894">
        <v>403.5</v>
      </c>
      <c r="B443" s="891" t="s">
        <v>821</v>
      </c>
      <c r="Y443" s="89">
        <f t="shared" si="116"/>
        <v>0</v>
      </c>
      <c r="AL443" s="206">
        <f t="shared" si="117"/>
        <v>0</v>
      </c>
    </row>
    <row r="444" spans="1:38">
      <c r="A444" s="894" t="s">
        <v>586</v>
      </c>
      <c r="B444" s="891" t="s">
        <v>822</v>
      </c>
      <c r="Y444" s="89">
        <f t="shared" si="116"/>
        <v>0</v>
      </c>
      <c r="AL444" s="206">
        <f t="shared" si="117"/>
        <v>0</v>
      </c>
    </row>
    <row r="445" spans="1:38">
      <c r="A445" s="894">
        <v>404.11</v>
      </c>
      <c r="B445" s="891" t="s">
        <v>1001</v>
      </c>
      <c r="Y445" s="89">
        <f t="shared" si="116"/>
        <v>0</v>
      </c>
      <c r="AL445" s="206">
        <f t="shared" si="117"/>
        <v>0</v>
      </c>
    </row>
    <row r="446" spans="1:38">
      <c r="A446" s="894" t="s">
        <v>823</v>
      </c>
      <c r="B446" s="891" t="s">
        <v>824</v>
      </c>
      <c r="Y446" s="89">
        <f t="shared" si="116"/>
        <v>0</v>
      </c>
      <c r="AL446" s="206">
        <f t="shared" si="117"/>
        <v>0</v>
      </c>
    </row>
    <row r="447" spans="1:38">
      <c r="A447" s="894" t="s">
        <v>825</v>
      </c>
      <c r="B447" s="891" t="s">
        <v>826</v>
      </c>
      <c r="Y447" s="89">
        <f t="shared" si="116"/>
        <v>0</v>
      </c>
      <c r="AL447" s="206">
        <f t="shared" si="117"/>
        <v>0</v>
      </c>
    </row>
    <row r="448" spans="1:38">
      <c r="A448" s="894" t="s">
        <v>827</v>
      </c>
      <c r="B448" s="891" t="s">
        <v>828</v>
      </c>
      <c r="Y448" s="89">
        <f t="shared" si="116"/>
        <v>0</v>
      </c>
      <c r="AL448" s="206">
        <f t="shared" si="117"/>
        <v>0</v>
      </c>
    </row>
    <row r="449" spans="1:38">
      <c r="A449" s="894" t="s">
        <v>830</v>
      </c>
      <c r="B449" s="891" t="s">
        <v>831</v>
      </c>
      <c r="Y449" s="89">
        <f t="shared" si="116"/>
        <v>0</v>
      </c>
      <c r="AL449" s="206">
        <f t="shared" si="117"/>
        <v>0</v>
      </c>
    </row>
    <row r="450" spans="1:38">
      <c r="A450" s="894" t="s">
        <v>859</v>
      </c>
      <c r="B450" s="891" t="s">
        <v>860</v>
      </c>
      <c r="Y450" s="89">
        <f t="shared" si="116"/>
        <v>0</v>
      </c>
      <c r="AL450" s="206">
        <f t="shared" si="117"/>
        <v>0</v>
      </c>
    </row>
    <row r="451" spans="1:38">
      <c r="A451" s="894" t="s">
        <v>861</v>
      </c>
      <c r="B451" s="891" t="s">
        <v>862</v>
      </c>
      <c r="Y451" s="89">
        <f t="shared" si="116"/>
        <v>0</v>
      </c>
      <c r="AL451" s="206">
        <f t="shared" si="117"/>
        <v>0</v>
      </c>
    </row>
    <row r="452" spans="1:38">
      <c r="A452" s="894" t="s">
        <v>863</v>
      </c>
      <c r="B452" s="891" t="s">
        <v>864</v>
      </c>
      <c r="Y452" s="89">
        <f t="shared" si="116"/>
        <v>0</v>
      </c>
      <c r="AL452" s="206">
        <f t="shared" si="117"/>
        <v>0</v>
      </c>
    </row>
    <row r="453" spans="1:38">
      <c r="A453" s="894">
        <v>426.1</v>
      </c>
      <c r="B453" s="891" t="s">
        <v>880</v>
      </c>
      <c r="Y453" s="89">
        <f t="shared" si="116"/>
        <v>0</v>
      </c>
      <c r="AL453" s="206">
        <f t="shared" si="117"/>
        <v>0</v>
      </c>
    </row>
    <row r="454" spans="1:38">
      <c r="A454" s="894" t="s">
        <v>881</v>
      </c>
      <c r="B454" s="891" t="s">
        <v>882</v>
      </c>
      <c r="Y454" s="89">
        <f t="shared" si="116"/>
        <v>0</v>
      </c>
      <c r="AL454" s="206">
        <f t="shared" si="117"/>
        <v>0</v>
      </c>
    </row>
    <row r="455" spans="1:38">
      <c r="A455" s="894">
        <v>426.4</v>
      </c>
      <c r="B455" s="891" t="s">
        <v>883</v>
      </c>
      <c r="Y455" s="89">
        <f t="shared" si="116"/>
        <v>0</v>
      </c>
      <c r="AL455" s="206">
        <f t="shared" si="117"/>
        <v>0</v>
      </c>
    </row>
    <row r="456" spans="1:38">
      <c r="A456" s="894" t="s">
        <v>884</v>
      </c>
      <c r="B456" s="891" t="s">
        <v>885</v>
      </c>
      <c r="Y456" s="89">
        <f t="shared" si="116"/>
        <v>0</v>
      </c>
      <c r="AL456" s="206">
        <f t="shared" si="117"/>
        <v>0</v>
      </c>
    </row>
    <row r="457" spans="1:38">
      <c r="A457" s="894">
        <v>427.1</v>
      </c>
      <c r="B457" s="891" t="s">
        <v>970</v>
      </c>
      <c r="Y457" s="89">
        <f t="shared" si="116"/>
        <v>0</v>
      </c>
      <c r="AL457" s="206">
        <f t="shared" si="117"/>
        <v>0</v>
      </c>
    </row>
    <row r="458" spans="1:38">
      <c r="A458" s="894" t="s">
        <v>886</v>
      </c>
      <c r="B458" s="891" t="s">
        <v>971</v>
      </c>
      <c r="Y458" s="89">
        <f t="shared" si="116"/>
        <v>0</v>
      </c>
      <c r="AL458" s="206">
        <f t="shared" si="117"/>
        <v>0</v>
      </c>
    </row>
    <row r="459" spans="1:38">
      <c r="A459" s="894" t="s">
        <v>895</v>
      </c>
      <c r="B459" s="891" t="s">
        <v>896</v>
      </c>
      <c r="Y459" s="89">
        <f t="shared" si="116"/>
        <v>0</v>
      </c>
      <c r="AL459" s="206">
        <f t="shared" si="117"/>
        <v>0</v>
      </c>
    </row>
    <row r="460" spans="1:38">
      <c r="A460" s="894" t="s">
        <v>897</v>
      </c>
      <c r="B460" s="891" t="s">
        <v>898</v>
      </c>
      <c r="Y460" s="89">
        <f t="shared" si="116"/>
        <v>0</v>
      </c>
      <c r="AL460" s="206">
        <f t="shared" si="117"/>
        <v>0</v>
      </c>
    </row>
    <row r="461" spans="1:38">
      <c r="A461" s="894" t="s">
        <v>899</v>
      </c>
      <c r="B461" s="891" t="s">
        <v>900</v>
      </c>
      <c r="Y461" s="89">
        <f t="shared" si="116"/>
        <v>0</v>
      </c>
      <c r="AL461" s="206">
        <f t="shared" si="117"/>
        <v>0</v>
      </c>
    </row>
    <row r="462" spans="1:38">
      <c r="A462" s="894" t="s">
        <v>901</v>
      </c>
      <c r="B462" s="891" t="s">
        <v>902</v>
      </c>
      <c r="Y462" s="89">
        <f t="shared" si="116"/>
        <v>0</v>
      </c>
      <c r="AL462" s="206">
        <f t="shared" si="117"/>
        <v>0</v>
      </c>
    </row>
    <row r="463" spans="1:38">
      <c r="A463" s="894" t="s">
        <v>903</v>
      </c>
      <c r="B463" s="891" t="s">
        <v>904</v>
      </c>
      <c r="Y463" s="89">
        <f t="shared" si="116"/>
        <v>0</v>
      </c>
      <c r="AL463" s="206">
        <f t="shared" si="117"/>
        <v>0</v>
      </c>
    </row>
    <row r="464" spans="1:38">
      <c r="A464" s="894" t="s">
        <v>905</v>
      </c>
      <c r="B464" s="891" t="s">
        <v>1014</v>
      </c>
      <c r="Y464" s="89">
        <f t="shared" si="116"/>
        <v>0</v>
      </c>
      <c r="AL464" s="206">
        <f t="shared" si="117"/>
        <v>0</v>
      </c>
    </row>
    <row r="465" spans="1:38">
      <c r="A465" s="894" t="s">
        <v>908</v>
      </c>
      <c r="B465" s="891" t="s">
        <v>1015</v>
      </c>
      <c r="Y465" s="89">
        <f t="shared" si="116"/>
        <v>0</v>
      </c>
      <c r="AL465" s="206">
        <f t="shared" si="117"/>
        <v>0</v>
      </c>
    </row>
    <row r="466" spans="1:38">
      <c r="A466" s="894" t="s">
        <v>910</v>
      </c>
      <c r="B466" s="891" t="s">
        <v>1016</v>
      </c>
      <c r="Y466" s="89">
        <f t="shared" si="116"/>
        <v>0</v>
      </c>
      <c r="AL466" s="206">
        <f t="shared" si="117"/>
        <v>0</v>
      </c>
    </row>
    <row r="467" spans="1:38">
      <c r="A467" s="894" t="s">
        <v>645</v>
      </c>
      <c r="B467" s="891" t="s">
        <v>911</v>
      </c>
      <c r="Y467" s="89">
        <f t="shared" si="116"/>
        <v>0</v>
      </c>
      <c r="AL467" s="206">
        <f t="shared" si="117"/>
        <v>0</v>
      </c>
    </row>
    <row r="468" spans="1:38">
      <c r="A468" s="894">
        <v>447.24200000000002</v>
      </c>
      <c r="B468" s="891" t="s">
        <v>916</v>
      </c>
      <c r="Y468" s="89">
        <f t="shared" si="116"/>
        <v>0</v>
      </c>
      <c r="AL468" s="206">
        <f t="shared" si="117"/>
        <v>0</v>
      </c>
    </row>
    <row r="469" spans="1:38">
      <c r="A469" s="894" t="s">
        <v>0</v>
      </c>
      <c r="B469" s="891" t="s">
        <v>1</v>
      </c>
      <c r="Y469" s="89">
        <f t="shared" si="116"/>
        <v>0</v>
      </c>
      <c r="AL469" s="206">
        <f t="shared" si="117"/>
        <v>0</v>
      </c>
    </row>
    <row r="470" spans="1:38">
      <c r="A470" s="894" t="s">
        <v>2</v>
      </c>
      <c r="B470" s="891" t="s">
        <v>37</v>
      </c>
      <c r="Y470" s="89">
        <f t="shared" si="116"/>
        <v>0</v>
      </c>
      <c r="AL470" s="206">
        <f t="shared" si="117"/>
        <v>0</v>
      </c>
    </row>
    <row r="471" spans="1:38">
      <c r="A471" s="894" t="s">
        <v>38</v>
      </c>
      <c r="B471" s="891" t="s">
        <v>39</v>
      </c>
      <c r="Y471" s="89">
        <f t="shared" si="116"/>
        <v>0</v>
      </c>
      <c r="AL471" s="206">
        <f t="shared" si="117"/>
        <v>0</v>
      </c>
    </row>
    <row r="472" spans="1:38">
      <c r="A472" s="894" t="s">
        <v>720</v>
      </c>
      <c r="B472" s="891" t="s">
        <v>1004</v>
      </c>
      <c r="Y472" s="89">
        <f t="shared" si="116"/>
        <v>0</v>
      </c>
      <c r="AL472" s="206">
        <f t="shared" si="117"/>
        <v>0</v>
      </c>
    </row>
    <row r="473" spans="1:38">
      <c r="A473" s="894">
        <v>500.1</v>
      </c>
      <c r="B473" s="891" t="s">
        <v>1004</v>
      </c>
      <c r="Y473" s="89">
        <f t="shared" si="116"/>
        <v>0</v>
      </c>
      <c r="AL473" s="206">
        <f t="shared" si="117"/>
        <v>0</v>
      </c>
    </row>
    <row r="474" spans="1:38">
      <c r="A474" s="894">
        <v>501.1</v>
      </c>
      <c r="B474" s="891" t="s">
        <v>46</v>
      </c>
      <c r="Y474" s="89">
        <f t="shared" si="116"/>
        <v>0</v>
      </c>
      <c r="AL474" s="206">
        <f t="shared" si="117"/>
        <v>0</v>
      </c>
    </row>
    <row r="475" spans="1:38">
      <c r="A475" s="894">
        <v>501.2</v>
      </c>
      <c r="B475" s="895" t="s">
        <v>1029</v>
      </c>
      <c r="Y475" s="89">
        <f t="shared" si="116"/>
        <v>0</v>
      </c>
      <c r="AL475" s="206">
        <f t="shared" si="117"/>
        <v>0</v>
      </c>
    </row>
    <row r="476" spans="1:38">
      <c r="A476" s="894">
        <v>501.1</v>
      </c>
      <c r="B476" s="891" t="s">
        <v>48</v>
      </c>
      <c r="Y476" s="89">
        <f t="shared" si="116"/>
        <v>0</v>
      </c>
      <c r="AL476" s="206">
        <f t="shared" si="117"/>
        <v>0</v>
      </c>
    </row>
    <row r="477" spans="1:38">
      <c r="A477" s="894">
        <v>501.1</v>
      </c>
      <c r="B477" s="891" t="s">
        <v>50</v>
      </c>
      <c r="Y477" s="89">
        <f t="shared" si="116"/>
        <v>0</v>
      </c>
      <c r="AL477" s="206">
        <f t="shared" si="117"/>
        <v>0</v>
      </c>
    </row>
    <row r="478" spans="1:38">
      <c r="A478" s="894" t="s">
        <v>722</v>
      </c>
      <c r="B478" s="895" t="s">
        <v>1029</v>
      </c>
      <c r="Y478" s="89">
        <f t="shared" si="116"/>
        <v>0</v>
      </c>
      <c r="AL478" s="206">
        <f t="shared" si="117"/>
        <v>0</v>
      </c>
    </row>
    <row r="479" spans="1:38">
      <c r="A479" s="894">
        <v>501.1</v>
      </c>
      <c r="B479" s="891" t="s">
        <v>52</v>
      </c>
      <c r="Y479" s="89">
        <f t="shared" si="116"/>
        <v>0</v>
      </c>
      <c r="AL479" s="206">
        <f t="shared" si="117"/>
        <v>0</v>
      </c>
    </row>
    <row r="480" spans="1:38">
      <c r="A480" s="894">
        <v>501.2</v>
      </c>
      <c r="B480" s="895" t="s">
        <v>1029</v>
      </c>
      <c r="Y480" s="89">
        <f t="shared" si="116"/>
        <v>0</v>
      </c>
      <c r="AL480" s="206">
        <f t="shared" si="117"/>
        <v>0</v>
      </c>
    </row>
    <row r="481" spans="1:38">
      <c r="A481" s="894">
        <v>501.1</v>
      </c>
      <c r="B481" s="891" t="s">
        <v>54</v>
      </c>
      <c r="Y481" s="89">
        <f t="shared" si="116"/>
        <v>0</v>
      </c>
      <c r="AL481" s="206">
        <f t="shared" si="117"/>
        <v>0</v>
      </c>
    </row>
    <row r="482" spans="1:38">
      <c r="A482" s="894">
        <v>501.1</v>
      </c>
      <c r="B482" s="891" t="s">
        <v>57</v>
      </c>
      <c r="Y482" s="89">
        <f t="shared" si="116"/>
        <v>0</v>
      </c>
      <c r="AL482" s="206">
        <f t="shared" si="117"/>
        <v>0</v>
      </c>
    </row>
    <row r="483" spans="1:38">
      <c r="A483" s="894">
        <v>501.3</v>
      </c>
      <c r="B483" s="895" t="s">
        <v>1030</v>
      </c>
      <c r="Y483" s="89">
        <f t="shared" si="116"/>
        <v>0</v>
      </c>
      <c r="AL483" s="206">
        <f t="shared" si="117"/>
        <v>0</v>
      </c>
    </row>
    <row r="484" spans="1:38">
      <c r="A484" s="894">
        <v>501.1</v>
      </c>
      <c r="B484" s="891" t="s">
        <v>59</v>
      </c>
      <c r="Y484" s="89">
        <f t="shared" si="116"/>
        <v>0</v>
      </c>
      <c r="AL484" s="206">
        <f t="shared" si="117"/>
        <v>0</v>
      </c>
    </row>
    <row r="485" spans="1:38">
      <c r="A485" s="894">
        <v>501.1</v>
      </c>
      <c r="B485" s="891" t="s">
        <v>61</v>
      </c>
      <c r="Y485" s="89">
        <f t="shared" si="116"/>
        <v>0</v>
      </c>
      <c r="AL485" s="206">
        <f t="shared" si="117"/>
        <v>0</v>
      </c>
    </row>
    <row r="486" spans="1:38">
      <c r="A486" s="894">
        <v>501.1</v>
      </c>
      <c r="B486" s="891" t="s">
        <v>63</v>
      </c>
      <c r="Y486" s="89">
        <f t="shared" si="116"/>
        <v>0</v>
      </c>
      <c r="AL486" s="206">
        <f t="shared" si="117"/>
        <v>0</v>
      </c>
    </row>
    <row r="487" spans="1:38">
      <c r="A487" s="894" t="s">
        <v>725</v>
      </c>
      <c r="B487" s="892" t="s">
        <v>1022</v>
      </c>
      <c r="Y487" s="89">
        <f t="shared" si="116"/>
        <v>0</v>
      </c>
      <c r="AL487" s="206">
        <f t="shared" si="117"/>
        <v>0</v>
      </c>
    </row>
    <row r="488" spans="1:38">
      <c r="A488" s="894" t="s">
        <v>537</v>
      </c>
      <c r="B488" s="892" t="s">
        <v>1022</v>
      </c>
      <c r="Y488" s="89">
        <f t="shared" si="116"/>
        <v>0</v>
      </c>
      <c r="AL488" s="206">
        <f t="shared" si="117"/>
        <v>0</v>
      </c>
    </row>
    <row r="489" spans="1:38">
      <c r="A489" s="894">
        <v>502.1</v>
      </c>
      <c r="B489" s="892" t="s">
        <v>1022</v>
      </c>
      <c r="Y489" s="89">
        <f t="shared" si="116"/>
        <v>0</v>
      </c>
      <c r="AL489" s="206">
        <f t="shared" si="117"/>
        <v>0</v>
      </c>
    </row>
    <row r="490" spans="1:38">
      <c r="A490" s="894">
        <v>502.11</v>
      </c>
      <c r="B490" s="892" t="s">
        <v>1022</v>
      </c>
      <c r="Y490" s="89">
        <f t="shared" si="116"/>
        <v>0</v>
      </c>
      <c r="AL490" s="206">
        <f t="shared" si="117"/>
        <v>0</v>
      </c>
    </row>
    <row r="491" spans="1:38">
      <c r="A491" s="894">
        <v>502.11</v>
      </c>
      <c r="B491" s="892" t="s">
        <v>1022</v>
      </c>
      <c r="Y491" s="89">
        <f t="shared" si="116"/>
        <v>0</v>
      </c>
      <c r="AL491" s="206">
        <f t="shared" si="117"/>
        <v>0</v>
      </c>
    </row>
    <row r="492" spans="1:38">
      <c r="A492" s="894" t="s">
        <v>729</v>
      </c>
      <c r="B492" s="892" t="s">
        <v>1022</v>
      </c>
      <c r="Y492" s="89">
        <f t="shared" si="116"/>
        <v>0</v>
      </c>
      <c r="AL492" s="206">
        <f t="shared" si="117"/>
        <v>0</v>
      </c>
    </row>
    <row r="493" spans="1:38">
      <c r="A493" s="894">
        <v>502.1</v>
      </c>
      <c r="B493" s="892" t="s">
        <v>1022</v>
      </c>
      <c r="Y493" s="89">
        <f t="shared" si="116"/>
        <v>0</v>
      </c>
      <c r="AL493" s="206">
        <f t="shared" si="117"/>
        <v>0</v>
      </c>
    </row>
    <row r="494" spans="1:38">
      <c r="A494" s="894" t="s">
        <v>730</v>
      </c>
      <c r="B494" s="891" t="s">
        <v>972</v>
      </c>
      <c r="Y494" s="89">
        <f t="shared" si="116"/>
        <v>0</v>
      </c>
      <c r="AL494" s="206">
        <f t="shared" si="117"/>
        <v>0</v>
      </c>
    </row>
    <row r="495" spans="1:38">
      <c r="A495" s="894" t="s">
        <v>730</v>
      </c>
      <c r="B495" s="891" t="s">
        <v>972</v>
      </c>
      <c r="Y495" s="89">
        <f t="shared" si="116"/>
        <v>0</v>
      </c>
      <c r="AL495" s="206">
        <f t="shared" si="117"/>
        <v>0</v>
      </c>
    </row>
    <row r="496" spans="1:38">
      <c r="A496" s="894" t="s">
        <v>730</v>
      </c>
      <c r="B496" s="891" t="s">
        <v>972</v>
      </c>
      <c r="Y496" s="89">
        <f t="shared" si="116"/>
        <v>0</v>
      </c>
      <c r="AL496" s="206">
        <f t="shared" si="117"/>
        <v>0</v>
      </c>
    </row>
    <row r="497" spans="1:51">
      <c r="A497" s="894" t="s">
        <v>730</v>
      </c>
      <c r="B497" s="891" t="s">
        <v>972</v>
      </c>
      <c r="Y497" s="89">
        <f t="shared" ref="Y497:Y520" si="118">SUM(M497:X497)</f>
        <v>0</v>
      </c>
      <c r="AL497" s="206">
        <f t="shared" ref="AL497:AL560" si="119">SUM(Z497:AK497)</f>
        <v>0</v>
      </c>
    </row>
    <row r="498" spans="1:51">
      <c r="A498" s="894" t="s">
        <v>732</v>
      </c>
      <c r="B498" s="891" t="s">
        <v>973</v>
      </c>
      <c r="Y498" s="89">
        <f t="shared" si="118"/>
        <v>0</v>
      </c>
      <c r="AL498" s="206">
        <f t="shared" si="119"/>
        <v>0</v>
      </c>
    </row>
    <row r="499" spans="1:51">
      <c r="A499" s="894">
        <v>506.1</v>
      </c>
      <c r="B499" s="891" t="s">
        <v>973</v>
      </c>
      <c r="Y499" s="89">
        <f t="shared" si="118"/>
        <v>0</v>
      </c>
      <c r="AL499" s="206">
        <f t="shared" si="119"/>
        <v>0</v>
      </c>
    </row>
    <row r="500" spans="1:51">
      <c r="A500" s="894" t="s">
        <v>734</v>
      </c>
      <c r="B500" s="891" t="s">
        <v>973</v>
      </c>
      <c r="Y500" s="89">
        <f t="shared" si="118"/>
        <v>0</v>
      </c>
      <c r="AL500" s="206">
        <f t="shared" si="119"/>
        <v>0</v>
      </c>
    </row>
    <row r="501" spans="1:51">
      <c r="A501" s="894" t="s">
        <v>70</v>
      </c>
      <c r="B501" s="891" t="s">
        <v>974</v>
      </c>
      <c r="Y501" s="89">
        <f t="shared" si="118"/>
        <v>0</v>
      </c>
      <c r="AL501" s="206">
        <f t="shared" si="119"/>
        <v>0</v>
      </c>
    </row>
    <row r="502" spans="1:51">
      <c r="A502" s="894">
        <v>510</v>
      </c>
      <c r="B502" s="891" t="s">
        <v>975</v>
      </c>
      <c r="Y502" s="89">
        <f t="shared" si="118"/>
        <v>0</v>
      </c>
      <c r="AL502" s="206">
        <f t="shared" si="119"/>
        <v>0</v>
      </c>
    </row>
    <row r="503" spans="1:51">
      <c r="A503" s="894">
        <v>511.1</v>
      </c>
      <c r="B503" s="891" t="s">
        <v>103</v>
      </c>
      <c r="Y503" s="89">
        <f t="shared" si="118"/>
        <v>0</v>
      </c>
      <c r="AL503" s="206">
        <f t="shared" si="119"/>
        <v>0</v>
      </c>
    </row>
    <row r="504" spans="1:51">
      <c r="A504" s="894">
        <v>511.1</v>
      </c>
      <c r="B504" s="891" t="s">
        <v>104</v>
      </c>
      <c r="Y504" s="89">
        <f t="shared" si="118"/>
        <v>0</v>
      </c>
      <c r="AL504" s="206">
        <f t="shared" si="119"/>
        <v>0</v>
      </c>
    </row>
    <row r="505" spans="1:51">
      <c r="A505" s="894" t="s">
        <v>737</v>
      </c>
      <c r="B505" s="891" t="s">
        <v>976</v>
      </c>
      <c r="M505" s="74">
        <f>M54</f>
        <v>0</v>
      </c>
      <c r="N505" s="74">
        <f t="shared" ref="N505:X505" si="120">N54</f>
        <v>0</v>
      </c>
      <c r="O505" s="74">
        <f t="shared" si="120"/>
        <v>0</v>
      </c>
      <c r="P505" s="74">
        <f t="shared" si="120"/>
        <v>0</v>
      </c>
      <c r="Q505" s="74">
        <f t="shared" si="120"/>
        <v>0</v>
      </c>
      <c r="R505" s="74">
        <f t="shared" si="120"/>
        <v>0</v>
      </c>
      <c r="S505" s="74">
        <f t="shared" si="120"/>
        <v>0</v>
      </c>
      <c r="T505" s="74">
        <f t="shared" si="120"/>
        <v>0</v>
      </c>
      <c r="U505" s="74">
        <f t="shared" si="120"/>
        <v>7.6666666666666661E-2</v>
      </c>
      <c r="V505" s="74">
        <f t="shared" si="120"/>
        <v>7.6666666666666661E-2</v>
      </c>
      <c r="W505" s="74">
        <f t="shared" si="120"/>
        <v>7.6666666666666661E-2</v>
      </c>
      <c r="X505" s="74">
        <f t="shared" si="120"/>
        <v>7.6666666666666661E-2</v>
      </c>
      <c r="Y505" s="89">
        <f t="shared" si="118"/>
        <v>0.30666666666666664</v>
      </c>
      <c r="Z505" s="74">
        <f>Z54</f>
        <v>7.6666666666666661E-2</v>
      </c>
      <c r="AA505" s="74">
        <f t="shared" ref="AA505:AW505" si="121">AA54</f>
        <v>7.6666666666666661E-2</v>
      </c>
      <c r="AB505" s="74">
        <f t="shared" si="121"/>
        <v>7.6666666666666661E-2</v>
      </c>
      <c r="AC505" s="74">
        <f t="shared" si="121"/>
        <v>7.6666666666666661E-2</v>
      </c>
      <c r="AD505" s="74">
        <f t="shared" si="121"/>
        <v>7.6666666666666661E-2</v>
      </c>
      <c r="AE505" s="74">
        <f t="shared" si="121"/>
        <v>7.6666666666666661E-2</v>
      </c>
      <c r="AF505" s="74">
        <f t="shared" si="121"/>
        <v>7.6666666666666661E-2</v>
      </c>
      <c r="AG505" s="74">
        <f t="shared" si="121"/>
        <v>7.6666666666666661E-2</v>
      </c>
      <c r="AH505" s="74">
        <f t="shared" si="121"/>
        <v>7.6666666666666661E-2</v>
      </c>
      <c r="AI505" s="74">
        <f t="shared" si="121"/>
        <v>7.6666666666666661E-2</v>
      </c>
      <c r="AJ505" s="74">
        <f t="shared" si="121"/>
        <v>7.6666666666666661E-2</v>
      </c>
      <c r="AK505" s="74">
        <f t="shared" si="121"/>
        <v>7.6666666666666661E-2</v>
      </c>
      <c r="AL505" s="206">
        <f t="shared" si="119"/>
        <v>0.91999999999999993</v>
      </c>
      <c r="AM505" s="74">
        <f t="shared" si="121"/>
        <v>0.91999999999999993</v>
      </c>
      <c r="AN505" s="74">
        <f t="shared" si="121"/>
        <v>0.91999999999999993</v>
      </c>
      <c r="AO505" s="74">
        <f t="shared" si="121"/>
        <v>0.91999999999999993</v>
      </c>
      <c r="AP505" s="74">
        <f t="shared" si="121"/>
        <v>0.61333333333333329</v>
      </c>
      <c r="AQ505" s="74">
        <f t="shared" si="121"/>
        <v>0</v>
      </c>
      <c r="AR505" s="74">
        <f t="shared" si="121"/>
        <v>0</v>
      </c>
      <c r="AS505" s="74">
        <f t="shared" si="121"/>
        <v>0</v>
      </c>
      <c r="AT505" s="74">
        <f t="shared" si="121"/>
        <v>0</v>
      </c>
      <c r="AU505" s="74">
        <f t="shared" si="121"/>
        <v>0</v>
      </c>
      <c r="AV505" s="74">
        <f t="shared" si="121"/>
        <v>0</v>
      </c>
      <c r="AW505" s="74">
        <f t="shared" si="121"/>
        <v>0</v>
      </c>
      <c r="AX505" s="74"/>
      <c r="AY505" s="74"/>
    </row>
    <row r="506" spans="1:51">
      <c r="A506" s="894" t="s">
        <v>737</v>
      </c>
      <c r="B506" s="891" t="s">
        <v>976</v>
      </c>
      <c r="Y506" s="89">
        <f t="shared" si="118"/>
        <v>0</v>
      </c>
      <c r="AL506" s="206">
        <f t="shared" si="119"/>
        <v>0</v>
      </c>
    </row>
    <row r="507" spans="1:51">
      <c r="A507" s="894" t="s">
        <v>737</v>
      </c>
      <c r="B507" s="891" t="s">
        <v>976</v>
      </c>
      <c r="Y507" s="89">
        <f t="shared" si="118"/>
        <v>0</v>
      </c>
      <c r="AL507" s="206">
        <f t="shared" si="119"/>
        <v>0</v>
      </c>
    </row>
    <row r="508" spans="1:51">
      <c r="A508" s="894">
        <v>512.11</v>
      </c>
      <c r="B508" s="892" t="s">
        <v>976</v>
      </c>
      <c r="Y508" s="89">
        <f t="shared" si="118"/>
        <v>0</v>
      </c>
      <c r="AL508" s="206">
        <f t="shared" si="119"/>
        <v>0</v>
      </c>
    </row>
    <row r="509" spans="1:51">
      <c r="A509" s="894" t="s">
        <v>741</v>
      </c>
      <c r="B509" s="891" t="s">
        <v>977</v>
      </c>
      <c r="Y509" s="89">
        <f t="shared" si="118"/>
        <v>0</v>
      </c>
      <c r="AL509" s="206">
        <f t="shared" si="119"/>
        <v>0</v>
      </c>
    </row>
    <row r="510" spans="1:51">
      <c r="A510" s="894">
        <v>513.1</v>
      </c>
      <c r="B510" s="891" t="s">
        <v>977</v>
      </c>
      <c r="Y510" s="89">
        <f t="shared" si="118"/>
        <v>0</v>
      </c>
      <c r="AL510" s="206">
        <f t="shared" si="119"/>
        <v>0</v>
      </c>
    </row>
    <row r="511" spans="1:51">
      <c r="A511" s="894">
        <v>514.1</v>
      </c>
      <c r="B511" s="891" t="s">
        <v>978</v>
      </c>
      <c r="Y511" s="89">
        <f t="shared" si="118"/>
        <v>0</v>
      </c>
      <c r="AL511" s="206">
        <f t="shared" si="119"/>
        <v>0</v>
      </c>
    </row>
    <row r="512" spans="1:51">
      <c r="A512" s="894">
        <v>514.1</v>
      </c>
      <c r="B512" s="891" t="s">
        <v>978</v>
      </c>
      <c r="Y512" s="89">
        <f t="shared" si="118"/>
        <v>0</v>
      </c>
      <c r="AL512" s="206">
        <f t="shared" si="119"/>
        <v>0</v>
      </c>
    </row>
    <row r="513" spans="1:51">
      <c r="A513" s="894">
        <v>514.1</v>
      </c>
      <c r="B513" s="891" t="s">
        <v>978</v>
      </c>
      <c r="Y513" s="89">
        <f t="shared" si="118"/>
        <v>0</v>
      </c>
      <c r="AL513" s="206">
        <f t="shared" si="119"/>
        <v>0</v>
      </c>
    </row>
    <row r="514" spans="1:51">
      <c r="A514" s="894">
        <v>548.1</v>
      </c>
      <c r="B514" s="891" t="s">
        <v>979</v>
      </c>
      <c r="Y514" s="89">
        <f t="shared" si="118"/>
        <v>0</v>
      </c>
      <c r="AL514" s="206">
        <f t="shared" si="119"/>
        <v>0</v>
      </c>
    </row>
    <row r="515" spans="1:51">
      <c r="A515" s="894" t="s">
        <v>83</v>
      </c>
      <c r="B515" s="891" t="s">
        <v>84</v>
      </c>
      <c r="Y515" s="89">
        <f t="shared" si="118"/>
        <v>0</v>
      </c>
      <c r="AL515" s="206">
        <f t="shared" si="119"/>
        <v>0</v>
      </c>
    </row>
    <row r="516" spans="1:51">
      <c r="A516" s="894" t="s">
        <v>546</v>
      </c>
      <c r="B516" s="891" t="s">
        <v>89</v>
      </c>
      <c r="Y516" s="89">
        <f t="shared" si="118"/>
        <v>0</v>
      </c>
      <c r="AL516" s="206">
        <f t="shared" si="119"/>
        <v>0</v>
      </c>
    </row>
    <row r="517" spans="1:51">
      <c r="A517" s="894" t="s">
        <v>548</v>
      </c>
      <c r="B517" s="891" t="s">
        <v>90</v>
      </c>
      <c r="Y517" s="89">
        <f t="shared" si="118"/>
        <v>0</v>
      </c>
      <c r="AL517" s="206">
        <f t="shared" si="119"/>
        <v>0</v>
      </c>
    </row>
    <row r="518" spans="1:51">
      <c r="A518" s="894" t="s">
        <v>646</v>
      </c>
      <c r="B518" s="891" t="s">
        <v>91</v>
      </c>
      <c r="Y518" s="89">
        <f t="shared" si="118"/>
        <v>0</v>
      </c>
      <c r="AL518" s="206">
        <f t="shared" si="119"/>
        <v>0</v>
      </c>
    </row>
    <row r="519" spans="1:51">
      <c r="A519" s="894" t="s">
        <v>92</v>
      </c>
      <c r="B519" s="891" t="s">
        <v>93</v>
      </c>
      <c r="Y519" s="89">
        <f t="shared" si="118"/>
        <v>0</v>
      </c>
      <c r="AL519" s="206">
        <f t="shared" si="119"/>
        <v>0</v>
      </c>
    </row>
    <row r="520" spans="1:51">
      <c r="A520" s="894" t="s">
        <v>647</v>
      </c>
      <c r="B520" s="891" t="s">
        <v>94</v>
      </c>
      <c r="Y520" s="89">
        <f t="shared" si="118"/>
        <v>0</v>
      </c>
      <c r="AL520" s="206">
        <f t="shared" si="119"/>
        <v>0</v>
      </c>
    </row>
    <row r="521" spans="1:51" s="569" customFormat="1">
      <c r="A521" s="894">
        <v>557.35</v>
      </c>
      <c r="B521" s="891" t="s">
        <v>1010</v>
      </c>
      <c r="C521" s="165"/>
      <c r="L521" s="88"/>
      <c r="M521" s="4">
        <f t="shared" ref="M521:X521" si="122">M52</f>
        <v>-0.25054184067341095</v>
      </c>
      <c r="N521" s="4">
        <f t="shared" si="122"/>
        <v>-0.22577570239118511</v>
      </c>
      <c r="O521" s="4">
        <f t="shared" si="122"/>
        <v>-0.20995766122140228</v>
      </c>
      <c r="P521" s="4">
        <f t="shared" si="122"/>
        <v>-0.18144543463118462</v>
      </c>
      <c r="Q521" s="4">
        <f t="shared" si="122"/>
        <v>-0.19328434038801445</v>
      </c>
      <c r="R521" s="4">
        <f t="shared" si="122"/>
        <v>-0.22946192074250782</v>
      </c>
      <c r="S521" s="4">
        <f t="shared" si="122"/>
        <v>-0.250241328599762</v>
      </c>
      <c r="T521" s="4">
        <f t="shared" si="122"/>
        <v>-0.25906003936442179</v>
      </c>
      <c r="U521" s="4">
        <f t="shared" si="122"/>
        <v>-8.5043816098749281E-2</v>
      </c>
      <c r="V521" s="4">
        <f t="shared" si="122"/>
        <v>-8.0882635975811593E-2</v>
      </c>
      <c r="W521" s="4">
        <f t="shared" si="122"/>
        <v>-8.5079640114249247E-2</v>
      </c>
      <c r="X521" s="4">
        <f t="shared" si="122"/>
        <v>-8.5815650920839398E-2</v>
      </c>
      <c r="Y521" s="89">
        <f>SUM(M521:X521)</f>
        <v>-2.1365900111215383</v>
      </c>
      <c r="Z521" s="4">
        <f t="shared" ref="Z521:AK521" si="123">Z52</f>
        <v>-9.0383952576787496E-2</v>
      </c>
      <c r="AA521" s="4">
        <f t="shared" si="123"/>
        <v>-9.5802386538704931E-2</v>
      </c>
      <c r="AB521" s="4">
        <f t="shared" si="123"/>
        <v>-8.7911979935825404E-2</v>
      </c>
      <c r="AC521" s="4">
        <f t="shared" si="123"/>
        <v>-8.6296908749704415E-2</v>
      </c>
      <c r="AD521" s="4">
        <f t="shared" si="123"/>
        <v>-8.6015510175350668E-2</v>
      </c>
      <c r="AE521" s="4">
        <f t="shared" si="123"/>
        <v>-9.1596256374066154E-2</v>
      </c>
      <c r="AF521" s="4">
        <f t="shared" si="123"/>
        <v>-9.0344206771750646E-2</v>
      </c>
      <c r="AG521" s="4">
        <f t="shared" si="123"/>
        <v>-9.0123914157239471E-2</v>
      </c>
      <c r="AH521" s="4">
        <f t="shared" si="123"/>
        <v>5.1473228723582232E-3</v>
      </c>
      <c r="AI521" s="4">
        <f t="shared" si="123"/>
        <v>1.0368266666149345E-3</v>
      </c>
      <c r="AJ521" s="4">
        <f t="shared" si="123"/>
        <v>5.2848706739710982E-3</v>
      </c>
      <c r="AK521" s="4">
        <f t="shared" si="123"/>
        <v>2.962862257224487E-2</v>
      </c>
      <c r="AL521" s="206">
        <f t="shared" si="119"/>
        <v>-0.67737747249423996</v>
      </c>
      <c r="AM521" s="4">
        <f t="shared" ref="AM521:AW521" si="124">AM52</f>
        <v>-4.5636537071599959</v>
      </c>
      <c r="AN521" s="4">
        <f t="shared" si="124"/>
        <v>0.12056534973518174</v>
      </c>
      <c r="AO521" s="4">
        <f t="shared" si="124"/>
        <v>-1.4394464974925913E-2</v>
      </c>
      <c r="AP521" s="4">
        <f t="shared" si="124"/>
        <v>-0.33713383154344045</v>
      </c>
      <c r="AQ521" s="4">
        <f t="shared" si="124"/>
        <v>1.1167352108607531E-3</v>
      </c>
      <c r="AR521" s="4">
        <f t="shared" si="124"/>
        <v>1.508806581833122E-2</v>
      </c>
      <c r="AS521" s="4">
        <f t="shared" si="124"/>
        <v>-0.35859041296635707</v>
      </c>
      <c r="AT521" s="4">
        <f t="shared" si="124"/>
        <v>2.6263639512578152E-3</v>
      </c>
      <c r="AU521" s="4">
        <f t="shared" si="124"/>
        <v>-1.4715935314413287E-3</v>
      </c>
      <c r="AV521" s="4">
        <f t="shared" si="124"/>
        <v>-0.36172224985790091</v>
      </c>
      <c r="AW521" s="4">
        <f t="shared" si="124"/>
        <v>-1.0686403110240938E-2</v>
      </c>
      <c r="AX521" s="4"/>
      <c r="AY521" s="4"/>
    </row>
    <row r="522" spans="1:51">
      <c r="A522" s="894" t="s">
        <v>744</v>
      </c>
      <c r="B522" s="891" t="s">
        <v>980</v>
      </c>
      <c r="Y522" s="89">
        <f t="shared" ref="Y522:Y571" si="125">SUM(M522:X522)</f>
        <v>0</v>
      </c>
      <c r="AL522" s="206">
        <f t="shared" si="119"/>
        <v>0</v>
      </c>
    </row>
    <row r="523" spans="1:51">
      <c r="A523" s="894">
        <v>560.1</v>
      </c>
      <c r="B523" s="891" t="s">
        <v>980</v>
      </c>
      <c r="Y523" s="89">
        <f t="shared" si="125"/>
        <v>0</v>
      </c>
      <c r="AL523" s="206">
        <f t="shared" si="119"/>
        <v>0</v>
      </c>
    </row>
    <row r="524" spans="1:51">
      <c r="A524" s="894" t="s">
        <v>746</v>
      </c>
      <c r="B524" s="891" t="s">
        <v>981</v>
      </c>
      <c r="Y524" s="89">
        <f t="shared" si="125"/>
        <v>0</v>
      </c>
      <c r="AL524" s="206">
        <f t="shared" si="119"/>
        <v>0</v>
      </c>
    </row>
    <row r="525" spans="1:51">
      <c r="A525" s="894" t="s">
        <v>751</v>
      </c>
      <c r="B525" s="891" t="s">
        <v>982</v>
      </c>
      <c r="Y525" s="89">
        <f t="shared" si="125"/>
        <v>0</v>
      </c>
      <c r="AL525" s="206">
        <f t="shared" si="119"/>
        <v>0</v>
      </c>
    </row>
    <row r="526" spans="1:51">
      <c r="A526" s="894">
        <v>561.1</v>
      </c>
      <c r="B526" s="891" t="s">
        <v>982</v>
      </c>
      <c r="Y526" s="89">
        <f t="shared" si="125"/>
        <v>0</v>
      </c>
      <c r="AL526" s="206">
        <f t="shared" si="119"/>
        <v>0</v>
      </c>
    </row>
    <row r="527" spans="1:51">
      <c r="A527" s="894">
        <v>561.4</v>
      </c>
      <c r="B527" s="891" t="s">
        <v>869</v>
      </c>
      <c r="Y527" s="89">
        <f t="shared" si="125"/>
        <v>0</v>
      </c>
      <c r="AL527" s="206">
        <f t="shared" si="119"/>
        <v>0</v>
      </c>
    </row>
    <row r="528" spans="1:51">
      <c r="A528" s="894">
        <v>561.79999999999995</v>
      </c>
      <c r="B528" s="891" t="s">
        <v>869</v>
      </c>
      <c r="Y528" s="89">
        <f t="shared" si="125"/>
        <v>0</v>
      </c>
      <c r="AL528" s="206">
        <f t="shared" si="119"/>
        <v>0</v>
      </c>
    </row>
    <row r="529" spans="1:38">
      <c r="A529" s="894" t="s">
        <v>753</v>
      </c>
      <c r="B529" s="891" t="s">
        <v>983</v>
      </c>
      <c r="Y529" s="89">
        <f t="shared" si="125"/>
        <v>0</v>
      </c>
      <c r="AL529" s="206">
        <f t="shared" si="119"/>
        <v>0</v>
      </c>
    </row>
    <row r="530" spans="1:38">
      <c r="A530" s="894">
        <v>562.1</v>
      </c>
      <c r="B530" s="891" t="s">
        <v>983</v>
      </c>
      <c r="Y530" s="89">
        <f t="shared" si="125"/>
        <v>0</v>
      </c>
      <c r="AL530" s="206">
        <f t="shared" si="119"/>
        <v>0</v>
      </c>
    </row>
    <row r="531" spans="1:38">
      <c r="A531" s="894" t="s">
        <v>755</v>
      </c>
      <c r="B531" s="891" t="s">
        <v>984</v>
      </c>
      <c r="Y531" s="89">
        <f t="shared" si="125"/>
        <v>0</v>
      </c>
      <c r="AL531" s="206">
        <f t="shared" si="119"/>
        <v>0</v>
      </c>
    </row>
    <row r="532" spans="1:38">
      <c r="A532" s="894">
        <v>563.1</v>
      </c>
      <c r="B532" s="891" t="s">
        <v>984</v>
      </c>
      <c r="Y532" s="89">
        <f t="shared" si="125"/>
        <v>0</v>
      </c>
      <c r="AL532" s="206">
        <f t="shared" si="119"/>
        <v>0</v>
      </c>
    </row>
    <row r="533" spans="1:38">
      <c r="A533" s="894" t="s">
        <v>649</v>
      </c>
      <c r="B533" s="891" t="s">
        <v>99</v>
      </c>
      <c r="Y533" s="89">
        <f t="shared" si="125"/>
        <v>0</v>
      </c>
      <c r="AL533" s="206">
        <f t="shared" si="119"/>
        <v>0</v>
      </c>
    </row>
    <row r="534" spans="1:38">
      <c r="A534" s="894" t="s">
        <v>757</v>
      </c>
      <c r="B534" s="891" t="s">
        <v>985</v>
      </c>
      <c r="Y534" s="89">
        <f t="shared" si="125"/>
        <v>0</v>
      </c>
      <c r="AL534" s="206">
        <f t="shared" si="119"/>
        <v>0</v>
      </c>
    </row>
    <row r="535" spans="1:38">
      <c r="A535" s="894">
        <v>566.1</v>
      </c>
      <c r="B535" s="891" t="s">
        <v>985</v>
      </c>
      <c r="Y535" s="89">
        <f t="shared" si="125"/>
        <v>0</v>
      </c>
      <c r="AL535" s="206">
        <f t="shared" si="119"/>
        <v>0</v>
      </c>
    </row>
    <row r="536" spans="1:38">
      <c r="A536" s="894" t="s">
        <v>794</v>
      </c>
      <c r="B536" s="891" t="s">
        <v>986</v>
      </c>
      <c r="Y536" s="89">
        <f t="shared" si="125"/>
        <v>0</v>
      </c>
      <c r="AL536" s="206">
        <f t="shared" si="119"/>
        <v>0</v>
      </c>
    </row>
    <row r="537" spans="1:38">
      <c r="A537" s="894">
        <v>566.20000000000005</v>
      </c>
      <c r="B537" s="891" t="s">
        <v>986</v>
      </c>
      <c r="Y537" s="89">
        <f t="shared" si="125"/>
        <v>0</v>
      </c>
      <c r="AL537" s="206">
        <f t="shared" si="119"/>
        <v>0</v>
      </c>
    </row>
    <row r="538" spans="1:38">
      <c r="A538" s="894" t="s">
        <v>100</v>
      </c>
      <c r="B538" s="891" t="s">
        <v>101</v>
      </c>
      <c r="Y538" s="89">
        <f t="shared" si="125"/>
        <v>0</v>
      </c>
      <c r="AL538" s="206">
        <f t="shared" si="119"/>
        <v>0</v>
      </c>
    </row>
    <row r="539" spans="1:38">
      <c r="A539" s="894" t="s">
        <v>796</v>
      </c>
      <c r="B539" s="891" t="s">
        <v>987</v>
      </c>
      <c r="Y539" s="89">
        <f t="shared" si="125"/>
        <v>0</v>
      </c>
      <c r="AL539" s="206">
        <f t="shared" si="119"/>
        <v>0</v>
      </c>
    </row>
    <row r="540" spans="1:38">
      <c r="A540" s="894">
        <v>568.1</v>
      </c>
      <c r="B540" s="891" t="s">
        <v>987</v>
      </c>
      <c r="Y540" s="89">
        <f t="shared" si="125"/>
        <v>0</v>
      </c>
      <c r="AL540" s="206">
        <f t="shared" si="119"/>
        <v>0</v>
      </c>
    </row>
    <row r="541" spans="1:38">
      <c r="A541" s="894" t="s">
        <v>798</v>
      </c>
      <c r="B541" s="891" t="s">
        <v>988</v>
      </c>
      <c r="Y541" s="89">
        <f t="shared" si="125"/>
        <v>0</v>
      </c>
      <c r="AL541" s="206">
        <f t="shared" si="119"/>
        <v>0</v>
      </c>
    </row>
    <row r="542" spans="1:38">
      <c r="A542" s="894" t="s">
        <v>102</v>
      </c>
      <c r="B542" s="891" t="s">
        <v>989</v>
      </c>
      <c r="Y542" s="89">
        <f t="shared" si="125"/>
        <v>0</v>
      </c>
      <c r="AL542" s="206">
        <f t="shared" si="119"/>
        <v>0</v>
      </c>
    </row>
    <row r="543" spans="1:38">
      <c r="A543" s="894">
        <v>569.1</v>
      </c>
      <c r="B543" s="891" t="s">
        <v>989</v>
      </c>
      <c r="Y543" s="89">
        <f t="shared" si="125"/>
        <v>0</v>
      </c>
      <c r="AL543" s="206">
        <f t="shared" si="119"/>
        <v>0</v>
      </c>
    </row>
    <row r="544" spans="1:38">
      <c r="A544" s="894" t="s">
        <v>800</v>
      </c>
      <c r="B544" s="891" t="s">
        <v>990</v>
      </c>
      <c r="Y544" s="89">
        <f t="shared" si="125"/>
        <v>0</v>
      </c>
      <c r="AL544" s="206">
        <f t="shared" si="119"/>
        <v>0</v>
      </c>
    </row>
    <row r="545" spans="1:38">
      <c r="A545" s="894">
        <v>570.1</v>
      </c>
      <c r="B545" s="891" t="s">
        <v>990</v>
      </c>
      <c r="Y545" s="89">
        <f t="shared" si="125"/>
        <v>0</v>
      </c>
      <c r="AL545" s="206">
        <f t="shared" si="119"/>
        <v>0</v>
      </c>
    </row>
    <row r="546" spans="1:38">
      <c r="A546" s="894" t="s">
        <v>802</v>
      </c>
      <c r="B546" s="891" t="s">
        <v>991</v>
      </c>
      <c r="Y546" s="89">
        <f t="shared" si="125"/>
        <v>0</v>
      </c>
      <c r="AL546" s="206">
        <f t="shared" si="119"/>
        <v>0</v>
      </c>
    </row>
    <row r="547" spans="1:38">
      <c r="A547" s="894">
        <v>571.1</v>
      </c>
      <c r="B547" s="891" t="s">
        <v>991</v>
      </c>
      <c r="Y547" s="89">
        <f t="shared" si="125"/>
        <v>0</v>
      </c>
      <c r="AL547" s="206">
        <f t="shared" si="119"/>
        <v>0</v>
      </c>
    </row>
    <row r="548" spans="1:38">
      <c r="A548" s="894" t="s">
        <v>804</v>
      </c>
      <c r="B548" s="891" t="s">
        <v>992</v>
      </c>
      <c r="Y548" s="89">
        <f t="shared" si="125"/>
        <v>0</v>
      </c>
      <c r="AL548" s="206">
        <f t="shared" si="119"/>
        <v>0</v>
      </c>
    </row>
    <row r="549" spans="1:38">
      <c r="A549" s="894">
        <v>573.1</v>
      </c>
      <c r="B549" s="891" t="s">
        <v>992</v>
      </c>
      <c r="Y549" s="89">
        <f t="shared" si="125"/>
        <v>0</v>
      </c>
      <c r="AL549" s="206">
        <f t="shared" si="119"/>
        <v>0</v>
      </c>
    </row>
    <row r="550" spans="1:38">
      <c r="A550" s="894" t="s">
        <v>806</v>
      </c>
      <c r="B550" s="891" t="s">
        <v>993</v>
      </c>
      <c r="Y550" s="89">
        <f t="shared" si="125"/>
        <v>0</v>
      </c>
      <c r="AL550" s="206">
        <f t="shared" si="119"/>
        <v>0</v>
      </c>
    </row>
    <row r="551" spans="1:38">
      <c r="A551" s="894">
        <v>575.70000000000005</v>
      </c>
      <c r="B551" s="891" t="s">
        <v>870</v>
      </c>
      <c r="Y551" s="89">
        <f t="shared" si="125"/>
        <v>0</v>
      </c>
      <c r="AL551" s="206">
        <f t="shared" si="119"/>
        <v>0</v>
      </c>
    </row>
    <row r="552" spans="1:38">
      <c r="A552" s="894" t="s">
        <v>808</v>
      </c>
      <c r="B552" s="891" t="s">
        <v>994</v>
      </c>
      <c r="Y552" s="89">
        <f t="shared" si="125"/>
        <v>0</v>
      </c>
      <c r="AL552" s="206">
        <f t="shared" si="119"/>
        <v>0</v>
      </c>
    </row>
    <row r="553" spans="1:38">
      <c r="A553" s="894">
        <v>908.1</v>
      </c>
      <c r="B553" s="891" t="s">
        <v>994</v>
      </c>
      <c r="Y553" s="89">
        <f t="shared" si="125"/>
        <v>0</v>
      </c>
      <c r="AL553" s="206">
        <f t="shared" si="119"/>
        <v>0</v>
      </c>
    </row>
    <row r="554" spans="1:38">
      <c r="A554" s="894">
        <v>909.1</v>
      </c>
      <c r="B554" s="891" t="s">
        <v>105</v>
      </c>
      <c r="Y554" s="89">
        <f t="shared" si="125"/>
        <v>0</v>
      </c>
      <c r="AL554" s="206">
        <f t="shared" si="119"/>
        <v>0</v>
      </c>
    </row>
    <row r="555" spans="1:38">
      <c r="A555" s="894">
        <v>913.1</v>
      </c>
      <c r="B555" s="891" t="s">
        <v>106</v>
      </c>
      <c r="Y555" s="89">
        <f t="shared" si="125"/>
        <v>0</v>
      </c>
      <c r="AL555" s="206">
        <f t="shared" si="119"/>
        <v>0</v>
      </c>
    </row>
    <row r="556" spans="1:38">
      <c r="A556" s="894" t="s">
        <v>810</v>
      </c>
      <c r="B556" s="891" t="s">
        <v>107</v>
      </c>
      <c r="Y556" s="89">
        <f t="shared" si="125"/>
        <v>0</v>
      </c>
      <c r="AL556" s="206">
        <f t="shared" si="119"/>
        <v>0</v>
      </c>
    </row>
    <row r="557" spans="1:38">
      <c r="A557" s="894" t="s">
        <v>626</v>
      </c>
      <c r="B557" s="891" t="s">
        <v>108</v>
      </c>
      <c r="Y557" s="89">
        <f t="shared" si="125"/>
        <v>0</v>
      </c>
      <c r="AL557" s="206">
        <f t="shared" si="119"/>
        <v>0</v>
      </c>
    </row>
    <row r="558" spans="1:38">
      <c r="A558" s="894" t="s">
        <v>628</v>
      </c>
      <c r="B558" s="891" t="s">
        <v>109</v>
      </c>
      <c r="Y558" s="89">
        <f t="shared" si="125"/>
        <v>0</v>
      </c>
      <c r="AL558" s="206">
        <f t="shared" si="119"/>
        <v>0</v>
      </c>
    </row>
    <row r="559" spans="1:38">
      <c r="A559" s="894">
        <v>921.10500000000002</v>
      </c>
      <c r="B559" s="893" t="s">
        <v>995</v>
      </c>
      <c r="Y559" s="89">
        <f t="shared" si="125"/>
        <v>0</v>
      </c>
      <c r="AL559" s="206">
        <f t="shared" si="119"/>
        <v>0</v>
      </c>
    </row>
    <row r="560" spans="1:38">
      <c r="A560" s="894" t="s">
        <v>637</v>
      </c>
      <c r="B560" s="891" t="s">
        <v>113</v>
      </c>
      <c r="Y560" s="89">
        <f t="shared" si="125"/>
        <v>0</v>
      </c>
      <c r="AL560" s="206">
        <f t="shared" si="119"/>
        <v>0</v>
      </c>
    </row>
    <row r="561" spans="1:51">
      <c r="A561" s="894">
        <v>923.1</v>
      </c>
      <c r="B561" s="891" t="s">
        <v>113</v>
      </c>
      <c r="M561" s="232">
        <f t="shared" ref="M561:X561" si="126">M53</f>
        <v>2.1335972121212122E-2</v>
      </c>
      <c r="N561" s="232">
        <f t="shared" si="126"/>
        <v>2.1335972121212122E-2</v>
      </c>
      <c r="O561" s="232">
        <f t="shared" si="126"/>
        <v>2.1335972121212122E-2</v>
      </c>
      <c r="P561" s="232">
        <f t="shared" si="126"/>
        <v>2.1335972121212122E-2</v>
      </c>
      <c r="Q561" s="232">
        <f t="shared" si="126"/>
        <v>2.1335972121212122E-2</v>
      </c>
      <c r="R561" s="232">
        <f t="shared" si="126"/>
        <v>2.1335972121212122E-2</v>
      </c>
      <c r="S561" s="232">
        <f t="shared" si="126"/>
        <v>2.1335972121212122E-2</v>
      </c>
      <c r="T561" s="232">
        <f t="shared" si="126"/>
        <v>2.1335972121212122E-2</v>
      </c>
      <c r="U561" s="232">
        <f t="shared" si="126"/>
        <v>6.5390888787878784E-2</v>
      </c>
      <c r="V561" s="232">
        <f t="shared" si="126"/>
        <v>6.5390888787878784E-2</v>
      </c>
      <c r="W561" s="232">
        <f t="shared" si="126"/>
        <v>6.5390888787878784E-2</v>
      </c>
      <c r="X561" s="232">
        <f t="shared" si="126"/>
        <v>6.5390888787878784E-2</v>
      </c>
      <c r="Y561" s="89">
        <f t="shared" si="125"/>
        <v>0.4322513321212122</v>
      </c>
      <c r="Z561" s="232">
        <f t="shared" ref="Z561:AK561" si="127">Z53</f>
        <v>6.5390888787878784E-2</v>
      </c>
      <c r="AA561" s="232">
        <f t="shared" si="127"/>
        <v>6.5390888787878784E-2</v>
      </c>
      <c r="AB561" s="232">
        <f t="shared" si="127"/>
        <v>6.5390888787878784E-2</v>
      </c>
      <c r="AC561" s="232">
        <f t="shared" si="127"/>
        <v>6.5390888787878784E-2</v>
      </c>
      <c r="AD561" s="232">
        <f t="shared" si="127"/>
        <v>6.5390888787878784E-2</v>
      </c>
      <c r="AE561" s="232">
        <f t="shared" si="127"/>
        <v>6.5390888787878784E-2</v>
      </c>
      <c r="AF561" s="232">
        <f t="shared" si="127"/>
        <v>6.5390888787878784E-2</v>
      </c>
      <c r="AG561" s="232">
        <f t="shared" si="127"/>
        <v>6.5390888787878784E-2</v>
      </c>
      <c r="AH561" s="232">
        <f t="shared" si="127"/>
        <v>6.5390888787878784E-2</v>
      </c>
      <c r="AI561" s="232">
        <f t="shared" si="127"/>
        <v>6.5390888787878784E-2</v>
      </c>
      <c r="AJ561" s="232">
        <f t="shared" si="127"/>
        <v>6.5390888787878784E-2</v>
      </c>
      <c r="AK561" s="232">
        <f t="shared" si="127"/>
        <v>6.5390888787878784E-2</v>
      </c>
      <c r="AL561" s="206">
        <f>SUM(Z561:AK561)</f>
        <v>0.78469066545454547</v>
      </c>
      <c r="AM561" s="232">
        <f t="shared" ref="AM561:AW561" si="128">AM53</f>
        <v>0.72068274909090901</v>
      </c>
      <c r="AN561" s="232">
        <f t="shared" si="128"/>
        <v>0.35243933333333327</v>
      </c>
      <c r="AO561" s="232">
        <f t="shared" si="128"/>
        <v>0</v>
      </c>
      <c r="AP561" s="232">
        <f t="shared" si="128"/>
        <v>0</v>
      </c>
      <c r="AQ561" s="232">
        <f t="shared" si="128"/>
        <v>0</v>
      </c>
      <c r="AR561" s="232">
        <f t="shared" si="128"/>
        <v>0</v>
      </c>
      <c r="AS561" s="232">
        <f t="shared" si="128"/>
        <v>0</v>
      </c>
      <c r="AT561" s="232">
        <f t="shared" si="128"/>
        <v>0</v>
      </c>
      <c r="AU561" s="232">
        <f t="shared" si="128"/>
        <v>0</v>
      </c>
      <c r="AV561" s="232">
        <f t="shared" si="128"/>
        <v>0</v>
      </c>
      <c r="AW561" s="232">
        <f t="shared" si="128"/>
        <v>0</v>
      </c>
      <c r="AX561" s="232"/>
      <c r="AY561" s="232"/>
    </row>
    <row r="562" spans="1:51">
      <c r="A562" s="894" t="s">
        <v>114</v>
      </c>
      <c r="B562" s="891" t="s">
        <v>996</v>
      </c>
      <c r="Y562" s="89">
        <f t="shared" si="125"/>
        <v>0</v>
      </c>
      <c r="AL562" s="206">
        <f t="shared" ref="AL562:AL569" si="129">SUM(Z562:AK562)</f>
        <v>0</v>
      </c>
    </row>
    <row r="563" spans="1:51">
      <c r="A563" s="894" t="s">
        <v>115</v>
      </c>
      <c r="B563" s="891" t="s">
        <v>997</v>
      </c>
      <c r="Y563" s="89">
        <f t="shared" si="125"/>
        <v>0</v>
      </c>
      <c r="AL563" s="206">
        <f t="shared" si="129"/>
        <v>0</v>
      </c>
    </row>
    <row r="564" spans="1:51">
      <c r="A564" s="894">
        <v>926.1</v>
      </c>
      <c r="B564" s="891" t="s">
        <v>998</v>
      </c>
      <c r="Y564" s="89">
        <f t="shared" si="125"/>
        <v>0</v>
      </c>
      <c r="AL564" s="206">
        <f t="shared" si="129"/>
        <v>0</v>
      </c>
    </row>
    <row r="565" spans="1:51">
      <c r="A565" s="894" t="s">
        <v>630</v>
      </c>
      <c r="B565" s="891" t="s">
        <v>120</v>
      </c>
      <c r="Y565" s="89">
        <f t="shared" si="125"/>
        <v>0</v>
      </c>
      <c r="AL565" s="206">
        <f t="shared" si="129"/>
        <v>0</v>
      </c>
    </row>
    <row r="566" spans="1:51">
      <c r="A566" s="894">
        <v>930.2</v>
      </c>
      <c r="B566" s="891" t="s">
        <v>999</v>
      </c>
      <c r="Y566" s="89">
        <f t="shared" si="125"/>
        <v>0</v>
      </c>
      <c r="AL566" s="206">
        <f t="shared" si="129"/>
        <v>0</v>
      </c>
    </row>
    <row r="567" spans="1:51">
      <c r="A567" s="894" t="s">
        <v>122</v>
      </c>
      <c r="B567" s="891" t="s">
        <v>123</v>
      </c>
      <c r="Y567" s="89">
        <f t="shared" si="125"/>
        <v>0</v>
      </c>
      <c r="AL567" s="206">
        <f t="shared" si="129"/>
        <v>0</v>
      </c>
    </row>
    <row r="568" spans="1:51">
      <c r="A568" s="894">
        <v>935.1</v>
      </c>
      <c r="B568" s="891" t="s">
        <v>1000</v>
      </c>
      <c r="Y568" s="89">
        <f t="shared" si="125"/>
        <v>0</v>
      </c>
      <c r="AL568" s="206">
        <f t="shared" si="129"/>
        <v>0</v>
      </c>
    </row>
    <row r="569" spans="1:51" ht="15" customHeight="1">
      <c r="A569" s="894">
        <v>935.1</v>
      </c>
      <c r="B569" s="891" t="s">
        <v>1000</v>
      </c>
      <c r="Y569" s="89">
        <f t="shared" si="125"/>
        <v>0</v>
      </c>
      <c r="AL569" s="206">
        <f t="shared" si="129"/>
        <v>0</v>
      </c>
    </row>
    <row r="570" spans="1:51">
      <c r="Y570" s="89">
        <f t="shared" si="125"/>
        <v>0</v>
      </c>
    </row>
    <row r="571" spans="1:51">
      <c r="D571">
        <f t="shared" ref="D571:J571" si="130">SUM(D433:D570)</f>
        <v>0</v>
      </c>
      <c r="E571">
        <f t="shared" si="130"/>
        <v>0</v>
      </c>
      <c r="F571">
        <f t="shared" si="130"/>
        <v>0</v>
      </c>
      <c r="G571">
        <f t="shared" si="130"/>
        <v>0</v>
      </c>
      <c r="H571">
        <f t="shared" si="130"/>
        <v>0</v>
      </c>
      <c r="I571">
        <f t="shared" si="130"/>
        <v>0</v>
      </c>
      <c r="J571">
        <f t="shared" si="130"/>
        <v>0</v>
      </c>
      <c r="M571">
        <f t="shared" ref="M571:X571" si="131">SUM(M433:M570)</f>
        <v>-0.22920586855219882</v>
      </c>
      <c r="N571">
        <f t="shared" si="131"/>
        <v>-0.20443973026997297</v>
      </c>
      <c r="O571">
        <f t="shared" si="131"/>
        <v>-0.18862168910019014</v>
      </c>
      <c r="P571">
        <f t="shared" si="131"/>
        <v>-0.16010946250997249</v>
      </c>
      <c r="Q571">
        <f t="shared" si="131"/>
        <v>-0.17194836826680232</v>
      </c>
      <c r="R571">
        <f t="shared" si="131"/>
        <v>-0.20812594862129569</v>
      </c>
      <c r="S571">
        <f t="shared" si="131"/>
        <v>-0.22890535647854987</v>
      </c>
      <c r="T571">
        <f t="shared" si="131"/>
        <v>-0.23772406724320966</v>
      </c>
      <c r="U571">
        <f t="shared" si="131"/>
        <v>5.7013739355796164E-2</v>
      </c>
      <c r="V571">
        <f t="shared" si="131"/>
        <v>6.1174919478733852E-2</v>
      </c>
      <c r="W571">
        <f t="shared" si="131"/>
        <v>5.6977915340296198E-2</v>
      </c>
      <c r="X571">
        <f t="shared" si="131"/>
        <v>5.6241904533706047E-2</v>
      </c>
      <c r="Y571" s="89">
        <f t="shared" si="125"/>
        <v>-1.3976720123336597</v>
      </c>
      <c r="Z571">
        <f t="shared" ref="Z571:AK571" si="132">SUM(Z433:Z570)</f>
        <v>5.1673602877757949E-2</v>
      </c>
      <c r="AA571">
        <f t="shared" si="132"/>
        <v>4.6255168915840514E-2</v>
      </c>
      <c r="AB571">
        <f t="shared" si="132"/>
        <v>5.414557551872004E-2</v>
      </c>
      <c r="AC571">
        <f t="shared" si="132"/>
        <v>5.576064670484103E-2</v>
      </c>
      <c r="AD571">
        <f t="shared" si="132"/>
        <v>5.6042045279194777E-2</v>
      </c>
      <c r="AE571">
        <f t="shared" si="132"/>
        <v>5.0461299080479291E-2</v>
      </c>
      <c r="AF571">
        <f t="shared" si="132"/>
        <v>5.1713348682794799E-2</v>
      </c>
      <c r="AG571">
        <f t="shared" si="132"/>
        <v>5.1933641297305974E-2</v>
      </c>
      <c r="AH571">
        <f t="shared" si="132"/>
        <v>0.14720487832690365</v>
      </c>
      <c r="AI571">
        <f t="shared" si="132"/>
        <v>0.14309438212116038</v>
      </c>
      <c r="AJ571">
        <f t="shared" si="132"/>
        <v>0.14734242612851656</v>
      </c>
      <c r="AK571">
        <f t="shared" si="132"/>
        <v>0.17168617802679031</v>
      </c>
      <c r="AL571" s="88">
        <f>SUM(Z571:AK571)</f>
        <v>1.0273131929603054</v>
      </c>
      <c r="AM571">
        <f t="shared" ref="AM571:AW571" si="133">SUM(AM433:AM570)</f>
        <v>-2.922970958069087</v>
      </c>
      <c r="AN571">
        <f t="shared" si="133"/>
        <v>1.393004683068515</v>
      </c>
      <c r="AO571">
        <f t="shared" si="133"/>
        <v>0.90560553502507402</v>
      </c>
      <c r="AP571">
        <f t="shared" si="133"/>
        <v>0.27619950178989283</v>
      </c>
      <c r="AQ571">
        <f t="shared" si="133"/>
        <v>1.1167352108607531E-3</v>
      </c>
      <c r="AR571">
        <f t="shared" si="133"/>
        <v>1.508806581833122E-2</v>
      </c>
      <c r="AS571">
        <f t="shared" si="133"/>
        <v>-0.35859041296635707</v>
      </c>
      <c r="AT571">
        <f t="shared" si="133"/>
        <v>2.6263639512578152E-3</v>
      </c>
      <c r="AU571">
        <f t="shared" si="133"/>
        <v>-1.4715935314413287E-3</v>
      </c>
      <c r="AV571">
        <f t="shared" si="133"/>
        <v>-0.36172224985790091</v>
      </c>
      <c r="AW571">
        <f t="shared" si="133"/>
        <v>-1.0686403110240938E-2</v>
      </c>
    </row>
    <row r="572" spans="1:51">
      <c r="M572"/>
      <c r="N572"/>
      <c r="O572"/>
      <c r="P572"/>
      <c r="Q572"/>
      <c r="R572"/>
      <c r="S572"/>
      <c r="T572"/>
      <c r="U572"/>
      <c r="V572"/>
      <c r="W572"/>
      <c r="X572"/>
    </row>
    <row r="573" spans="1:51">
      <c r="M573"/>
      <c r="N573"/>
      <c r="O573"/>
      <c r="P573"/>
      <c r="Q573"/>
      <c r="R573"/>
      <c r="S573"/>
      <c r="T573"/>
      <c r="U573"/>
      <c r="V573"/>
      <c r="W573"/>
      <c r="X573"/>
    </row>
    <row r="574" spans="1:51">
      <c r="M574"/>
      <c r="N574"/>
      <c r="O574"/>
      <c r="P574"/>
      <c r="Q574"/>
      <c r="R574"/>
      <c r="S574"/>
      <c r="T574"/>
      <c r="U574"/>
      <c r="V574"/>
      <c r="W574"/>
      <c r="X574"/>
    </row>
    <row r="575" spans="1:51">
      <c r="D575" s="4">
        <f t="shared" ref="D575:J575" si="134">D52</f>
        <v>0</v>
      </c>
      <c r="E575" s="4">
        <f t="shared" si="134"/>
        <v>0</v>
      </c>
      <c r="F575" s="4">
        <f t="shared" si="134"/>
        <v>0</v>
      </c>
      <c r="G575" s="4">
        <f t="shared" si="134"/>
        <v>0</v>
      </c>
      <c r="H575" s="4">
        <f t="shared" si="134"/>
        <v>0</v>
      </c>
      <c r="I575" s="4">
        <f t="shared" si="134"/>
        <v>0</v>
      </c>
      <c r="J575" s="4">
        <f t="shared" si="134"/>
        <v>0</v>
      </c>
      <c r="K575" s="4"/>
      <c r="L575" s="89"/>
      <c r="M575" s="4">
        <f>M52</f>
        <v>-0.25054184067341095</v>
      </c>
      <c r="N575" s="4">
        <f>N52</f>
        <v>-0.22577570239118511</v>
      </c>
      <c r="O575" s="4">
        <f>O52+O53+O54</f>
        <v>-0.18862168910019014</v>
      </c>
      <c r="P575" s="4">
        <f t="shared" ref="P575:AW575" si="135">P52+P53+P54</f>
        <v>-0.16010946250997249</v>
      </c>
      <c r="Q575" s="4">
        <f t="shared" si="135"/>
        <v>-0.17194836826680232</v>
      </c>
      <c r="R575" s="4">
        <f t="shared" si="135"/>
        <v>-0.20812594862129569</v>
      </c>
      <c r="S575" s="4">
        <f t="shared" si="135"/>
        <v>-0.22890535647854987</v>
      </c>
      <c r="T575" s="4">
        <f t="shared" si="135"/>
        <v>-0.23772406724320966</v>
      </c>
      <c r="U575" s="4">
        <f t="shared" si="135"/>
        <v>5.7013739355796164E-2</v>
      </c>
      <c r="V575" s="4">
        <f t="shared" si="135"/>
        <v>6.1174919478733852E-2</v>
      </c>
      <c r="W575" s="4">
        <f t="shared" si="135"/>
        <v>5.6977915340296198E-2</v>
      </c>
      <c r="X575" s="4">
        <f t="shared" si="135"/>
        <v>5.6241904533706047E-2</v>
      </c>
      <c r="Y575" s="824">
        <f t="shared" si="135"/>
        <v>-1.3976720123336595</v>
      </c>
      <c r="Z575" s="4">
        <f t="shared" si="135"/>
        <v>5.1673602877757949E-2</v>
      </c>
      <c r="AA575" s="4">
        <f t="shared" si="135"/>
        <v>4.6255168915840514E-2</v>
      </c>
      <c r="AB575" s="4">
        <f t="shared" si="135"/>
        <v>5.414557551872004E-2</v>
      </c>
      <c r="AC575" s="4">
        <f t="shared" si="135"/>
        <v>5.576064670484103E-2</v>
      </c>
      <c r="AD575" s="4">
        <f t="shared" si="135"/>
        <v>5.6042045279194777E-2</v>
      </c>
      <c r="AE575" s="4">
        <f t="shared" si="135"/>
        <v>5.0461299080479291E-2</v>
      </c>
      <c r="AF575" s="4">
        <f t="shared" si="135"/>
        <v>5.1713348682794799E-2</v>
      </c>
      <c r="AG575" s="4">
        <f t="shared" si="135"/>
        <v>5.1933641297305974E-2</v>
      </c>
      <c r="AH575" s="4">
        <f t="shared" si="135"/>
        <v>0.14720487832690365</v>
      </c>
      <c r="AI575" s="4">
        <f t="shared" si="135"/>
        <v>0.14309438212116038</v>
      </c>
      <c r="AJ575" s="4">
        <f t="shared" si="135"/>
        <v>0.14734242612851656</v>
      </c>
      <c r="AK575" s="4">
        <f t="shared" si="135"/>
        <v>0.17168617802679031</v>
      </c>
      <c r="AL575" s="824">
        <f t="shared" si="135"/>
        <v>1.0273131929603054</v>
      </c>
      <c r="AM575" s="4">
        <f t="shared" si="135"/>
        <v>-2.922970958069087</v>
      </c>
      <c r="AN575" s="4">
        <f t="shared" si="135"/>
        <v>1.393004683068515</v>
      </c>
      <c r="AO575" s="4">
        <f t="shared" si="135"/>
        <v>0.90560553502507402</v>
      </c>
      <c r="AP575" s="4">
        <f t="shared" si="135"/>
        <v>0.27619950178989283</v>
      </c>
      <c r="AQ575" s="4">
        <f t="shared" si="135"/>
        <v>1.1167352108607531E-3</v>
      </c>
      <c r="AR575" s="4">
        <f t="shared" si="135"/>
        <v>1.508806581833122E-2</v>
      </c>
      <c r="AS575" s="4">
        <f t="shared" si="135"/>
        <v>-0.35859041296635707</v>
      </c>
      <c r="AT575" s="4">
        <f t="shared" si="135"/>
        <v>2.6263639512578152E-3</v>
      </c>
      <c r="AU575" s="4">
        <f t="shared" si="135"/>
        <v>-1.4715935314413287E-3</v>
      </c>
      <c r="AV575" s="4">
        <f t="shared" si="135"/>
        <v>-0.36172224985790091</v>
      </c>
      <c r="AW575" s="4">
        <f t="shared" si="135"/>
        <v>-1.0686403110240938E-2</v>
      </c>
      <c r="AX575" s="4"/>
      <c r="AY575" s="4"/>
    </row>
    <row r="576" spans="1:51">
      <c r="D576" s="4">
        <f>D571-D575</f>
        <v>0</v>
      </c>
      <c r="E576" s="4">
        <f t="shared" ref="E576:AW576" si="136">E571-E575</f>
        <v>0</v>
      </c>
      <c r="F576" s="4">
        <f t="shared" si="136"/>
        <v>0</v>
      </c>
      <c r="G576" s="4">
        <f t="shared" si="136"/>
        <v>0</v>
      </c>
      <c r="H576" s="4">
        <f t="shared" si="136"/>
        <v>0</v>
      </c>
      <c r="I576" s="4">
        <f t="shared" si="136"/>
        <v>0</v>
      </c>
      <c r="J576" s="4">
        <f t="shared" si="136"/>
        <v>0</v>
      </c>
      <c r="K576" s="4"/>
      <c r="L576" s="89"/>
      <c r="M576" s="4">
        <f t="shared" si="136"/>
        <v>2.1335972121212132E-2</v>
      </c>
      <c r="N576" s="4">
        <f t="shared" si="136"/>
        <v>2.1335972121212132E-2</v>
      </c>
      <c r="O576" s="4">
        <f t="shared" si="136"/>
        <v>0</v>
      </c>
      <c r="P576" s="4">
        <f t="shared" si="136"/>
        <v>0</v>
      </c>
      <c r="Q576" s="4">
        <f t="shared" si="136"/>
        <v>0</v>
      </c>
      <c r="R576" s="4">
        <f t="shared" si="136"/>
        <v>0</v>
      </c>
      <c r="S576" s="4">
        <f t="shared" si="136"/>
        <v>0</v>
      </c>
      <c r="T576" s="4">
        <f t="shared" si="136"/>
        <v>0</v>
      </c>
      <c r="U576" s="4">
        <f t="shared" si="136"/>
        <v>0</v>
      </c>
      <c r="V576" s="4">
        <f t="shared" si="136"/>
        <v>0</v>
      </c>
      <c r="W576" s="4">
        <f t="shared" si="136"/>
        <v>0</v>
      </c>
      <c r="X576" s="4">
        <f t="shared" si="136"/>
        <v>0</v>
      </c>
      <c r="Y576" s="89">
        <f t="shared" si="136"/>
        <v>0</v>
      </c>
      <c r="Z576" s="4">
        <f t="shared" si="136"/>
        <v>0</v>
      </c>
      <c r="AA576" s="4">
        <f t="shared" si="136"/>
        <v>0</v>
      </c>
      <c r="AB576" s="4">
        <f t="shared" si="136"/>
        <v>0</v>
      </c>
      <c r="AC576" s="4">
        <f t="shared" si="136"/>
        <v>0</v>
      </c>
      <c r="AD576" s="4">
        <f t="shared" si="136"/>
        <v>0</v>
      </c>
      <c r="AE576" s="4">
        <f t="shared" si="136"/>
        <v>0</v>
      </c>
      <c r="AF576" s="4">
        <f t="shared" si="136"/>
        <v>0</v>
      </c>
      <c r="AG576" s="4">
        <f t="shared" si="136"/>
        <v>0</v>
      </c>
      <c r="AH576" s="4">
        <f t="shared" si="136"/>
        <v>0</v>
      </c>
      <c r="AI576" s="4">
        <f t="shared" si="136"/>
        <v>0</v>
      </c>
      <c r="AJ576" s="4">
        <f t="shared" si="136"/>
        <v>0</v>
      </c>
      <c r="AK576" s="4">
        <f t="shared" si="136"/>
        <v>0</v>
      </c>
      <c r="AL576" s="89">
        <f t="shared" si="136"/>
        <v>0</v>
      </c>
      <c r="AM576" s="4">
        <f t="shared" si="136"/>
        <v>0</v>
      </c>
      <c r="AN576" s="4">
        <f t="shared" si="136"/>
        <v>0</v>
      </c>
      <c r="AO576" s="4">
        <f t="shared" si="136"/>
        <v>0</v>
      </c>
      <c r="AP576" s="4">
        <f t="shared" si="136"/>
        <v>0</v>
      </c>
      <c r="AQ576" s="4">
        <f t="shared" si="136"/>
        <v>0</v>
      </c>
      <c r="AR576" s="4">
        <f t="shared" si="136"/>
        <v>0</v>
      </c>
      <c r="AS576" s="4">
        <f t="shared" si="136"/>
        <v>0</v>
      </c>
      <c r="AT576" s="4">
        <f t="shared" si="136"/>
        <v>0</v>
      </c>
      <c r="AU576" s="4">
        <f t="shared" si="136"/>
        <v>0</v>
      </c>
      <c r="AV576" s="4">
        <f t="shared" si="136"/>
        <v>0</v>
      </c>
      <c r="AW576" s="4">
        <f t="shared" si="136"/>
        <v>0</v>
      </c>
      <c r="AX576" s="4"/>
      <c r="AY576" s="4"/>
    </row>
  </sheetData>
  <phoneticPr fontId="6" type="noConversion"/>
  <pageMargins left="0.75" right="0.75" top="1" bottom="1" header="0.5" footer="0.5"/>
  <pageSetup scale="1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5:AY720"/>
  <sheetViews>
    <sheetView zoomScale="75" workbookViewId="0">
      <pane xSplit="2" ySplit="6" topLeftCell="AG7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AX1" sqref="AX1:AY1048576"/>
    </sheetView>
  </sheetViews>
  <sheetFormatPr defaultRowHeight="12.75"/>
  <cols>
    <col min="1" max="1" width="9" bestFit="1" customWidth="1"/>
    <col min="2" max="2" width="35.85546875" customWidth="1"/>
    <col min="3" max="3" width="12.7109375" style="165" hidden="1" customWidth="1"/>
    <col min="4" max="7" width="12.7109375" hidden="1" customWidth="1"/>
    <col min="8" max="8" width="11.28515625" hidden="1" customWidth="1"/>
    <col min="9" max="10" width="12.7109375" hidden="1" customWidth="1"/>
    <col min="11" max="11" width="12.7109375" customWidth="1"/>
    <col min="12" max="12" width="11.42578125" style="88" customWidth="1"/>
    <col min="13" max="20" width="9" customWidth="1"/>
    <col min="21" max="22" width="9.7109375" customWidth="1"/>
    <col min="23" max="23" width="9.85546875" customWidth="1"/>
    <col min="24" max="24" width="10.28515625" customWidth="1"/>
    <col min="25" max="25" width="12.85546875" style="88" bestFit="1" customWidth="1"/>
    <col min="26" max="37" width="9.5703125" customWidth="1"/>
    <col min="38" max="38" width="9.5703125" style="88" customWidth="1"/>
    <col min="39" max="49" width="10.140625" bestFit="1" customWidth="1"/>
    <col min="50" max="51" width="10.140625" style="547" bestFit="1" customWidth="1"/>
  </cols>
  <sheetData>
    <row r="5" spans="2:51" s="1" customFormat="1">
      <c r="C5" s="187"/>
      <c r="D5" s="180"/>
      <c r="E5" s="180"/>
      <c r="F5" s="180"/>
      <c r="G5" s="180"/>
      <c r="H5" s="180"/>
      <c r="I5" s="180"/>
      <c r="J5" s="180"/>
      <c r="K5" s="180"/>
      <c r="L5" s="181"/>
      <c r="M5" s="180">
        <f>'Stmts RUS'!G1</f>
        <v>2013</v>
      </c>
      <c r="N5" s="180">
        <f>'Stmts RUS'!H1</f>
        <v>2013</v>
      </c>
      <c r="O5" s="180">
        <f>'Stmts RUS'!I1</f>
        <v>2013</v>
      </c>
      <c r="P5" s="180">
        <f>'Stmts RUS'!J1</f>
        <v>2013</v>
      </c>
      <c r="Q5" s="180">
        <f>'Stmts RUS'!K1</f>
        <v>2013</v>
      </c>
      <c r="R5" s="180">
        <f>'Stmts RUS'!L1</f>
        <v>2013</v>
      </c>
      <c r="S5" s="180">
        <f>'Stmts RUS'!M1</f>
        <v>2013</v>
      </c>
      <c r="T5" s="180">
        <f>'Stmts RUS'!N1</f>
        <v>2013</v>
      </c>
      <c r="U5" s="180">
        <f>'Stmts RUS'!O1</f>
        <v>2013</v>
      </c>
      <c r="V5" s="180">
        <f>'Stmts RUS'!P1</f>
        <v>2013</v>
      </c>
      <c r="W5" s="180">
        <f>'Stmts RUS'!Q1</f>
        <v>2013</v>
      </c>
      <c r="X5" s="180">
        <f>'Stmts RUS'!R1</f>
        <v>2013</v>
      </c>
      <c r="Y5" s="181">
        <f>'Stmts RUS'!S1</f>
        <v>0</v>
      </c>
      <c r="Z5" s="180">
        <f>'Stmts RUS'!T1</f>
        <v>2014</v>
      </c>
      <c r="AA5" s="180">
        <f>'Stmts RUS'!U1</f>
        <v>2014</v>
      </c>
      <c r="AB5" s="180">
        <f>'Stmts RUS'!V1</f>
        <v>2014</v>
      </c>
      <c r="AC5" s="180">
        <f>'Stmts RUS'!W1</f>
        <v>2014</v>
      </c>
      <c r="AD5" s="180">
        <f>'Stmts RUS'!X1</f>
        <v>2014</v>
      </c>
      <c r="AE5" s="180">
        <f>'Stmts RUS'!Y1</f>
        <v>2014</v>
      </c>
      <c r="AF5" s="180">
        <f>'Stmts RUS'!Z1</f>
        <v>2014</v>
      </c>
      <c r="AG5" s="180">
        <f>'Stmts RUS'!AA1</f>
        <v>2014</v>
      </c>
      <c r="AH5" s="180">
        <f>'Stmts RUS'!AB1</f>
        <v>2014</v>
      </c>
      <c r="AI5" s="180">
        <f>'Stmts RUS'!AC1</f>
        <v>2014</v>
      </c>
      <c r="AJ5" s="180">
        <f>'Stmts RUS'!AD1</f>
        <v>2014</v>
      </c>
      <c r="AK5" s="180">
        <f>'Stmts RUS'!AE1</f>
        <v>2014</v>
      </c>
      <c r="AL5" s="181">
        <f>'Stmts RUS'!AF1</f>
        <v>0</v>
      </c>
      <c r="AX5" s="904"/>
      <c r="AY5" s="904"/>
    </row>
    <row r="6" spans="2:51" s="1" customFormat="1">
      <c r="B6" s="184" t="s">
        <v>347</v>
      </c>
      <c r="C6" s="187"/>
      <c r="D6" s="180"/>
      <c r="E6" s="180"/>
      <c r="F6" s="180"/>
      <c r="G6" s="180"/>
      <c r="H6" s="180"/>
      <c r="I6" s="180"/>
      <c r="J6" s="180"/>
      <c r="K6" s="180"/>
      <c r="L6" s="181"/>
      <c r="M6" s="180" t="str">
        <f>'Stmts RUS'!G2</f>
        <v>January</v>
      </c>
      <c r="N6" s="180" t="str">
        <f>'Stmts RUS'!H2</f>
        <v>February</v>
      </c>
      <c r="O6" s="180" t="str">
        <f>'Stmts RUS'!I2</f>
        <v>March</v>
      </c>
      <c r="P6" s="180" t="str">
        <f>'Stmts RUS'!J2</f>
        <v>April</v>
      </c>
      <c r="Q6" s="180" t="str">
        <f>'Stmts RUS'!K2</f>
        <v>May</v>
      </c>
      <c r="R6" s="180" t="str">
        <f>'Stmts RUS'!L2</f>
        <v>June</v>
      </c>
      <c r="S6" s="180" t="str">
        <f>'Stmts RUS'!M2</f>
        <v>July</v>
      </c>
      <c r="T6" s="180" t="str">
        <f>'Stmts RUS'!N2</f>
        <v>August</v>
      </c>
      <c r="U6" s="180" t="str">
        <f>'Stmts RUS'!O2</f>
        <v>September</v>
      </c>
      <c r="V6" s="180" t="str">
        <f>'Stmts RUS'!P2</f>
        <v>October</v>
      </c>
      <c r="W6" s="180" t="str">
        <f>'Stmts RUS'!Q2</f>
        <v>November</v>
      </c>
      <c r="X6" s="180" t="str">
        <f>'Stmts RUS'!R2</f>
        <v>December</v>
      </c>
      <c r="Y6" s="181">
        <f>'Stmts RUS'!S2</f>
        <v>2013</v>
      </c>
      <c r="Z6" s="180" t="str">
        <f>'Stmts RUS'!T2</f>
        <v>January</v>
      </c>
      <c r="AA6" s="180" t="str">
        <f>'Stmts RUS'!U2</f>
        <v>February</v>
      </c>
      <c r="AB6" s="180" t="str">
        <f>'Stmts RUS'!V2</f>
        <v>March</v>
      </c>
      <c r="AC6" s="180" t="str">
        <f>'Stmts RUS'!W2</f>
        <v>April</v>
      </c>
      <c r="AD6" s="180" t="str">
        <f>'Stmts RUS'!X2</f>
        <v>May</v>
      </c>
      <c r="AE6" s="180" t="str">
        <f>'Stmts RUS'!Y2</f>
        <v>June</v>
      </c>
      <c r="AF6" s="180" t="str">
        <f>'Stmts RUS'!Z2</f>
        <v>July</v>
      </c>
      <c r="AG6" s="180" t="str">
        <f>'Stmts RUS'!AA2</f>
        <v>August</v>
      </c>
      <c r="AH6" s="180" t="str">
        <f>'Stmts RUS'!AB2</f>
        <v>September</v>
      </c>
      <c r="AI6" s="180" t="str">
        <f>'Stmts RUS'!AC2</f>
        <v>October</v>
      </c>
      <c r="AJ6" s="180" t="str">
        <f>'Stmts RUS'!AD2</f>
        <v>November</v>
      </c>
      <c r="AK6" s="180" t="str">
        <f>'Stmts RUS'!AE2</f>
        <v>December</v>
      </c>
      <c r="AL6" s="181">
        <f>'Stmts RUS'!AF2</f>
        <v>2014</v>
      </c>
      <c r="AM6" s="208">
        <f>'Stmts RUS'!AG2</f>
        <v>2015</v>
      </c>
      <c r="AN6" s="208">
        <f>'Stmts RUS'!AH2</f>
        <v>2016</v>
      </c>
      <c r="AO6" s="208">
        <f>'Stmts RUS'!AI2</f>
        <v>2017</v>
      </c>
      <c r="AP6" s="208">
        <f>'Stmts RUS'!AJ2</f>
        <v>2018</v>
      </c>
      <c r="AQ6" s="208">
        <f>'Stmts RUS'!AK2</f>
        <v>2019</v>
      </c>
      <c r="AR6" s="208">
        <f>'Stmts RUS'!AL2</f>
        <v>2020</v>
      </c>
      <c r="AS6" s="208">
        <f>'Stmts RUS'!AM2</f>
        <v>2021</v>
      </c>
      <c r="AT6" s="208">
        <f>'Stmts RUS'!AN2</f>
        <v>2022</v>
      </c>
      <c r="AU6" s="208">
        <f>'Stmts RUS'!AO2</f>
        <v>2023</v>
      </c>
      <c r="AV6" s="208">
        <f>'Stmts RUS'!AP2</f>
        <v>2024</v>
      </c>
      <c r="AW6" s="208">
        <f>'Stmts RUS'!AQ2</f>
        <v>2025</v>
      </c>
      <c r="AX6" s="905"/>
      <c r="AY6" s="905"/>
    </row>
    <row r="8" spans="2:51">
      <c r="B8" s="55" t="s">
        <v>577</v>
      </c>
    </row>
    <row r="9" spans="2:51">
      <c r="B9" t="s">
        <v>576</v>
      </c>
      <c r="D9" s="30"/>
      <c r="E9" s="30"/>
      <c r="F9" s="30"/>
      <c r="G9" s="30"/>
      <c r="H9" s="30"/>
      <c r="I9" s="30"/>
      <c r="J9" s="30"/>
      <c r="K9" s="30"/>
      <c r="M9" s="714">
        <f>K21</f>
        <v>682.5</v>
      </c>
      <c r="N9" s="714">
        <f>M21</f>
        <v>682.5</v>
      </c>
      <c r="O9" s="714">
        <f t="shared" ref="O9:X9" si="0">N21</f>
        <v>682.5</v>
      </c>
      <c r="P9" s="714">
        <f t="shared" si="0"/>
        <v>682.5</v>
      </c>
      <c r="Q9" s="714">
        <f t="shared" si="0"/>
        <v>682.5</v>
      </c>
      <c r="R9" s="714">
        <f t="shared" si="0"/>
        <v>682.50000000000011</v>
      </c>
      <c r="S9" s="714">
        <f t="shared" si="0"/>
        <v>682.50000000000011</v>
      </c>
      <c r="T9" s="714">
        <f t="shared" si="0"/>
        <v>682.50000000000011</v>
      </c>
      <c r="U9" s="714">
        <f t="shared" si="0"/>
        <v>682.50000000000011</v>
      </c>
      <c r="V9" s="714">
        <f t="shared" si="0"/>
        <v>682.50000000000011</v>
      </c>
      <c r="W9" s="714">
        <f t="shared" si="0"/>
        <v>682.5</v>
      </c>
      <c r="X9" s="714">
        <f t="shared" si="0"/>
        <v>682.5</v>
      </c>
      <c r="Y9" s="711"/>
      <c r="Z9" s="714">
        <f>X21</f>
        <v>682.5</v>
      </c>
      <c r="AA9" s="714">
        <f>Z21</f>
        <v>682.5</v>
      </c>
      <c r="AB9" s="714">
        <f t="shared" ref="AB9:AK9" si="1">AA21</f>
        <v>682.5</v>
      </c>
      <c r="AC9" s="714">
        <f t="shared" si="1"/>
        <v>682.5</v>
      </c>
      <c r="AD9" s="714">
        <f t="shared" si="1"/>
        <v>682.5</v>
      </c>
      <c r="AE9" s="714">
        <f t="shared" si="1"/>
        <v>682.5</v>
      </c>
      <c r="AF9" s="714">
        <f t="shared" si="1"/>
        <v>682.5</v>
      </c>
      <c r="AG9" s="714">
        <f t="shared" si="1"/>
        <v>682.5</v>
      </c>
      <c r="AH9" s="714">
        <f t="shared" si="1"/>
        <v>682.5</v>
      </c>
      <c r="AI9" s="714">
        <f t="shared" si="1"/>
        <v>682.5</v>
      </c>
      <c r="AJ9" s="714">
        <f t="shared" si="1"/>
        <v>682.5</v>
      </c>
      <c r="AK9" s="714">
        <f t="shared" si="1"/>
        <v>682.5</v>
      </c>
      <c r="AL9" s="711"/>
      <c r="AM9" s="714">
        <f>AK21</f>
        <v>682.5</v>
      </c>
      <c r="AN9" s="714">
        <f t="shared" ref="AN9:AP10" si="2">AM21</f>
        <v>682.50000000000045</v>
      </c>
      <c r="AO9" s="714">
        <f t="shared" si="2"/>
        <v>682.5</v>
      </c>
      <c r="AP9" s="714">
        <f t="shared" si="2"/>
        <v>682.5</v>
      </c>
      <c r="AQ9" s="714">
        <f t="shared" ref="AQ9:AW9" si="3">AP21</f>
        <v>682.49999999999955</v>
      </c>
      <c r="AR9" s="714">
        <f t="shared" si="3"/>
        <v>682.49999999999909</v>
      </c>
      <c r="AS9" s="714">
        <f t="shared" si="3"/>
        <v>682.49999999999909</v>
      </c>
      <c r="AT9" s="714">
        <f t="shared" si="3"/>
        <v>682.49999999999909</v>
      </c>
      <c r="AU9" s="714">
        <f t="shared" si="3"/>
        <v>682.49999999999909</v>
      </c>
      <c r="AV9" s="714">
        <f t="shared" si="3"/>
        <v>682.49999999999909</v>
      </c>
      <c r="AW9" s="714">
        <f t="shared" si="3"/>
        <v>682.49999999999909</v>
      </c>
      <c r="AX9" s="764"/>
      <c r="AY9" s="764"/>
    </row>
    <row r="10" spans="2:51">
      <c r="B10" t="s">
        <v>575</v>
      </c>
      <c r="D10" s="247"/>
      <c r="E10" s="247"/>
      <c r="F10" s="247"/>
      <c r="G10" s="247"/>
      <c r="H10" s="247"/>
      <c r="I10" s="247"/>
      <c r="J10" s="247"/>
      <c r="K10" s="247"/>
      <c r="M10" s="714">
        <f>K22</f>
        <v>34.145612190000001</v>
      </c>
      <c r="N10" s="714">
        <f>M22</f>
        <v>34.362394068152582</v>
      </c>
      <c r="O10" s="714">
        <f t="shared" ref="O10:X10" si="4">N22</f>
        <v>34.476641136690688</v>
      </c>
      <c r="P10" s="714">
        <f t="shared" si="4"/>
        <v>34.554483125089448</v>
      </c>
      <c r="Q10" s="714">
        <f t="shared" si="4"/>
        <v>34.410984133799943</v>
      </c>
      <c r="R10" s="714">
        <f t="shared" si="4"/>
        <v>34.366729355907928</v>
      </c>
      <c r="S10" s="714">
        <f t="shared" si="4"/>
        <v>34.487488133882664</v>
      </c>
      <c r="T10" s="714">
        <f t="shared" si="4"/>
        <v>34.603165717813496</v>
      </c>
      <c r="U10" s="714">
        <f t="shared" si="4"/>
        <v>34.624685212026776</v>
      </c>
      <c r="V10" s="714">
        <f t="shared" si="4"/>
        <v>34.923259423632032</v>
      </c>
      <c r="W10" s="714">
        <f t="shared" si="4"/>
        <v>35.141719610028069</v>
      </c>
      <c r="X10" s="714">
        <f t="shared" si="4"/>
        <v>35.28419853008846</v>
      </c>
      <c r="Y10" s="711"/>
      <c r="Z10" s="714">
        <f>X22</f>
        <v>35.371671068843561</v>
      </c>
      <c r="AA10" s="714">
        <f>Z22</f>
        <v>35.760649919053506</v>
      </c>
      <c r="AB10" s="714">
        <f t="shared" ref="AB10:AK10" si="5">AA22</f>
        <v>35.997896954700863</v>
      </c>
      <c r="AC10" s="714">
        <f t="shared" si="5"/>
        <v>36.248658875710902</v>
      </c>
      <c r="AD10" s="714">
        <f t="shared" si="5"/>
        <v>36.31620620864328</v>
      </c>
      <c r="AE10" s="714">
        <f t="shared" si="5"/>
        <v>36.275139397347274</v>
      </c>
      <c r="AF10" s="714">
        <f t="shared" si="5"/>
        <v>36.344648860442518</v>
      </c>
      <c r="AG10" s="714">
        <f t="shared" si="5"/>
        <v>36.392938532075377</v>
      </c>
      <c r="AH10" s="714">
        <f t="shared" si="5"/>
        <v>36.419593085513128</v>
      </c>
      <c r="AI10" s="714">
        <f t="shared" si="5"/>
        <v>36.450639883761475</v>
      </c>
      <c r="AJ10" s="714">
        <f t="shared" si="5"/>
        <v>36.484440658637546</v>
      </c>
      <c r="AK10" s="714">
        <f t="shared" si="5"/>
        <v>36.504495254537105</v>
      </c>
      <c r="AL10" s="711"/>
      <c r="AM10" s="714">
        <f>AK22</f>
        <v>36.51041011041908</v>
      </c>
      <c r="AN10" s="714">
        <f t="shared" si="2"/>
        <v>38.576619890917044</v>
      </c>
      <c r="AO10" s="714">
        <f t="shared" si="2"/>
        <v>39.280677929679428</v>
      </c>
      <c r="AP10" s="714">
        <f t="shared" si="2"/>
        <v>41.026521766412657</v>
      </c>
      <c r="AQ10" s="714">
        <f t="shared" ref="AQ10:AW10" si="6">AP22</f>
        <v>42.304186491982932</v>
      </c>
      <c r="AR10" s="714">
        <f t="shared" si="6"/>
        <v>43.504972567545451</v>
      </c>
      <c r="AS10" s="714">
        <f t="shared" si="6"/>
        <v>45.563116143637671</v>
      </c>
      <c r="AT10" s="714">
        <f t="shared" si="6"/>
        <v>46.971225695996111</v>
      </c>
      <c r="AU10" s="714">
        <f t="shared" si="6"/>
        <v>48.84044700596678</v>
      </c>
      <c r="AV10" s="714">
        <f t="shared" si="6"/>
        <v>51.238183412264448</v>
      </c>
      <c r="AW10" s="714">
        <f t="shared" si="6"/>
        <v>52.432458798226719</v>
      </c>
      <c r="AX10" s="764"/>
      <c r="AY10" s="764"/>
    </row>
    <row r="11" spans="2:51">
      <c r="D11" s="30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/>
      <c r="X11" s="714"/>
      <c r="Y11" s="711"/>
      <c r="Z11" s="714"/>
      <c r="AA11" s="714"/>
      <c r="AB11" s="714"/>
      <c r="AC11" s="714"/>
      <c r="AD11" s="714"/>
      <c r="AE11" s="714"/>
      <c r="AF11" s="714"/>
      <c r="AG11" s="714"/>
      <c r="AH11" s="714"/>
      <c r="AI11" s="714"/>
      <c r="AJ11" s="714"/>
      <c r="AK11" s="714"/>
      <c r="AL11" s="711"/>
      <c r="AM11" s="714"/>
      <c r="AN11" s="714"/>
      <c r="AO11" s="714"/>
      <c r="AP11" s="714"/>
      <c r="AQ11" s="714"/>
      <c r="AR11" s="714"/>
      <c r="AS11" s="714"/>
      <c r="AT11" s="714"/>
      <c r="AU11" s="714"/>
      <c r="AV11" s="714"/>
      <c r="AW11" s="714"/>
      <c r="AX11" s="764"/>
      <c r="AY11" s="764"/>
    </row>
    <row r="12" spans="2:51">
      <c r="B12" t="s">
        <v>581</v>
      </c>
      <c r="D12" s="30"/>
      <c r="E12" s="30"/>
      <c r="F12" s="30"/>
      <c r="G12" s="30"/>
      <c r="H12" s="30"/>
      <c r="I12" s="30"/>
      <c r="J12" s="30"/>
      <c r="K12" s="30"/>
      <c r="L12" s="227"/>
      <c r="M12" s="714">
        <f>PCM!N28</f>
        <v>24.811655844483848</v>
      </c>
      <c r="N12" s="714">
        <f>PCM!O28</f>
        <v>22.218903266340043</v>
      </c>
      <c r="O12" s="714">
        <f>PCM!P28</f>
        <v>23.964551708223762</v>
      </c>
      <c r="P12" s="714">
        <f>PCM!Q28</f>
        <v>20.665051906461613</v>
      </c>
      <c r="Q12" s="714">
        <f>PCM!R28</f>
        <v>21.010125361805635</v>
      </c>
      <c r="R12" s="714">
        <f>PCM!S28</f>
        <v>22.764773233054015</v>
      </c>
      <c r="S12" s="714">
        <f>PCM!T28</f>
        <v>24.357256611938318</v>
      </c>
      <c r="T12" s="714">
        <f>PCM!U28</f>
        <v>23.779308987130335</v>
      </c>
      <c r="U12" s="714">
        <f>PCM!V28</f>
        <v>17.134724252903222</v>
      </c>
      <c r="V12" s="714">
        <f>PCM!W28</f>
        <v>18.189468441585401</v>
      </c>
      <c r="W12" s="714">
        <f>PCM!X28</f>
        <v>17.609452136411466</v>
      </c>
      <c r="X12" s="714">
        <f>PCM!Y28</f>
        <v>18.053639948308991</v>
      </c>
      <c r="Y12" s="711">
        <f>SUM(M12:X12)</f>
        <v>254.55891169864665</v>
      </c>
      <c r="Z12" s="714">
        <f>PCM!AA28</f>
        <v>18.996283910261482</v>
      </c>
      <c r="AA12" s="714">
        <f>PCM!AB28</f>
        <v>17.046318449285536</v>
      </c>
      <c r="AB12" s="714">
        <f>PCM!AC28</f>
        <v>16.275212390365859</v>
      </c>
      <c r="AC12" s="714">
        <f>PCM!AD28</f>
        <v>14.594062127969078</v>
      </c>
      <c r="AD12" s="714">
        <f>PCM!AE28</f>
        <v>15.200374965328169</v>
      </c>
      <c r="AE12" s="714">
        <f>PCM!AF28</f>
        <v>17.599419835536114</v>
      </c>
      <c r="AF12" s="714">
        <f>PCM!AG28</f>
        <v>18.308050984992953</v>
      </c>
      <c r="AG12" s="714">
        <f>PCM!AH28</f>
        <v>18.243530202935048</v>
      </c>
      <c r="AH12" s="714">
        <f>PCM!AI28</f>
        <v>17.529621205520325</v>
      </c>
      <c r="AI12" s="714">
        <f>PCM!AJ28</f>
        <v>18.572319705511006</v>
      </c>
      <c r="AJ12" s="714">
        <f>PCM!AK28</f>
        <v>17.910572205168652</v>
      </c>
      <c r="AK12" s="714">
        <f>PCM!AL28</f>
        <v>18.277862361224091</v>
      </c>
      <c r="AL12" s="711">
        <f>SUM(Z12:AK12)</f>
        <v>208.55362834409831</v>
      </c>
      <c r="AM12" s="714">
        <f>PCM!AN28</f>
        <v>222.15935870771412</v>
      </c>
      <c r="AN12" s="714">
        <f>PCM!AO28</f>
        <v>223.26572639662504</v>
      </c>
      <c r="AO12" s="714">
        <f>PCM!AP28</f>
        <v>232.47108558057693</v>
      </c>
      <c r="AP12" s="714">
        <f>PCM!AQ28</f>
        <v>241.7568734483674</v>
      </c>
      <c r="AQ12" s="714">
        <f>PCM!AR28</f>
        <v>350.95718615522838</v>
      </c>
      <c r="AR12" s="714">
        <f>PCM!AS28</f>
        <v>389.12284681039529</v>
      </c>
      <c r="AS12" s="714">
        <f>PCM!AT28</f>
        <v>387.17327569284919</v>
      </c>
      <c r="AT12" s="714">
        <f>PCM!AU28</f>
        <v>414.55507498954677</v>
      </c>
      <c r="AU12" s="714">
        <f>PCM!AV28</f>
        <v>422.03609648533342</v>
      </c>
      <c r="AV12" s="714">
        <f>PCM!AW28</f>
        <v>437.41322519524408</v>
      </c>
      <c r="AW12" s="714">
        <f>PCM!AX28</f>
        <v>463.37992959696538</v>
      </c>
      <c r="AX12" s="764"/>
      <c r="AY12" s="764"/>
    </row>
    <row r="13" spans="2:51">
      <c r="B13" t="s">
        <v>578</v>
      </c>
      <c r="D13" s="260"/>
      <c r="E13" s="260"/>
      <c r="F13" s="259"/>
      <c r="G13" s="259"/>
      <c r="H13" s="259"/>
      <c r="I13" s="259"/>
      <c r="J13" s="259"/>
      <c r="K13" s="259"/>
      <c r="L13" s="227"/>
      <c r="M13" s="714">
        <f>PCM!N48</f>
        <v>488.49918456579638</v>
      </c>
      <c r="N13" s="714">
        <f>PCM!O48</f>
        <v>437.58403828221412</v>
      </c>
      <c r="O13" s="714">
        <f>PCM!P48</f>
        <v>471.79636068535092</v>
      </c>
      <c r="P13" s="714">
        <f>PCM!Q48</f>
        <v>412.71228781177138</v>
      </c>
      <c r="Q13" s="714">
        <f>PCM!R48</f>
        <v>418.12574878829389</v>
      </c>
      <c r="R13" s="714">
        <f>PCM!S48</f>
        <v>448.12019378146886</v>
      </c>
      <c r="S13" s="714">
        <f>PCM!T48</f>
        <v>478.13190913043866</v>
      </c>
      <c r="T13" s="714">
        <f>PCM!U48</f>
        <v>468.29859187524892</v>
      </c>
      <c r="U13" s="714">
        <f>PCM!V48</f>
        <v>329.02634498686848</v>
      </c>
      <c r="V13" s="714">
        <f>PCM!W48</f>
        <v>349.02142724588612</v>
      </c>
      <c r="W13" s="714">
        <f>PCM!X48</f>
        <v>337.86254801831046</v>
      </c>
      <c r="X13" s="714">
        <f>PCM!Y48</f>
        <v>346.65903211514342</v>
      </c>
      <c r="Y13" s="711">
        <f>SUM(M13:X13)</f>
        <v>4985.8376672867926</v>
      </c>
      <c r="Z13" s="714">
        <f>PCM!AA48</f>
        <v>355.12457777560695</v>
      </c>
      <c r="AA13" s="714">
        <f>PCM!AB48</f>
        <v>318.69059612689239</v>
      </c>
      <c r="AB13" s="714">
        <f>PCM!AC48</f>
        <v>301.71288496037801</v>
      </c>
      <c r="AC13" s="714">
        <f>PCM!AD48</f>
        <v>273.00060723999661</v>
      </c>
      <c r="AD13" s="714">
        <f>PCM!AE48</f>
        <v>286.76069025131574</v>
      </c>
      <c r="AE13" s="714">
        <f>PCM!AF48</f>
        <v>329.18639206369312</v>
      </c>
      <c r="AF13" s="714">
        <f>PCM!AG48</f>
        <v>342.43695615248203</v>
      </c>
      <c r="AG13" s="714">
        <f>PCM!AH48</f>
        <v>341.38266184328882</v>
      </c>
      <c r="AH13" s="714">
        <f>PCM!AI48</f>
        <v>327.64245212286534</v>
      </c>
      <c r="AI13" s="714">
        <f>PCM!AJ48</f>
        <v>346.79274073406691</v>
      </c>
      <c r="AJ13" s="714">
        <f>PCM!AK48</f>
        <v>334.48697710204777</v>
      </c>
      <c r="AK13" s="714">
        <f>PCM!AL48</f>
        <v>341.56297162044808</v>
      </c>
      <c r="AL13" s="711">
        <f>SUM(Z13:AK13)</f>
        <v>3898.7805079930818</v>
      </c>
      <c r="AM13" s="714">
        <f>PCM!AN48</f>
        <v>3893.9019169534145</v>
      </c>
      <c r="AN13" s="714">
        <f>PCM!AO48</f>
        <v>3866.9989078643448</v>
      </c>
      <c r="AO13" s="714">
        <f>PCM!AP48</f>
        <v>3838.2483015923117</v>
      </c>
      <c r="AP13" s="714">
        <f>PCM!AQ48</f>
        <v>3879.6883609713846</v>
      </c>
      <c r="AQ13" s="714">
        <f>PCM!AR48</f>
        <v>5486.9300902041605</v>
      </c>
      <c r="AR13" s="714">
        <f>PCM!AS48</f>
        <v>5797.9278485828463</v>
      </c>
      <c r="AS13" s="714">
        <f>PCM!AT48</f>
        <v>5605.2343107862971</v>
      </c>
      <c r="AT13" s="714">
        <f>PCM!AU48</f>
        <v>5766.9024835481277</v>
      </c>
      <c r="AU13" s="714">
        <f>PCM!AV48</f>
        <v>5589.6435369210922</v>
      </c>
      <c r="AV13" s="714">
        <f>PCM!AW48</f>
        <v>5678.1512839314692</v>
      </c>
      <c r="AW13" s="714">
        <f>PCM!AX48</f>
        <v>5515.4811590489489</v>
      </c>
      <c r="AX13" s="764"/>
      <c r="AY13" s="764"/>
    </row>
    <row r="14" spans="2:51">
      <c r="B14" t="s">
        <v>582</v>
      </c>
      <c r="D14" s="30"/>
      <c r="E14" s="30"/>
      <c r="F14" s="30"/>
      <c r="G14" s="30"/>
      <c r="H14" s="30"/>
      <c r="I14" s="30"/>
      <c r="J14" s="30"/>
      <c r="K14" s="30"/>
      <c r="M14" s="9">
        <f t="shared" ref="M14:X14" si="7">(M12+M10)*1000000/(M13+M9)</f>
        <v>50347.830136487282</v>
      </c>
      <c r="N14" s="9">
        <f t="shared" si="7"/>
        <v>50515.225108704311</v>
      </c>
      <c r="O14" s="9">
        <f t="shared" si="7"/>
        <v>50629.279304160351</v>
      </c>
      <c r="P14" s="9">
        <f t="shared" si="7"/>
        <v>50419.02437186805</v>
      </c>
      <c r="Q14" s="9">
        <f t="shared" si="7"/>
        <v>50354.182206458507</v>
      </c>
      <c r="R14" s="9">
        <f t="shared" si="7"/>
        <v>50531.118144883018</v>
      </c>
      <c r="S14" s="9">
        <f t="shared" si="7"/>
        <v>50700.60911034944</v>
      </c>
      <c r="T14" s="9">
        <f t="shared" si="7"/>
        <v>50732.139504801125</v>
      </c>
      <c r="U14" s="9">
        <f t="shared" si="7"/>
        <v>51169.610877116538</v>
      </c>
      <c r="V14" s="9">
        <f t="shared" si="7"/>
        <v>51489.699062312196</v>
      </c>
      <c r="W14" s="9">
        <f t="shared" si="7"/>
        <v>51698.459384744994</v>
      </c>
      <c r="X14" s="9">
        <f t="shared" si="7"/>
        <v>51826.624276693867</v>
      </c>
      <c r="Y14" s="225"/>
      <c r="Z14" s="9">
        <f t="shared" ref="Z14:AK14" si="8">(Z12+Z10)*1000000/(Z13+Z9)</f>
        <v>52396.556657953864</v>
      </c>
      <c r="AA14" s="9">
        <f t="shared" si="8"/>
        <v>52744.171362199057</v>
      </c>
      <c r="AB14" s="9">
        <f t="shared" si="8"/>
        <v>53111.588096279702</v>
      </c>
      <c r="AC14" s="9">
        <f t="shared" si="8"/>
        <v>53210.558547462679</v>
      </c>
      <c r="AD14" s="9">
        <f t="shared" si="8"/>
        <v>53150.387395380611</v>
      </c>
      <c r="AE14" s="9">
        <f t="shared" si="8"/>
        <v>53252.232762553147</v>
      </c>
      <c r="AF14" s="9">
        <f t="shared" si="8"/>
        <v>53322.986860183693</v>
      </c>
      <c r="AG14" s="9">
        <f t="shared" si="8"/>
        <v>53362.04115093498</v>
      </c>
      <c r="AH14" s="9">
        <f t="shared" si="8"/>
        <v>53407.530965218284</v>
      </c>
      <c r="AI14" s="9">
        <f t="shared" si="8"/>
        <v>53457.055910091651</v>
      </c>
      <c r="AJ14" s="9">
        <f t="shared" si="8"/>
        <v>53486.439933387686</v>
      </c>
      <c r="AK14" s="9">
        <f t="shared" si="8"/>
        <v>53495.106388892433</v>
      </c>
      <c r="AL14" s="225"/>
      <c r="AM14" s="9">
        <f t="shared" ref="AM14:AW14" si="9">(AM12+AM10)*1000000/(AM13+AM9)</f>
        <v>56522.519986691615</v>
      </c>
      <c r="AN14" s="9">
        <f t="shared" si="9"/>
        <v>57554.106856673105</v>
      </c>
      <c r="AO14" s="9">
        <f t="shared" si="9"/>
        <v>60112.119804267604</v>
      </c>
      <c r="AP14" s="9">
        <f t="shared" si="9"/>
        <v>61984.156032209423</v>
      </c>
      <c r="AQ14" s="9">
        <f t="shared" si="9"/>
        <v>63743.549549517214</v>
      </c>
      <c r="AR14" s="9">
        <f t="shared" si="9"/>
        <v>66759.144532802529</v>
      </c>
      <c r="AS14" s="9">
        <f t="shared" si="9"/>
        <v>68822.308712082362</v>
      </c>
      <c r="AT14" s="9">
        <f t="shared" si="9"/>
        <v>71561.094514237077</v>
      </c>
      <c r="AU14" s="9">
        <f t="shared" si="9"/>
        <v>75074.261409911385</v>
      </c>
      <c r="AV14" s="9">
        <f t="shared" si="9"/>
        <v>76824.115455277235</v>
      </c>
      <c r="AW14" s="9">
        <f t="shared" si="9"/>
        <v>83222.645432233156</v>
      </c>
      <c r="AX14" s="838"/>
      <c r="AY14" s="838"/>
    </row>
    <row r="15" spans="2:51">
      <c r="D15" s="30"/>
      <c r="E15" s="30"/>
      <c r="F15" s="30"/>
      <c r="G15" s="30"/>
      <c r="H15" s="30"/>
      <c r="I15" s="30"/>
      <c r="J15" s="30"/>
      <c r="K15" s="30"/>
      <c r="M15" s="714"/>
      <c r="N15" s="714"/>
      <c r="O15" s="714"/>
      <c r="P15" s="714"/>
      <c r="Q15" s="714"/>
      <c r="R15" s="714"/>
      <c r="S15" s="714"/>
      <c r="T15" s="714"/>
      <c r="U15" s="714"/>
      <c r="V15" s="714"/>
      <c r="W15" s="714"/>
      <c r="X15" s="714"/>
      <c r="Y15" s="711"/>
      <c r="Z15" s="714"/>
      <c r="AA15" s="714"/>
      <c r="AB15" s="714"/>
      <c r="AC15" s="714"/>
      <c r="AD15" s="714"/>
      <c r="AE15" s="714"/>
      <c r="AF15" s="714"/>
      <c r="AG15" s="714"/>
      <c r="AH15" s="714"/>
      <c r="AI15" s="714"/>
      <c r="AJ15" s="714"/>
      <c r="AK15" s="714"/>
      <c r="AL15" s="711"/>
      <c r="AM15" s="714"/>
      <c r="AN15" s="714"/>
      <c r="AO15" s="714"/>
      <c r="AP15" s="714"/>
      <c r="AQ15" s="714"/>
      <c r="AR15" s="714"/>
      <c r="AS15" s="714"/>
      <c r="AT15" s="714"/>
      <c r="AU15" s="714"/>
      <c r="AV15" s="714"/>
      <c r="AW15" s="714"/>
      <c r="AX15" s="764"/>
      <c r="AY15" s="764"/>
    </row>
    <row r="16" spans="2:51">
      <c r="B16" t="s">
        <v>579</v>
      </c>
      <c r="D16" s="5"/>
      <c r="E16" s="5"/>
      <c r="F16" s="5"/>
      <c r="G16" s="5"/>
      <c r="H16" s="5"/>
      <c r="I16" s="5"/>
      <c r="J16" s="5"/>
      <c r="K16" s="5"/>
      <c r="M16" s="714">
        <f t="shared" ref="M16:X16" si="10">M13</f>
        <v>488.49918456579638</v>
      </c>
      <c r="N16" s="714">
        <f t="shared" si="10"/>
        <v>437.58403828221412</v>
      </c>
      <c r="O16" s="714">
        <f t="shared" si="10"/>
        <v>471.79636068535092</v>
      </c>
      <c r="P16" s="714">
        <f t="shared" si="10"/>
        <v>412.71228781177138</v>
      </c>
      <c r="Q16" s="714">
        <f t="shared" si="10"/>
        <v>418.12574878829389</v>
      </c>
      <c r="R16" s="714">
        <f t="shared" si="10"/>
        <v>448.12019378146886</v>
      </c>
      <c r="S16" s="714">
        <f t="shared" si="10"/>
        <v>478.13190913043866</v>
      </c>
      <c r="T16" s="714">
        <f t="shared" si="10"/>
        <v>468.29859187524892</v>
      </c>
      <c r="U16" s="714">
        <f t="shared" si="10"/>
        <v>329.02634498686848</v>
      </c>
      <c r="V16" s="714">
        <f t="shared" si="10"/>
        <v>349.02142724588612</v>
      </c>
      <c r="W16" s="714">
        <f t="shared" si="10"/>
        <v>337.86254801831046</v>
      </c>
      <c r="X16" s="714">
        <f t="shared" si="10"/>
        <v>346.65903211514342</v>
      </c>
      <c r="Y16" s="711"/>
      <c r="Z16" s="714">
        <f>Z13</f>
        <v>355.12457777560695</v>
      </c>
      <c r="AA16" s="714">
        <f t="shared" ref="AA16:AK16" si="11">AA13</f>
        <v>318.69059612689239</v>
      </c>
      <c r="AB16" s="714">
        <f t="shared" si="11"/>
        <v>301.71288496037801</v>
      </c>
      <c r="AC16" s="714">
        <f t="shared" si="11"/>
        <v>273.00060723999661</v>
      </c>
      <c r="AD16" s="714">
        <f t="shared" si="11"/>
        <v>286.76069025131574</v>
      </c>
      <c r="AE16" s="714">
        <f t="shared" si="11"/>
        <v>329.18639206369312</v>
      </c>
      <c r="AF16" s="714">
        <f t="shared" si="11"/>
        <v>342.43695615248203</v>
      </c>
      <c r="AG16" s="714">
        <f t="shared" si="11"/>
        <v>341.38266184328882</v>
      </c>
      <c r="AH16" s="714">
        <f t="shared" si="11"/>
        <v>327.64245212286534</v>
      </c>
      <c r="AI16" s="714">
        <f t="shared" si="11"/>
        <v>346.79274073406691</v>
      </c>
      <c r="AJ16" s="714">
        <f t="shared" si="11"/>
        <v>334.48697710204777</v>
      </c>
      <c r="AK16" s="714">
        <f t="shared" si="11"/>
        <v>341.56297162044808</v>
      </c>
      <c r="AL16" s="711"/>
      <c r="AM16" s="714">
        <f t="shared" ref="AM16:AR16" si="12">AM13</f>
        <v>3893.9019169534145</v>
      </c>
      <c r="AN16" s="714">
        <f t="shared" si="12"/>
        <v>3866.9989078643448</v>
      </c>
      <c r="AO16" s="714">
        <f t="shared" si="12"/>
        <v>3838.2483015923117</v>
      </c>
      <c r="AP16" s="714">
        <f t="shared" si="12"/>
        <v>3879.6883609713846</v>
      </c>
      <c r="AQ16" s="714">
        <f t="shared" si="12"/>
        <v>5486.9300902041605</v>
      </c>
      <c r="AR16" s="714">
        <f t="shared" si="12"/>
        <v>5797.9278485828463</v>
      </c>
      <c r="AS16" s="714">
        <f t="shared" ref="AS16:AW16" si="13">AS13</f>
        <v>5605.2343107862971</v>
      </c>
      <c r="AT16" s="714">
        <f t="shared" si="13"/>
        <v>5766.9024835481277</v>
      </c>
      <c r="AU16" s="714">
        <f t="shared" si="13"/>
        <v>5589.6435369210922</v>
      </c>
      <c r="AV16" s="714">
        <f t="shared" si="13"/>
        <v>5678.1512839314692</v>
      </c>
      <c r="AW16" s="714">
        <f t="shared" si="13"/>
        <v>5515.4811590489489</v>
      </c>
      <c r="AX16" s="764"/>
      <c r="AY16" s="764"/>
    </row>
    <row r="17" spans="2:51">
      <c r="B17" t="s">
        <v>580</v>
      </c>
      <c r="D17" s="247"/>
      <c r="E17" s="247"/>
      <c r="F17" s="247"/>
      <c r="G17" s="247"/>
      <c r="H17" s="247"/>
      <c r="I17" s="247"/>
      <c r="J17" s="247"/>
      <c r="K17" s="247"/>
      <c r="L17" s="345"/>
      <c r="M17" s="769">
        <f>M16*M14/1000000</f>
        <v>24.594873966331267</v>
      </c>
      <c r="N17" s="769">
        <f t="shared" ref="N17:X17" si="14">N16*N14/1000000</f>
        <v>22.104656197801933</v>
      </c>
      <c r="O17" s="769">
        <f t="shared" si="14"/>
        <v>23.88670971982501</v>
      </c>
      <c r="P17" s="769">
        <f t="shared" si="14"/>
        <v>20.808550897751122</v>
      </c>
      <c r="Q17" s="769">
        <f t="shared" si="14"/>
        <v>21.054380139697649</v>
      </c>
      <c r="R17" s="769">
        <f t="shared" si="14"/>
        <v>22.644014455079276</v>
      </c>
      <c r="S17" s="769">
        <f t="shared" si="14"/>
        <v>24.241579028007489</v>
      </c>
      <c r="T17" s="769">
        <f t="shared" si="14"/>
        <v>23.757789492917052</v>
      </c>
      <c r="U17" s="769">
        <f t="shared" si="14"/>
        <v>16.836150041297966</v>
      </c>
      <c r="V17" s="769">
        <f t="shared" si="14"/>
        <v>17.971008255189368</v>
      </c>
      <c r="W17" s="769">
        <f t="shared" si="14"/>
        <v>17.466973216351079</v>
      </c>
      <c r="X17" s="769">
        <f t="shared" si="14"/>
        <v>17.96616740955389</v>
      </c>
      <c r="Y17" s="711">
        <f>SUM(M17:X17)</f>
        <v>253.33285281980312</v>
      </c>
      <c r="Z17" s="769">
        <f t="shared" ref="Z17:AK17" si="15">Z16*Z14/1000000</f>
        <v>18.607305060051534</v>
      </c>
      <c r="AA17" s="769">
        <f t="shared" si="15"/>
        <v>16.809071413638183</v>
      </c>
      <c r="AB17" s="769">
        <f t="shared" si="15"/>
        <v>16.02445046935582</v>
      </c>
      <c r="AC17" s="769">
        <f t="shared" si="15"/>
        <v>14.526514795036704</v>
      </c>
      <c r="AD17" s="769">
        <f t="shared" si="15"/>
        <v>15.241441776624175</v>
      </c>
      <c r="AE17" s="769">
        <f t="shared" si="15"/>
        <v>17.529910372440863</v>
      </c>
      <c r="AF17" s="769">
        <f t="shared" si="15"/>
        <v>18.259761313360098</v>
      </c>
      <c r="AG17" s="769">
        <f t="shared" si="15"/>
        <v>18.216875649497297</v>
      </c>
      <c r="AH17" s="769">
        <f t="shared" si="15"/>
        <v>17.498574407271981</v>
      </c>
      <c r="AI17" s="769">
        <f t="shared" si="15"/>
        <v>18.538518930634936</v>
      </c>
      <c r="AJ17" s="769">
        <f t="shared" si="15"/>
        <v>17.8905176092691</v>
      </c>
      <c r="AK17" s="769">
        <f t="shared" si="15"/>
        <v>18.271947505342119</v>
      </c>
      <c r="AL17" s="711">
        <f>SUM(Z17:AK17)</f>
        <v>207.41488930252279</v>
      </c>
      <c r="AM17" s="769">
        <f t="shared" ref="AM17:AW17" si="16">AM16*AM14/1000000</f>
        <v>220.09314892721616</v>
      </c>
      <c r="AN17" s="769">
        <f t="shared" si="16"/>
        <v>222.56166835786269</v>
      </c>
      <c r="AO17" s="769">
        <f t="shared" si="16"/>
        <v>230.7252417438437</v>
      </c>
      <c r="AP17" s="769">
        <f t="shared" si="16"/>
        <v>240.47920872279713</v>
      </c>
      <c r="AQ17" s="769">
        <f t="shared" si="16"/>
        <v>349.75640007966587</v>
      </c>
      <c r="AR17" s="769">
        <f t="shared" si="16"/>
        <v>387.06470323430307</v>
      </c>
      <c r="AS17" s="769">
        <f t="shared" si="16"/>
        <v>385.76516614049075</v>
      </c>
      <c r="AT17" s="769">
        <f t="shared" si="16"/>
        <v>412.6858536795761</v>
      </c>
      <c r="AU17" s="769">
        <f t="shared" si="16"/>
        <v>419.63836007903575</v>
      </c>
      <c r="AV17" s="769">
        <f t="shared" si="16"/>
        <v>436.21894980928181</v>
      </c>
      <c r="AW17" s="769">
        <f t="shared" si="16"/>
        <v>459.01293288769307</v>
      </c>
      <c r="AX17" s="906"/>
      <c r="AY17" s="906"/>
    </row>
    <row r="18" spans="2:51"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4"/>
      <c r="X18" s="714"/>
      <c r="Y18" s="711"/>
      <c r="Z18" s="714"/>
      <c r="AA18" s="714"/>
      <c r="AB18" s="714"/>
      <c r="AC18" s="714"/>
      <c r="AD18" s="714"/>
      <c r="AE18" s="714"/>
      <c r="AF18" s="714"/>
      <c r="AG18" s="714"/>
      <c r="AH18" s="714"/>
      <c r="AI18" s="714"/>
      <c r="AJ18" s="714"/>
      <c r="AK18" s="714"/>
      <c r="AL18" s="711"/>
      <c r="AM18" s="714"/>
      <c r="AN18" s="714"/>
      <c r="AO18" s="714"/>
      <c r="AP18" s="714"/>
      <c r="AQ18" s="714"/>
      <c r="AR18" s="714"/>
      <c r="AS18" s="714"/>
      <c r="AT18" s="714"/>
      <c r="AU18" s="714"/>
      <c r="AV18" s="714"/>
      <c r="AW18" s="714"/>
      <c r="AX18" s="764"/>
      <c r="AY18" s="764"/>
    </row>
    <row r="19" spans="2:51"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1"/>
      <c r="Z19" s="714"/>
      <c r="AA19" s="714"/>
      <c r="AB19" s="714"/>
      <c r="AC19" s="714"/>
      <c r="AD19" s="714"/>
      <c r="AE19" s="714"/>
      <c r="AF19" s="714"/>
      <c r="AG19" s="714"/>
      <c r="AH19" s="714"/>
      <c r="AI19" s="714"/>
      <c r="AJ19" s="714"/>
      <c r="AK19" s="714"/>
      <c r="AL19" s="711"/>
      <c r="AM19" s="714"/>
      <c r="AN19" s="714"/>
      <c r="AO19" s="714"/>
      <c r="AP19" s="714"/>
      <c r="AQ19" s="714"/>
      <c r="AR19" s="714"/>
      <c r="AS19" s="714"/>
      <c r="AT19" s="714"/>
      <c r="AU19" s="714"/>
      <c r="AV19" s="714"/>
      <c r="AW19" s="714"/>
      <c r="AX19" s="764"/>
      <c r="AY19" s="764"/>
    </row>
    <row r="20" spans="2:51">
      <c r="B20" s="55" t="s">
        <v>407</v>
      </c>
      <c r="C20" s="245"/>
      <c r="K20" s="391"/>
      <c r="M20" s="714"/>
      <c r="N20" s="714"/>
      <c r="O20" s="714"/>
      <c r="P20" s="714"/>
      <c r="Q20" s="714"/>
      <c r="R20" s="714"/>
      <c r="S20" s="714"/>
      <c r="T20" s="714"/>
      <c r="U20" s="714"/>
      <c r="V20" s="714"/>
      <c r="W20" s="714"/>
      <c r="X20" s="714"/>
      <c r="Y20" s="711"/>
      <c r="Z20" s="714"/>
      <c r="AA20" s="714"/>
      <c r="AB20" s="714"/>
      <c r="AC20" s="714"/>
      <c r="AD20" s="714"/>
      <c r="AE20" s="714"/>
      <c r="AF20" s="714"/>
      <c r="AG20" s="714"/>
      <c r="AH20" s="714"/>
      <c r="AI20" s="714"/>
      <c r="AJ20" s="714"/>
      <c r="AK20" s="714"/>
      <c r="AL20" s="711"/>
      <c r="AM20" s="714"/>
      <c r="AN20" s="714"/>
      <c r="AO20" s="714"/>
      <c r="AP20" s="714"/>
      <c r="AQ20" s="714"/>
      <c r="AR20" s="714"/>
      <c r="AS20" s="714"/>
      <c r="AT20" s="714"/>
      <c r="AU20" s="714"/>
      <c r="AV20" s="714"/>
      <c r="AW20" s="714"/>
      <c r="AX20" s="764"/>
      <c r="AY20" s="764"/>
    </row>
    <row r="21" spans="2:51">
      <c r="B21" t="s">
        <v>573</v>
      </c>
      <c r="C21" s="245"/>
      <c r="D21" s="30"/>
      <c r="E21" s="30"/>
      <c r="F21" s="30"/>
      <c r="G21" s="30"/>
      <c r="H21" s="30"/>
      <c r="I21" s="30"/>
      <c r="J21" s="30"/>
      <c r="K21" s="678">
        <v>682.5</v>
      </c>
      <c r="M21" s="714">
        <f t="shared" ref="M21:X21" si="17">M9+M13-M16</f>
        <v>682.5</v>
      </c>
      <c r="N21" s="714">
        <f t="shared" si="17"/>
        <v>682.5</v>
      </c>
      <c r="O21" s="714">
        <f t="shared" si="17"/>
        <v>682.5</v>
      </c>
      <c r="P21" s="714">
        <f t="shared" si="17"/>
        <v>682.5</v>
      </c>
      <c r="Q21" s="714">
        <f t="shared" si="17"/>
        <v>682.50000000000011</v>
      </c>
      <c r="R21" s="714">
        <f t="shared" si="17"/>
        <v>682.50000000000011</v>
      </c>
      <c r="S21" s="714">
        <f t="shared" si="17"/>
        <v>682.50000000000011</v>
      </c>
      <c r="T21" s="714">
        <f t="shared" si="17"/>
        <v>682.50000000000011</v>
      </c>
      <c r="U21" s="714">
        <f t="shared" si="17"/>
        <v>682.50000000000011</v>
      </c>
      <c r="V21" s="714">
        <f t="shared" si="17"/>
        <v>682.5</v>
      </c>
      <c r="W21" s="714">
        <f t="shared" si="17"/>
        <v>682.5</v>
      </c>
      <c r="X21" s="714">
        <f t="shared" si="17"/>
        <v>682.5</v>
      </c>
      <c r="Y21" s="711"/>
      <c r="Z21" s="714">
        <f>Z9+Z13-Z16</f>
        <v>682.5</v>
      </c>
      <c r="AA21" s="714">
        <f t="shared" ref="AA21:AK21" si="18">AA9+AA13-AA16</f>
        <v>682.5</v>
      </c>
      <c r="AB21" s="714">
        <f t="shared" si="18"/>
        <v>682.5</v>
      </c>
      <c r="AC21" s="714">
        <f t="shared" si="18"/>
        <v>682.5</v>
      </c>
      <c r="AD21" s="714">
        <f t="shared" si="18"/>
        <v>682.5</v>
      </c>
      <c r="AE21" s="714">
        <f t="shared" si="18"/>
        <v>682.5</v>
      </c>
      <c r="AF21" s="714">
        <f t="shared" si="18"/>
        <v>682.5</v>
      </c>
      <c r="AG21" s="714">
        <f t="shared" si="18"/>
        <v>682.5</v>
      </c>
      <c r="AH21" s="714">
        <f t="shared" si="18"/>
        <v>682.5</v>
      </c>
      <c r="AI21" s="714">
        <f t="shared" si="18"/>
        <v>682.5</v>
      </c>
      <c r="AJ21" s="714">
        <f t="shared" si="18"/>
        <v>682.5</v>
      </c>
      <c r="AK21" s="714">
        <f t="shared" si="18"/>
        <v>682.5</v>
      </c>
      <c r="AL21" s="711"/>
      <c r="AM21" s="714">
        <f t="shared" ref="AM21:AR21" si="19">AM9+AM13-AM16</f>
        <v>682.50000000000045</v>
      </c>
      <c r="AN21" s="714">
        <f t="shared" si="19"/>
        <v>682.5</v>
      </c>
      <c r="AO21" s="714">
        <f t="shared" si="19"/>
        <v>682.5</v>
      </c>
      <c r="AP21" s="714">
        <f t="shared" si="19"/>
        <v>682.49999999999955</v>
      </c>
      <c r="AQ21" s="714">
        <f t="shared" si="19"/>
        <v>682.49999999999909</v>
      </c>
      <c r="AR21" s="714">
        <f t="shared" si="19"/>
        <v>682.49999999999909</v>
      </c>
      <c r="AS21" s="714">
        <f t="shared" ref="AS21:AW21" si="20">AS9+AS13-AS16</f>
        <v>682.49999999999909</v>
      </c>
      <c r="AT21" s="714">
        <f t="shared" si="20"/>
        <v>682.49999999999909</v>
      </c>
      <c r="AU21" s="714">
        <f t="shared" si="20"/>
        <v>682.49999999999909</v>
      </c>
      <c r="AV21" s="714">
        <f t="shared" si="20"/>
        <v>682.49999999999909</v>
      </c>
      <c r="AW21" s="714">
        <f t="shared" si="20"/>
        <v>682.49999999999909</v>
      </c>
      <c r="AX21" s="764"/>
      <c r="AY21" s="764"/>
    </row>
    <row r="22" spans="2:51">
      <c r="B22" t="s">
        <v>574</v>
      </c>
      <c r="C22" s="246"/>
      <c r="D22" s="248"/>
      <c r="E22" s="248"/>
      <c r="F22" s="248"/>
      <c r="G22" s="248"/>
      <c r="H22" s="248"/>
      <c r="I22" s="248"/>
      <c r="J22" s="248"/>
      <c r="K22" s="770">
        <v>34.145612190000001</v>
      </c>
      <c r="M22" s="714">
        <f t="shared" ref="M22:X22" si="21">M10+M12-M17</f>
        <v>34.362394068152582</v>
      </c>
      <c r="N22" s="714">
        <f t="shared" si="21"/>
        <v>34.476641136690688</v>
      </c>
      <c r="O22" s="714">
        <f t="shared" si="21"/>
        <v>34.554483125089448</v>
      </c>
      <c r="P22" s="714">
        <f t="shared" si="21"/>
        <v>34.410984133799943</v>
      </c>
      <c r="Q22" s="714">
        <f t="shared" si="21"/>
        <v>34.366729355907928</v>
      </c>
      <c r="R22" s="714">
        <f t="shared" si="21"/>
        <v>34.487488133882664</v>
      </c>
      <c r="S22" s="714">
        <f t="shared" si="21"/>
        <v>34.603165717813496</v>
      </c>
      <c r="T22" s="714">
        <f t="shared" si="21"/>
        <v>34.624685212026776</v>
      </c>
      <c r="U22" s="714">
        <f t="shared" si="21"/>
        <v>34.923259423632032</v>
      </c>
      <c r="V22" s="714">
        <f t="shared" si="21"/>
        <v>35.141719610028069</v>
      </c>
      <c r="W22" s="714">
        <f t="shared" si="21"/>
        <v>35.28419853008846</v>
      </c>
      <c r="X22" s="714">
        <f t="shared" si="21"/>
        <v>35.371671068843561</v>
      </c>
      <c r="Y22" s="711"/>
      <c r="Z22" s="714">
        <f>Z10+Z12-Z17</f>
        <v>35.760649919053506</v>
      </c>
      <c r="AA22" s="714">
        <f>AA10+AA12-AA17</f>
        <v>35.997896954700863</v>
      </c>
      <c r="AB22" s="714">
        <f t="shared" ref="AB22:AK22" si="22">AB10+AB12-AB17</f>
        <v>36.248658875710902</v>
      </c>
      <c r="AC22" s="714">
        <f t="shared" si="22"/>
        <v>36.31620620864328</v>
      </c>
      <c r="AD22" s="714">
        <f t="shared" si="22"/>
        <v>36.275139397347274</v>
      </c>
      <c r="AE22" s="714">
        <f t="shared" si="22"/>
        <v>36.344648860442518</v>
      </c>
      <c r="AF22" s="714">
        <f t="shared" si="22"/>
        <v>36.392938532075377</v>
      </c>
      <c r="AG22" s="714">
        <f t="shared" si="22"/>
        <v>36.419593085513128</v>
      </c>
      <c r="AH22" s="714">
        <f t="shared" si="22"/>
        <v>36.450639883761475</v>
      </c>
      <c r="AI22" s="714">
        <f t="shared" si="22"/>
        <v>36.484440658637546</v>
      </c>
      <c r="AJ22" s="714">
        <f t="shared" si="22"/>
        <v>36.504495254537105</v>
      </c>
      <c r="AK22" s="714">
        <f t="shared" si="22"/>
        <v>36.51041011041908</v>
      </c>
      <c r="AL22" s="711"/>
      <c r="AM22" s="714">
        <f>AM10+AM12-AM17</f>
        <v>38.576619890917044</v>
      </c>
      <c r="AN22" s="714">
        <f>AN10+AN12-AN17</f>
        <v>39.280677929679428</v>
      </c>
      <c r="AO22" s="714">
        <f>AO10+AO12-AO17</f>
        <v>41.026521766412657</v>
      </c>
      <c r="AP22" s="714">
        <f>AP10+AP12-AP17</f>
        <v>42.304186491982932</v>
      </c>
      <c r="AQ22" s="714">
        <f>AQ10+AQ12-AQ17</f>
        <v>43.504972567545451</v>
      </c>
      <c r="AR22" s="714">
        <f t="shared" ref="AR22:AW22" si="23">AR10+AR12-AR17</f>
        <v>45.563116143637671</v>
      </c>
      <c r="AS22" s="714">
        <f t="shared" si="23"/>
        <v>46.971225695996111</v>
      </c>
      <c r="AT22" s="714">
        <f t="shared" si="23"/>
        <v>48.84044700596678</v>
      </c>
      <c r="AU22" s="714">
        <f t="shared" si="23"/>
        <v>51.238183412264448</v>
      </c>
      <c r="AV22" s="714">
        <f t="shared" si="23"/>
        <v>52.432458798226719</v>
      </c>
      <c r="AW22" s="714">
        <f t="shared" si="23"/>
        <v>56.799455507499033</v>
      </c>
      <c r="AX22" s="764"/>
      <c r="AY22" s="764"/>
    </row>
    <row r="23" spans="2:51">
      <c r="C23" s="203"/>
      <c r="D23" s="232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1"/>
      <c r="Z23" s="714"/>
      <c r="AA23" s="714"/>
      <c r="AB23" s="714"/>
      <c r="AC23" s="714"/>
      <c r="AD23" s="714"/>
      <c r="AE23" s="714"/>
      <c r="AF23" s="714"/>
      <c r="AG23" s="714"/>
      <c r="AH23" s="714"/>
      <c r="AI23" s="714"/>
      <c r="AJ23" s="714"/>
      <c r="AK23" s="714"/>
      <c r="AL23" s="711"/>
      <c r="AM23" s="714"/>
      <c r="AN23" s="714"/>
      <c r="AO23" s="714"/>
      <c r="AP23" s="714"/>
      <c r="AQ23" s="714"/>
      <c r="AR23" s="714"/>
      <c r="AS23" s="714"/>
      <c r="AT23" s="714"/>
      <c r="AU23" s="714"/>
      <c r="AV23" s="714"/>
      <c r="AW23" s="714"/>
      <c r="AX23" s="764"/>
      <c r="AY23" s="764"/>
    </row>
    <row r="24" spans="2:51">
      <c r="K24" s="248"/>
      <c r="M24" s="714"/>
      <c r="N24" s="714"/>
      <c r="O24" s="714"/>
      <c r="P24" s="714"/>
      <c r="Q24" s="714"/>
      <c r="R24" s="714"/>
      <c r="S24" s="714"/>
      <c r="T24" s="714"/>
      <c r="U24" s="714"/>
      <c r="V24" s="714"/>
      <c r="W24" s="714"/>
      <c r="X24" s="714"/>
      <c r="Y24" s="711"/>
      <c r="Z24" s="714"/>
      <c r="AA24" s="714"/>
      <c r="AB24" s="714"/>
      <c r="AC24" s="714"/>
      <c r="AD24" s="714"/>
      <c r="AE24" s="714"/>
      <c r="AF24" s="714"/>
      <c r="AG24" s="714"/>
      <c r="AH24" s="714"/>
      <c r="AI24" s="714"/>
      <c r="AJ24" s="714"/>
      <c r="AK24" s="714"/>
      <c r="AL24" s="711"/>
      <c r="AM24" s="714"/>
      <c r="AN24" s="714"/>
      <c r="AO24" s="714"/>
      <c r="AP24" s="714"/>
      <c r="AQ24" s="714"/>
      <c r="AR24" s="714"/>
      <c r="AS24" s="714"/>
      <c r="AT24" s="714"/>
      <c r="AU24" s="714"/>
      <c r="AV24" s="714"/>
      <c r="AW24" s="714"/>
      <c r="AX24" s="764"/>
      <c r="AY24" s="764"/>
    </row>
    <row r="25" spans="2:51"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711"/>
      <c r="Z25" s="714"/>
      <c r="AA25" s="714"/>
      <c r="AB25" s="714"/>
      <c r="AC25" s="714"/>
      <c r="AD25" s="714"/>
      <c r="AE25" s="714"/>
      <c r="AF25" s="714"/>
      <c r="AG25" s="714"/>
      <c r="AH25" s="714"/>
      <c r="AI25" s="714"/>
      <c r="AJ25" s="714"/>
      <c r="AK25" s="714"/>
      <c r="AL25" s="711"/>
      <c r="AM25" s="714"/>
      <c r="AN25" s="714"/>
      <c r="AO25" s="714"/>
      <c r="AP25" s="714"/>
      <c r="AQ25" s="714"/>
      <c r="AR25" s="714"/>
      <c r="AS25" s="714"/>
      <c r="AT25" s="714"/>
      <c r="AU25" s="714"/>
      <c r="AV25" s="714"/>
      <c r="AW25" s="714"/>
      <c r="AX25" s="764"/>
      <c r="AY25" s="764"/>
    </row>
    <row r="26" spans="2:51">
      <c r="M26" s="714"/>
      <c r="N26" s="714"/>
      <c r="O26" s="714"/>
      <c r="P26" s="714"/>
      <c r="Q26" s="714"/>
      <c r="R26" s="714"/>
      <c r="S26" s="714"/>
      <c r="T26" s="714"/>
      <c r="U26" s="714"/>
      <c r="V26" s="714"/>
      <c r="W26" s="714"/>
      <c r="X26" s="714"/>
      <c r="Y26" s="711"/>
      <c r="Z26" s="714"/>
      <c r="AA26" s="714"/>
      <c r="AB26" s="714"/>
      <c r="AC26" s="714"/>
      <c r="AD26" s="714"/>
      <c r="AE26" s="714"/>
      <c r="AF26" s="714"/>
      <c r="AG26" s="714"/>
      <c r="AH26" s="714"/>
      <c r="AI26" s="714"/>
      <c r="AJ26" s="714"/>
      <c r="AK26" s="714"/>
      <c r="AL26" s="711"/>
      <c r="AM26" s="714"/>
      <c r="AN26" s="714"/>
      <c r="AO26" s="714"/>
      <c r="AP26" s="714"/>
      <c r="AQ26" s="714"/>
      <c r="AR26" s="714"/>
      <c r="AS26" s="714"/>
      <c r="AT26" s="714"/>
      <c r="AU26" s="714"/>
      <c r="AV26" s="714"/>
      <c r="AW26" s="714"/>
      <c r="AX26" s="764"/>
      <c r="AY26" s="764"/>
    </row>
    <row r="27" spans="2:51">
      <c r="B27" t="s">
        <v>389</v>
      </c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1"/>
      <c r="Z27" s="714"/>
      <c r="AA27" s="714"/>
      <c r="AB27" s="714"/>
      <c r="AC27" s="714"/>
      <c r="AD27" s="714"/>
      <c r="AE27" s="714"/>
      <c r="AF27" s="714"/>
      <c r="AG27" s="714"/>
      <c r="AH27" s="714"/>
      <c r="AI27" s="714"/>
      <c r="AJ27" s="714"/>
      <c r="AK27" s="714"/>
      <c r="AL27" s="711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64"/>
      <c r="AY27" s="764"/>
    </row>
    <row r="28" spans="2:51">
      <c r="B28" t="s">
        <v>355</v>
      </c>
      <c r="D28" s="5"/>
      <c r="E28" s="5"/>
      <c r="F28" s="5"/>
      <c r="G28" s="5"/>
      <c r="H28" s="5"/>
      <c r="I28" s="5"/>
      <c r="J28" s="5"/>
      <c r="K28" s="5"/>
      <c r="L28" s="211"/>
      <c r="M28" s="714">
        <f>PCM!N25</f>
        <v>0</v>
      </c>
      <c r="N28" s="714">
        <f>PCM!O25</f>
        <v>0</v>
      </c>
      <c r="O28" s="714">
        <f>PCM!P25</f>
        <v>0</v>
      </c>
      <c r="P28" s="714">
        <f>PCM!Q25</f>
        <v>0</v>
      </c>
      <c r="Q28" s="714">
        <f>PCM!R25</f>
        <v>0</v>
      </c>
      <c r="R28" s="714">
        <f>PCM!S25</f>
        <v>0</v>
      </c>
      <c r="S28" s="714">
        <f>PCM!T25</f>
        <v>0.49719905999999997</v>
      </c>
      <c r="T28" s="714">
        <f>PCM!U25</f>
        <v>0</v>
      </c>
      <c r="U28" s="714">
        <f>PCM!V25</f>
        <v>0</v>
      </c>
      <c r="V28" s="714">
        <f>PCM!W25</f>
        <v>0</v>
      </c>
      <c r="W28" s="714">
        <f>PCM!X25</f>
        <v>0</v>
      </c>
      <c r="X28" s="714">
        <f>PCM!Y25</f>
        <v>0</v>
      </c>
      <c r="Y28" s="711">
        <f t="shared" ref="Y28:Y33" si="24">SUM(M28:X28)</f>
        <v>0.49719905999999997</v>
      </c>
      <c r="Z28" s="714">
        <f>PCM!AA25</f>
        <v>0</v>
      </c>
      <c r="AA28" s="714">
        <f>PCM!AB25</f>
        <v>0</v>
      </c>
      <c r="AB28" s="714">
        <f>PCM!AC25</f>
        <v>0</v>
      </c>
      <c r="AC28" s="714">
        <f>PCM!AD25</f>
        <v>0</v>
      </c>
      <c r="AD28" s="714">
        <f>PCM!AE25</f>
        <v>0</v>
      </c>
      <c r="AE28" s="714">
        <f>PCM!AF25</f>
        <v>0</v>
      </c>
      <c r="AF28" s="714">
        <f>PCM!AG25</f>
        <v>0</v>
      </c>
      <c r="AG28" s="714">
        <f>PCM!AH25</f>
        <v>0</v>
      </c>
      <c r="AH28" s="714">
        <f>PCM!AI25</f>
        <v>0</v>
      </c>
      <c r="AI28" s="714">
        <f>PCM!AJ25</f>
        <v>0</v>
      </c>
      <c r="AJ28" s="714">
        <f>PCM!AK25</f>
        <v>0</v>
      </c>
      <c r="AK28" s="714">
        <f>PCM!AL25</f>
        <v>0</v>
      </c>
      <c r="AL28" s="711">
        <f t="shared" ref="AL28:AL33" si="25">SUM(Z28:AK28)</f>
        <v>0</v>
      </c>
      <c r="AM28" s="714">
        <f>PCM!AN25</f>
        <v>0</v>
      </c>
      <c r="AN28" s="714">
        <f>PCM!AO25</f>
        <v>0</v>
      </c>
      <c r="AO28" s="714">
        <f>PCM!AP25</f>
        <v>0</v>
      </c>
      <c r="AP28" s="714">
        <f>PCM!AQ25</f>
        <v>0</v>
      </c>
      <c r="AQ28" s="714">
        <f>PCM!AR25</f>
        <v>0</v>
      </c>
      <c r="AR28" s="714">
        <f>PCM!AS25</f>
        <v>0</v>
      </c>
      <c r="AS28" s="714">
        <f>PCM!AT25</f>
        <v>0</v>
      </c>
      <c r="AT28" s="714">
        <f>PCM!AU25</f>
        <v>0</v>
      </c>
      <c r="AU28" s="714">
        <f>PCM!AV25</f>
        <v>0</v>
      </c>
      <c r="AV28" s="714">
        <f>PCM!AW25</f>
        <v>0</v>
      </c>
      <c r="AW28" s="714">
        <f>PCM!AX25</f>
        <v>0</v>
      </c>
      <c r="AX28" s="764"/>
      <c r="AY28" s="764"/>
    </row>
    <row r="29" spans="2:51">
      <c r="B29" t="s">
        <v>352</v>
      </c>
      <c r="D29" s="5"/>
      <c r="E29" s="5"/>
      <c r="F29" s="5"/>
      <c r="G29" s="5"/>
      <c r="H29" s="5"/>
      <c r="I29" s="5"/>
      <c r="J29" s="5"/>
      <c r="K29" s="5"/>
      <c r="L29" s="211"/>
      <c r="M29" s="714">
        <f>+PCM!N22+PCM!N23+PCM!N24</f>
        <v>7.3548202499999995</v>
      </c>
      <c r="N29" s="714">
        <f>+PCM!O22+PCM!O23+PCM!O24</f>
        <v>6.5188825000000001</v>
      </c>
      <c r="O29" s="714">
        <f>+PCM!P22+PCM!P23+PCM!P24</f>
        <v>7.0480285000000009</v>
      </c>
      <c r="P29" s="714">
        <f>+PCM!Q22+PCM!Q23+PCM!Q24</f>
        <v>6.6225362499999996</v>
      </c>
      <c r="Q29" s="714">
        <f>+PCM!R22+PCM!R23+PCM!R24</f>
        <v>5.35641794</v>
      </c>
      <c r="R29" s="714">
        <f>+PCM!S22+PCM!S23+PCM!S24</f>
        <v>6.7353772499999991</v>
      </c>
      <c r="S29" s="714">
        <f>+PCM!T22+PCM!T23+PCM!T24</f>
        <v>7.0295310000000004</v>
      </c>
      <c r="T29" s="714">
        <f>+PCM!U22+PCM!U23+PCM!U24</f>
        <v>7.0727039999999999</v>
      </c>
      <c r="U29" s="714">
        <f>+PCM!V22+PCM!V23+PCM!V24</f>
        <v>6.8460277500000002</v>
      </c>
      <c r="V29" s="714">
        <f>+PCM!W22+PCM!W23+PCM!W24</f>
        <v>7.2030182500000004</v>
      </c>
      <c r="W29" s="714">
        <f>+PCM!X22+PCM!X23+PCM!X24</f>
        <v>7.0123297500000001</v>
      </c>
      <c r="X29" s="714">
        <f>+PCM!Y22+PCM!Y23+PCM!Y24</f>
        <v>7.13014875</v>
      </c>
      <c r="Y29" s="711">
        <f t="shared" si="24"/>
        <v>81.92982219000001</v>
      </c>
      <c r="Z29" s="714">
        <f>+PCM!AA22+PCM!AA23+PCM!AA24</f>
        <v>7.68461675</v>
      </c>
      <c r="AA29" s="714">
        <f>+PCM!AB22+PCM!AB23+PCM!AB24</f>
        <v>6.8556797500000002</v>
      </c>
      <c r="AB29" s="714">
        <f>+PCM!AC22+PCM!AC23+PCM!AC24</f>
        <v>7.2178129999999996</v>
      </c>
      <c r="AC29" s="714">
        <f>+PCM!AD22+PCM!AD23+PCM!AD24</f>
        <v>5.0186841599999994</v>
      </c>
      <c r="AD29" s="714">
        <f>+PCM!AE22+PCM!AE23+PCM!AE24</f>
        <v>5.3568015299999994</v>
      </c>
      <c r="AE29" s="714">
        <f>+PCM!AF22+PCM!AF23+PCM!AF24</f>
        <v>7.0464834999999999</v>
      </c>
      <c r="AF29" s="714">
        <f>+PCM!AG22+PCM!AG23+PCM!AG24</f>
        <v>7.2981057500000004</v>
      </c>
      <c r="AG29" s="714">
        <f>+PCM!AH22+PCM!AH23+PCM!AH24</f>
        <v>7.294712500000001</v>
      </c>
      <c r="AH29" s="714">
        <f>+PCM!AI22+PCM!AI23+PCM!AI24</f>
        <v>7.0481685000000001</v>
      </c>
      <c r="AI29" s="714">
        <f>+PCM!AJ22+PCM!AJ23+PCM!AJ24</f>
        <v>7.4073647500000011</v>
      </c>
      <c r="AJ29" s="714">
        <f>+PCM!AK22+PCM!AK23+PCM!AK24</f>
        <v>7.1941767500000005</v>
      </c>
      <c r="AK29" s="714">
        <f>+PCM!AL22+PCM!AL23+PCM!AL24</f>
        <v>7.2525265000000001</v>
      </c>
      <c r="AL29" s="711">
        <f t="shared" si="25"/>
        <v>82.67513344000001</v>
      </c>
      <c r="AM29" s="714">
        <f>+PCM!AN22+PCM!AN23+PCM!AN24</f>
        <v>88.353467589999994</v>
      </c>
      <c r="AN29" s="714">
        <f>+PCM!AO22+PCM!AO23+PCM!AO24</f>
        <v>91.061687379999995</v>
      </c>
      <c r="AO29" s="714">
        <f>+PCM!AP22+PCM!AP23+PCM!AP24</f>
        <v>90.056112999999996</v>
      </c>
      <c r="AP29" s="714">
        <f>+PCM!AQ22+PCM!AQ23+PCM!AQ24</f>
        <v>94.619719000000003</v>
      </c>
      <c r="AQ29" s="714">
        <f>+PCM!AR22+PCM!AR23+PCM!AR24</f>
        <v>105.38808528000001</v>
      </c>
      <c r="AR29" s="714">
        <f>+PCM!AS22+PCM!AS23+PCM!AS24</f>
        <v>115.113874</v>
      </c>
      <c r="AS29" s="714">
        <f>+PCM!AT22+PCM!AT23+PCM!AT24</f>
        <v>118.32697543999998</v>
      </c>
      <c r="AT29" s="714">
        <f>+PCM!AU22+PCM!AU23+PCM!AU24</f>
        <v>122.56509362</v>
      </c>
      <c r="AU29" s="714">
        <f>+PCM!AV22+PCM!AV23+PCM!AV24</f>
        <v>125.45786950000002</v>
      </c>
      <c r="AV29" s="714">
        <f>+PCM!AW22+PCM!AW23+PCM!AW24</f>
        <v>130.80464238000002</v>
      </c>
      <c r="AW29" s="714">
        <f>+PCM!AX22+PCM!AX23+PCM!AX24</f>
        <v>141.16270137000001</v>
      </c>
      <c r="AX29" s="764"/>
      <c r="AY29" s="764"/>
    </row>
    <row r="30" spans="2:51">
      <c r="B30" t="s">
        <v>353</v>
      </c>
      <c r="D30" s="5"/>
      <c r="E30" s="5"/>
      <c r="F30" s="5"/>
      <c r="G30" s="5"/>
      <c r="H30" s="5"/>
      <c r="I30" s="5"/>
      <c r="J30" s="5"/>
      <c r="K30" s="5"/>
      <c r="L30" s="211"/>
      <c r="M30" s="714">
        <f>+PCM!N26+PCM!N27</f>
        <v>7.2298460000000002</v>
      </c>
      <c r="N30" s="714">
        <f>+PCM!O26+PCM!O27</f>
        <v>6.5278890000000001</v>
      </c>
      <c r="O30" s="714">
        <f>+PCM!P26+PCM!P27</f>
        <v>6.9608664999999998</v>
      </c>
      <c r="P30" s="714">
        <f>+PCM!Q26+PCM!Q27</f>
        <v>6.7622580000000001</v>
      </c>
      <c r="Q30" s="714">
        <f>+PCM!R26+PCM!R27</f>
        <v>7.0666337500000003</v>
      </c>
      <c r="R30" s="714">
        <f>+PCM!S26+PCM!S27</f>
        <v>6.7481087500000001</v>
      </c>
      <c r="S30" s="714">
        <f>+PCM!T26+PCM!T27</f>
        <v>7.09489225</v>
      </c>
      <c r="T30" s="714">
        <f>+PCM!U26+PCM!U27</f>
        <v>7.0978759999999994</v>
      </c>
      <c r="U30" s="714">
        <f>+PCM!V26+PCM!V27</f>
        <v>6.7160337500000002</v>
      </c>
      <c r="V30" s="714">
        <f>+PCM!W26+PCM!W27</f>
        <v>7.08911625</v>
      </c>
      <c r="W30" s="714">
        <f>+PCM!X26+PCM!X27</f>
        <v>6.8357060000000001</v>
      </c>
      <c r="X30" s="714">
        <f>+PCM!Y26+PCM!Y27</f>
        <v>7.1134924999999996</v>
      </c>
      <c r="Y30" s="711">
        <f t="shared" si="24"/>
        <v>83.242718749999995</v>
      </c>
      <c r="Z30" s="714">
        <f>+PCM!AA26+PCM!AA27</f>
        <v>7.5434494999999995</v>
      </c>
      <c r="AA30" s="714">
        <f>+PCM!AB26+PCM!AB27</f>
        <v>6.7919597500000002</v>
      </c>
      <c r="AB30" s="714">
        <f>+PCM!AC26+PCM!AC27</f>
        <v>5.2380154999999995</v>
      </c>
      <c r="AC30" s="714">
        <f>+PCM!AD26+PCM!AD27</f>
        <v>6.2000450000000003</v>
      </c>
      <c r="AD30" s="714">
        <f>+PCM!AE26+PCM!AE27</f>
        <v>7.3428632500000006</v>
      </c>
      <c r="AE30" s="714">
        <f>+PCM!AF26+PCM!AF27</f>
        <v>7.0843880000000006</v>
      </c>
      <c r="AF30" s="714">
        <f>+PCM!AG26+PCM!AG27</f>
        <v>7.3803917499999994</v>
      </c>
      <c r="AG30" s="714">
        <f>+PCM!AH26+PCM!AH27</f>
        <v>7.4047987500000003</v>
      </c>
      <c r="AH30" s="714">
        <f>+PCM!AI26+PCM!AI27</f>
        <v>6.9528410000000003</v>
      </c>
      <c r="AI30" s="714">
        <f>+PCM!AJ26+PCM!AJ27</f>
        <v>7.2584739999999996</v>
      </c>
      <c r="AJ30" s="714">
        <f>+PCM!AK26+PCM!AK27</f>
        <v>7.0000914999999999</v>
      </c>
      <c r="AK30" s="714">
        <f>+PCM!AL26+PCM!AL27</f>
        <v>7.26145175</v>
      </c>
      <c r="AL30" s="711">
        <f t="shared" si="25"/>
        <v>83.458769750000002</v>
      </c>
      <c r="AM30" s="714">
        <f>+PCM!AN26+PCM!AN27</f>
        <v>88.899131750000009</v>
      </c>
      <c r="AN30" s="714">
        <f>+PCM!AO26+PCM!AO27</f>
        <v>86.808040849999998</v>
      </c>
      <c r="AO30" s="714">
        <f>+PCM!AP26+PCM!AP27</f>
        <v>94.713087250000001</v>
      </c>
      <c r="AP30" s="714">
        <f>+PCM!AQ26+PCM!AQ27</f>
        <v>99.996136750000005</v>
      </c>
      <c r="AQ30" s="714">
        <f>+PCM!AR26+PCM!AR27</f>
        <v>102.48789562</v>
      </c>
      <c r="AR30" s="714">
        <f>+PCM!AS26+PCM!AS27</f>
        <v>114.70393749999999</v>
      </c>
      <c r="AS30" s="714">
        <f>+PCM!AT26+PCM!AT27</f>
        <v>117.798553</v>
      </c>
      <c r="AT30" s="714">
        <f>+PCM!AU26+PCM!AU27</f>
        <v>122.53451749999999</v>
      </c>
      <c r="AU30" s="714">
        <f>+PCM!AV26+PCM!AV27</f>
        <v>128.11160949999999</v>
      </c>
      <c r="AV30" s="714">
        <f>+PCM!AW26+PCM!AW27</f>
        <v>124.90090576</v>
      </c>
      <c r="AW30" s="714">
        <f>+PCM!AX26+PCM!AX27</f>
        <v>140.77179849999999</v>
      </c>
      <c r="AX30" s="764"/>
      <c r="AY30" s="764"/>
    </row>
    <row r="31" spans="2:51">
      <c r="B31" t="s">
        <v>356</v>
      </c>
      <c r="D31" s="5"/>
      <c r="E31" s="5"/>
      <c r="F31" s="5"/>
      <c r="G31" s="5"/>
      <c r="H31" s="5"/>
      <c r="I31" s="5"/>
      <c r="J31" s="5"/>
      <c r="K31" s="5"/>
      <c r="L31" s="211"/>
      <c r="M31" s="714">
        <f>+PCM!N20</f>
        <v>6.4411645000000002</v>
      </c>
      <c r="N31" s="714">
        <f>+PCM!O20</f>
        <v>5.782826</v>
      </c>
      <c r="O31" s="714">
        <f>+PCM!P20</f>
        <v>6.2598564999999997</v>
      </c>
      <c r="P31" s="714">
        <f>+PCM!Q20</f>
        <v>5.9493844999999999</v>
      </c>
      <c r="Q31" s="714">
        <f>+PCM!R20</f>
        <v>6.1150165000000003</v>
      </c>
      <c r="R31" s="714">
        <f>+PCM!S20</f>
        <v>5.7915159999999997</v>
      </c>
      <c r="S31" s="714">
        <f>+PCM!T20</f>
        <v>6.0735809999999999</v>
      </c>
      <c r="T31" s="714">
        <f>+PCM!U20</f>
        <v>6.0410234999999997</v>
      </c>
      <c r="U31" s="714">
        <f>+PCM!V20</f>
        <v>0</v>
      </c>
      <c r="V31" s="714">
        <f>+PCM!W20</f>
        <v>0</v>
      </c>
      <c r="W31" s="714">
        <f>+PCM!X20</f>
        <v>0</v>
      </c>
      <c r="X31" s="714">
        <f>+PCM!Y20</f>
        <v>0</v>
      </c>
      <c r="Y31" s="711">
        <f t="shared" si="24"/>
        <v>48.454368499999994</v>
      </c>
      <c r="Z31" s="714">
        <f>+PCM!AA20</f>
        <v>0</v>
      </c>
      <c r="AA31" s="714">
        <f>+PCM!AB20</f>
        <v>0</v>
      </c>
      <c r="AB31" s="714">
        <f>+PCM!AC20</f>
        <v>0</v>
      </c>
      <c r="AC31" s="714">
        <f>+PCM!AD20</f>
        <v>0</v>
      </c>
      <c r="AD31" s="714">
        <f>+PCM!AE20</f>
        <v>0</v>
      </c>
      <c r="AE31" s="714">
        <f>+PCM!AF20</f>
        <v>0</v>
      </c>
      <c r="AF31" s="714">
        <f>+PCM!AG20</f>
        <v>0</v>
      </c>
      <c r="AG31" s="714">
        <f>+PCM!AH20</f>
        <v>0</v>
      </c>
      <c r="AH31" s="714">
        <f>+PCM!AI20</f>
        <v>0</v>
      </c>
      <c r="AI31" s="714">
        <f>+PCM!AJ20</f>
        <v>0</v>
      </c>
      <c r="AJ31" s="714">
        <f>+PCM!AK20</f>
        <v>0</v>
      </c>
      <c r="AK31" s="714">
        <f>+PCM!AL20</f>
        <v>0</v>
      </c>
      <c r="AL31" s="711">
        <f t="shared" si="25"/>
        <v>0</v>
      </c>
      <c r="AM31" s="714">
        <f>+PCM!AN20</f>
        <v>0</v>
      </c>
      <c r="AN31" s="714">
        <f>+PCM!AO20</f>
        <v>0</v>
      </c>
      <c r="AO31" s="714">
        <f>+PCM!AP20</f>
        <v>0</v>
      </c>
      <c r="AP31" s="714">
        <f>+PCM!AQ20</f>
        <v>0</v>
      </c>
      <c r="AQ31" s="714">
        <f>+PCM!AR20</f>
        <v>90.779219620000006</v>
      </c>
      <c r="AR31" s="714">
        <f>+PCM!AS20</f>
        <v>102.4311615</v>
      </c>
      <c r="AS31" s="714">
        <f>+PCM!AT20</f>
        <v>98.958424559999997</v>
      </c>
      <c r="AT31" s="714">
        <f>+PCM!AU20</f>
        <v>109.20485600000001</v>
      </c>
      <c r="AU31" s="714">
        <f>+PCM!AV20</f>
        <v>105.43934662000001</v>
      </c>
      <c r="AV31" s="714">
        <f>+PCM!AW20</f>
        <v>117.026264</v>
      </c>
      <c r="AW31" s="714">
        <f>+PCM!AX20</f>
        <v>111.84586537</v>
      </c>
      <c r="AX31" s="764"/>
      <c r="AY31" s="764"/>
    </row>
    <row r="32" spans="2:51">
      <c r="B32" t="s">
        <v>354</v>
      </c>
      <c r="D32" s="5"/>
      <c r="E32" s="5"/>
      <c r="F32" s="5"/>
      <c r="G32" s="5"/>
      <c r="H32" s="5"/>
      <c r="I32" s="5"/>
      <c r="J32" s="5"/>
      <c r="K32" s="5"/>
      <c r="L32" s="211"/>
      <c r="M32" s="714">
        <f>+PCM!N21</f>
        <v>3.7858250944838496</v>
      </c>
      <c r="N32" s="714">
        <f>+PCM!O21</f>
        <v>3.3893057663400432</v>
      </c>
      <c r="O32" s="714">
        <f>+PCM!P21</f>
        <v>3.695800208223766</v>
      </c>
      <c r="P32" s="714">
        <f>+PCM!Q21</f>
        <v>1.3308731564616105</v>
      </c>
      <c r="Q32" s="714">
        <f>+PCM!R21</f>
        <v>2.4720571718056341</v>
      </c>
      <c r="R32" s="714">
        <f>+PCM!S21</f>
        <v>3.489771233054014</v>
      </c>
      <c r="S32" s="714">
        <f>+PCM!T21</f>
        <v>3.662053301938319</v>
      </c>
      <c r="T32" s="714">
        <f>+PCM!U21</f>
        <v>3.5677054871303371</v>
      </c>
      <c r="U32" s="714">
        <f>+PCM!V21</f>
        <v>3.5726627529032213</v>
      </c>
      <c r="V32" s="714">
        <f>+PCM!W21</f>
        <v>3.8973339415853991</v>
      </c>
      <c r="W32" s="714">
        <f>+PCM!X21</f>
        <v>3.7614163864114687</v>
      </c>
      <c r="X32" s="714">
        <f>+PCM!Y21</f>
        <v>3.8099986983089891</v>
      </c>
      <c r="Y32" s="711">
        <f t="shared" si="24"/>
        <v>40.434803198646648</v>
      </c>
      <c r="Z32" s="714">
        <f>+PCM!AA21</f>
        <v>3.7682176602614827</v>
      </c>
      <c r="AA32" s="714">
        <f>+PCM!AB21</f>
        <v>3.3986789492855376</v>
      </c>
      <c r="AB32" s="714">
        <f>+PCM!AC21</f>
        <v>3.8193838903658586</v>
      </c>
      <c r="AC32" s="714">
        <f>+PCM!AD21</f>
        <v>3.3753329679690776</v>
      </c>
      <c r="AD32" s="714">
        <f>+PCM!AE21</f>
        <v>2.5007101853281699</v>
      </c>
      <c r="AE32" s="714">
        <f>+PCM!AF21</f>
        <v>3.4685483355361129</v>
      </c>
      <c r="AF32" s="714">
        <f>+PCM!AG21</f>
        <v>3.6295534849929521</v>
      </c>
      <c r="AG32" s="714">
        <f>+PCM!AH21</f>
        <v>3.5440189529350481</v>
      </c>
      <c r="AH32" s="714">
        <f>+PCM!AI21</f>
        <v>3.5286117055203268</v>
      </c>
      <c r="AI32" s="714">
        <f>+PCM!AJ21</f>
        <v>3.9064809555110038</v>
      </c>
      <c r="AJ32" s="714">
        <f>+PCM!AK21</f>
        <v>3.7163039551686525</v>
      </c>
      <c r="AK32" s="714">
        <f>+PCM!AL21</f>
        <v>3.7638841112240917</v>
      </c>
      <c r="AL32" s="711">
        <f t="shared" si="25"/>
        <v>42.419725154098323</v>
      </c>
      <c r="AM32" s="714">
        <f>+PCM!AN21</f>
        <v>44.90675936771413</v>
      </c>
      <c r="AN32" s="714">
        <f>+PCM!AO21</f>
        <v>45.395998166625027</v>
      </c>
      <c r="AO32" s="714">
        <f>+PCM!AP21</f>
        <v>47.701885330576928</v>
      </c>
      <c r="AP32" s="714">
        <f>+PCM!AQ21</f>
        <v>47.141017698367399</v>
      </c>
      <c r="AQ32" s="714">
        <f>+PCM!AR21</f>
        <v>52.301985635228327</v>
      </c>
      <c r="AR32" s="714">
        <f>+PCM!AS21</f>
        <v>56.873873810395303</v>
      </c>
      <c r="AS32" s="714">
        <f>+PCM!AT21</f>
        <v>52.089322692849208</v>
      </c>
      <c r="AT32" s="714">
        <f>+PCM!AU21</f>
        <v>60.250607869546748</v>
      </c>
      <c r="AU32" s="714">
        <f>+PCM!AV21</f>
        <v>63.027270865333392</v>
      </c>
      <c r="AV32" s="714">
        <f>+PCM!AW21</f>
        <v>64.681413055244079</v>
      </c>
      <c r="AW32" s="714">
        <f>+PCM!AX21</f>
        <v>69.599564356965431</v>
      </c>
      <c r="AX32" s="764"/>
      <c r="AY32" s="764"/>
    </row>
    <row r="33" spans="1:51" ht="13.5" thickBot="1">
      <c r="B33" t="s">
        <v>131</v>
      </c>
      <c r="D33" s="290"/>
      <c r="E33" s="290"/>
      <c r="F33" s="290"/>
      <c r="G33" s="290"/>
      <c r="H33" s="290"/>
      <c r="I33" s="290"/>
      <c r="J33" s="290"/>
      <c r="K33" s="290"/>
      <c r="L33" s="243"/>
      <c r="M33" s="489">
        <f t="shared" ref="M33:X33" si="26">SUM(M28:M32)</f>
        <v>24.811655844483852</v>
      </c>
      <c r="N33" s="489">
        <f t="shared" si="26"/>
        <v>22.218903266340043</v>
      </c>
      <c r="O33" s="489">
        <f t="shared" si="26"/>
        <v>23.964551708223766</v>
      </c>
      <c r="P33" s="489">
        <f t="shared" si="26"/>
        <v>20.66505190646161</v>
      </c>
      <c r="Q33" s="489">
        <f t="shared" si="26"/>
        <v>21.010125361805635</v>
      </c>
      <c r="R33" s="489">
        <f t="shared" si="26"/>
        <v>22.764773233054015</v>
      </c>
      <c r="S33" s="489">
        <f t="shared" si="26"/>
        <v>24.357256611938318</v>
      </c>
      <c r="T33" s="489">
        <f t="shared" si="26"/>
        <v>23.779308987130335</v>
      </c>
      <c r="U33" s="489">
        <f t="shared" si="26"/>
        <v>17.134724252903222</v>
      </c>
      <c r="V33" s="489">
        <f t="shared" si="26"/>
        <v>18.189468441585397</v>
      </c>
      <c r="W33" s="489">
        <f t="shared" si="26"/>
        <v>17.60945213641147</v>
      </c>
      <c r="X33" s="489">
        <f t="shared" si="26"/>
        <v>18.053639948308987</v>
      </c>
      <c r="Y33" s="705">
        <f t="shared" si="24"/>
        <v>254.55891169864665</v>
      </c>
      <c r="Z33" s="489">
        <f t="shared" ref="Z33:AK33" si="27">SUM(Z28:Z32)</f>
        <v>18.996283910261482</v>
      </c>
      <c r="AA33" s="489">
        <f t="shared" si="27"/>
        <v>17.046318449285536</v>
      </c>
      <c r="AB33" s="489">
        <f t="shared" si="27"/>
        <v>16.275212390365859</v>
      </c>
      <c r="AC33" s="489">
        <f t="shared" si="27"/>
        <v>14.594062127969076</v>
      </c>
      <c r="AD33" s="489">
        <f t="shared" si="27"/>
        <v>15.200374965328169</v>
      </c>
      <c r="AE33" s="489">
        <f t="shared" si="27"/>
        <v>17.599419835536114</v>
      </c>
      <c r="AF33" s="489">
        <f t="shared" si="27"/>
        <v>18.308050984992953</v>
      </c>
      <c r="AG33" s="489">
        <f t="shared" si="27"/>
        <v>18.243530202935048</v>
      </c>
      <c r="AH33" s="489">
        <f t="shared" si="27"/>
        <v>17.529621205520328</v>
      </c>
      <c r="AI33" s="489">
        <f t="shared" si="27"/>
        <v>18.572319705511006</v>
      </c>
      <c r="AJ33" s="489">
        <f t="shared" si="27"/>
        <v>17.910572205168652</v>
      </c>
      <c r="AK33" s="489">
        <f t="shared" si="27"/>
        <v>18.277862361224091</v>
      </c>
      <c r="AL33" s="705">
        <f t="shared" si="25"/>
        <v>208.55362834409831</v>
      </c>
      <c r="AM33" s="489">
        <f t="shared" ref="AM33:AW33" si="28">SUM(AM28:AM32)</f>
        <v>222.15935870771415</v>
      </c>
      <c r="AN33" s="489">
        <f t="shared" si="28"/>
        <v>223.26572639662501</v>
      </c>
      <c r="AO33" s="489">
        <f t="shared" si="28"/>
        <v>232.47108558057693</v>
      </c>
      <c r="AP33" s="489">
        <f t="shared" si="28"/>
        <v>241.7568734483674</v>
      </c>
      <c r="AQ33" s="489">
        <f t="shared" si="28"/>
        <v>350.95718615522833</v>
      </c>
      <c r="AR33" s="489">
        <f t="shared" si="28"/>
        <v>389.12284681039529</v>
      </c>
      <c r="AS33" s="489">
        <f t="shared" si="28"/>
        <v>387.17327569284919</v>
      </c>
      <c r="AT33" s="489">
        <f t="shared" si="28"/>
        <v>414.55507498954677</v>
      </c>
      <c r="AU33" s="489">
        <f t="shared" si="28"/>
        <v>422.03609648533342</v>
      </c>
      <c r="AV33" s="489">
        <f t="shared" si="28"/>
        <v>437.41322519524408</v>
      </c>
      <c r="AW33" s="489">
        <f t="shared" si="28"/>
        <v>463.37992959696544</v>
      </c>
      <c r="AX33" s="764"/>
      <c r="AY33" s="764"/>
    </row>
    <row r="34" spans="1:51" ht="13.5" thickTop="1">
      <c r="M34" s="714"/>
      <c r="N34" s="714"/>
      <c r="O34" s="714"/>
      <c r="P34" s="714"/>
      <c r="Q34" s="714"/>
      <c r="R34" s="714"/>
      <c r="S34" s="714"/>
      <c r="T34" s="714"/>
      <c r="U34" s="714"/>
      <c r="V34" s="714"/>
      <c r="W34" s="714"/>
      <c r="X34" s="714"/>
      <c r="Y34" s="711"/>
      <c r="Z34" s="714"/>
      <c r="AA34" s="714"/>
      <c r="AB34" s="714"/>
      <c r="AC34" s="714"/>
      <c r="AD34" s="714"/>
      <c r="AE34" s="714"/>
      <c r="AF34" s="714"/>
      <c r="AG34" s="714"/>
      <c r="AH34" s="714"/>
      <c r="AI34" s="714"/>
      <c r="AJ34" s="714"/>
      <c r="AK34" s="714"/>
      <c r="AL34" s="711"/>
      <c r="AM34" s="714"/>
      <c r="AN34" s="714"/>
      <c r="AO34" s="714"/>
      <c r="AP34" s="714"/>
      <c r="AQ34" s="714"/>
      <c r="AR34" s="714"/>
      <c r="AS34" s="714"/>
      <c r="AT34" s="714"/>
      <c r="AU34" s="714"/>
      <c r="AV34" s="714"/>
      <c r="AW34" s="714"/>
      <c r="AX34" s="764"/>
      <c r="AY34" s="764"/>
    </row>
    <row r="35" spans="1:51">
      <c r="M35" s="714"/>
      <c r="N35" s="714"/>
      <c r="O35" s="714"/>
      <c r="P35" s="714"/>
      <c r="Q35" s="714"/>
      <c r="R35" s="714"/>
      <c r="S35" s="714"/>
      <c r="T35" s="714"/>
      <c r="U35" s="714"/>
      <c r="V35" s="714"/>
      <c r="W35" s="714"/>
      <c r="X35" s="714"/>
      <c r="Y35" s="711"/>
      <c r="Z35" s="714"/>
      <c r="AA35" s="714"/>
      <c r="AB35" s="714"/>
      <c r="AC35" s="714"/>
      <c r="AD35" s="714"/>
      <c r="AE35" s="714"/>
      <c r="AF35" s="714"/>
      <c r="AG35" s="714"/>
      <c r="AH35" s="714"/>
      <c r="AI35" s="714"/>
      <c r="AJ35" s="714"/>
      <c r="AK35" s="714"/>
      <c r="AL35" s="711"/>
      <c r="AM35" s="714"/>
      <c r="AN35" s="714"/>
      <c r="AO35" s="714"/>
      <c r="AP35" s="714"/>
      <c r="AQ35" s="714"/>
      <c r="AR35" s="714"/>
      <c r="AS35" s="714"/>
      <c r="AT35" s="714"/>
      <c r="AU35" s="714"/>
      <c r="AV35" s="714"/>
      <c r="AW35" s="714"/>
      <c r="AX35" s="764"/>
      <c r="AY35" s="764"/>
    </row>
    <row r="36" spans="1:51">
      <c r="M36" s="714"/>
      <c r="N36" s="714"/>
      <c r="O36" s="714"/>
      <c r="P36" s="714"/>
      <c r="Q36" s="714"/>
      <c r="R36" s="714"/>
      <c r="S36" s="714"/>
      <c r="T36" s="714"/>
      <c r="U36" s="714"/>
      <c r="V36" s="714"/>
      <c r="W36" s="714"/>
      <c r="X36" s="714"/>
      <c r="Y36" s="711"/>
      <c r="Z36" s="714"/>
      <c r="AA36" s="714"/>
      <c r="AB36" s="714"/>
      <c r="AC36" s="714"/>
      <c r="AD36" s="714"/>
      <c r="AE36" s="714"/>
      <c r="AF36" s="714"/>
      <c r="AG36" s="714"/>
      <c r="AH36" s="714"/>
      <c r="AI36" s="714"/>
      <c r="AJ36" s="714"/>
      <c r="AK36" s="714"/>
      <c r="AL36" s="711"/>
      <c r="AM36" s="714"/>
      <c r="AN36" s="714"/>
      <c r="AO36" s="714"/>
      <c r="AP36" s="714"/>
      <c r="AQ36" s="714"/>
      <c r="AR36" s="714"/>
      <c r="AS36" s="714"/>
      <c r="AT36" s="714"/>
      <c r="AU36" s="714"/>
      <c r="AV36" s="714"/>
      <c r="AW36" s="714"/>
      <c r="AX36" s="764"/>
      <c r="AY36" s="764"/>
    </row>
    <row r="37" spans="1:51"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1"/>
      <c r="Z37" s="714"/>
      <c r="AA37" s="714"/>
      <c r="AB37" s="714"/>
      <c r="AC37" s="714"/>
      <c r="AD37" s="714"/>
      <c r="AE37" s="714"/>
      <c r="AF37" s="714"/>
      <c r="AG37" s="714"/>
      <c r="AH37" s="714"/>
      <c r="AI37" s="714"/>
      <c r="AJ37" s="714"/>
      <c r="AK37" s="714"/>
      <c r="AL37" s="711"/>
      <c r="AM37" s="714"/>
      <c r="AN37" s="714"/>
      <c r="AO37" s="714"/>
      <c r="AP37" s="714"/>
      <c r="AQ37" s="714"/>
      <c r="AR37" s="714"/>
      <c r="AS37" s="714"/>
      <c r="AT37" s="714"/>
      <c r="AU37" s="714"/>
      <c r="AV37" s="714"/>
      <c r="AW37" s="714"/>
      <c r="AX37" s="764"/>
      <c r="AY37" s="764"/>
    </row>
    <row r="38" spans="1:51">
      <c r="B38" s="34" t="s">
        <v>768</v>
      </c>
      <c r="M38" s="714"/>
      <c r="N38" s="714"/>
      <c r="O38" s="714"/>
      <c r="P38" s="714"/>
      <c r="Q38" s="714"/>
      <c r="R38" s="714"/>
      <c r="S38" s="714"/>
      <c r="T38" s="714"/>
      <c r="U38" s="714"/>
      <c r="V38" s="714"/>
      <c r="W38" s="714"/>
      <c r="X38" s="714"/>
      <c r="Y38" s="711"/>
      <c r="Z38" s="714"/>
      <c r="AA38" s="714"/>
      <c r="AB38" s="714"/>
      <c r="AC38" s="714"/>
      <c r="AD38" s="714"/>
      <c r="AE38" s="714"/>
      <c r="AF38" s="714"/>
      <c r="AG38" s="714"/>
      <c r="AH38" s="714"/>
      <c r="AI38" s="714"/>
      <c r="AJ38" s="714"/>
      <c r="AK38" s="714"/>
      <c r="AL38" s="711"/>
      <c r="AM38" s="714"/>
      <c r="AN38" s="714"/>
      <c r="AO38" s="714"/>
      <c r="AP38" s="714"/>
      <c r="AQ38" s="714"/>
      <c r="AR38" s="714"/>
      <c r="AS38" s="714"/>
      <c r="AT38" s="714"/>
      <c r="AU38" s="714"/>
      <c r="AV38" s="714"/>
      <c r="AW38" s="714"/>
      <c r="AX38" s="764"/>
      <c r="AY38" s="764"/>
    </row>
    <row r="39" spans="1:51">
      <c r="A39" s="13" t="s">
        <v>45</v>
      </c>
      <c r="B39" s="13" t="s">
        <v>46</v>
      </c>
      <c r="D39" s="314"/>
      <c r="E39" s="64"/>
      <c r="F39" s="64"/>
      <c r="G39" s="64"/>
      <c r="H39" s="64"/>
      <c r="I39" s="64"/>
      <c r="J39" s="64"/>
      <c r="K39" s="64"/>
      <c r="L39" s="224"/>
      <c r="M39" s="714">
        <f t="shared" ref="M39:X39" si="29">M$17*M$28/M$33</f>
        <v>0</v>
      </c>
      <c r="N39" s="714">
        <f t="shared" si="29"/>
        <v>0</v>
      </c>
      <c r="O39" s="714">
        <f t="shared" si="29"/>
        <v>0</v>
      </c>
      <c r="P39" s="714">
        <f t="shared" si="29"/>
        <v>0</v>
      </c>
      <c r="Q39" s="714">
        <f t="shared" si="29"/>
        <v>0</v>
      </c>
      <c r="R39" s="714">
        <f t="shared" si="29"/>
        <v>0</v>
      </c>
      <c r="S39" s="714">
        <f t="shared" si="29"/>
        <v>0.49483776016604047</v>
      </c>
      <c r="T39" s="714">
        <f t="shared" si="29"/>
        <v>0</v>
      </c>
      <c r="U39" s="714">
        <f t="shared" si="29"/>
        <v>0</v>
      </c>
      <c r="V39" s="714">
        <f t="shared" si="29"/>
        <v>0</v>
      </c>
      <c r="W39" s="714">
        <f t="shared" si="29"/>
        <v>0</v>
      </c>
      <c r="X39" s="714">
        <f t="shared" si="29"/>
        <v>0</v>
      </c>
      <c r="Y39" s="711">
        <f>SUM(M39:X39)</f>
        <v>0.49483776016604047</v>
      </c>
      <c r="Z39" s="714">
        <f t="shared" ref="Z39:AK39" si="30">Z$17*Z$28/Z$33</f>
        <v>0</v>
      </c>
      <c r="AA39" s="714">
        <f t="shared" si="30"/>
        <v>0</v>
      </c>
      <c r="AB39" s="714">
        <f t="shared" si="30"/>
        <v>0</v>
      </c>
      <c r="AC39" s="714">
        <f t="shared" si="30"/>
        <v>0</v>
      </c>
      <c r="AD39" s="714">
        <f t="shared" si="30"/>
        <v>0</v>
      </c>
      <c r="AE39" s="714">
        <f t="shared" si="30"/>
        <v>0</v>
      </c>
      <c r="AF39" s="714">
        <f t="shared" si="30"/>
        <v>0</v>
      </c>
      <c r="AG39" s="714">
        <f t="shared" si="30"/>
        <v>0</v>
      </c>
      <c r="AH39" s="714">
        <f t="shared" si="30"/>
        <v>0</v>
      </c>
      <c r="AI39" s="714">
        <f t="shared" si="30"/>
        <v>0</v>
      </c>
      <c r="AJ39" s="714">
        <f t="shared" si="30"/>
        <v>0</v>
      </c>
      <c r="AK39" s="714">
        <f t="shared" si="30"/>
        <v>0</v>
      </c>
      <c r="AL39" s="711">
        <f>SUM(Z39:AK39)</f>
        <v>0</v>
      </c>
      <c r="AM39" s="714">
        <f t="shared" ref="AM39:AW39" si="31">AM$17*AM$28/AM$33</f>
        <v>0</v>
      </c>
      <c r="AN39" s="714">
        <f t="shared" si="31"/>
        <v>0</v>
      </c>
      <c r="AO39" s="714">
        <f t="shared" si="31"/>
        <v>0</v>
      </c>
      <c r="AP39" s="714">
        <f t="shared" si="31"/>
        <v>0</v>
      </c>
      <c r="AQ39" s="714">
        <f t="shared" si="31"/>
        <v>0</v>
      </c>
      <c r="AR39" s="714">
        <f t="shared" si="31"/>
        <v>0</v>
      </c>
      <c r="AS39" s="714">
        <f t="shared" si="31"/>
        <v>0</v>
      </c>
      <c r="AT39" s="714">
        <f t="shared" si="31"/>
        <v>0</v>
      </c>
      <c r="AU39" s="714">
        <f t="shared" si="31"/>
        <v>0</v>
      </c>
      <c r="AV39" s="714">
        <f t="shared" si="31"/>
        <v>0</v>
      </c>
      <c r="AW39" s="714">
        <f t="shared" si="31"/>
        <v>0</v>
      </c>
      <c r="AX39" s="764"/>
      <c r="AY39" s="764"/>
    </row>
    <row r="40" spans="1:51">
      <c r="A40" s="13" t="s">
        <v>47</v>
      </c>
      <c r="B40" s="13" t="s">
        <v>773</v>
      </c>
      <c r="D40" s="64"/>
      <c r="E40" s="64"/>
      <c r="F40" s="64"/>
      <c r="G40" s="64"/>
      <c r="H40" s="64"/>
      <c r="I40" s="64"/>
      <c r="J40" s="64"/>
      <c r="K40" s="64"/>
      <c r="L40" s="224"/>
      <c r="M40" s="714">
        <f>PCM!N56</f>
        <v>0</v>
      </c>
      <c r="N40" s="714">
        <f>PCM!O56</f>
        <v>0</v>
      </c>
      <c r="O40" s="714">
        <f>PCM!P56</f>
        <v>0</v>
      </c>
      <c r="P40" s="714">
        <f>PCM!Q56</f>
        <v>0</v>
      </c>
      <c r="Q40" s="714">
        <f>PCM!R56</f>
        <v>0</v>
      </c>
      <c r="R40" s="714">
        <f>PCM!S56</f>
        <v>0</v>
      </c>
      <c r="S40" s="714">
        <f>PCM!T56</f>
        <v>0.14727660000000001</v>
      </c>
      <c r="T40" s="714">
        <f>PCM!U56</f>
        <v>0</v>
      </c>
      <c r="U40" s="714">
        <f>PCM!V56</f>
        <v>0</v>
      </c>
      <c r="V40" s="714">
        <f>PCM!W56</f>
        <v>0</v>
      </c>
      <c r="W40" s="714">
        <f>PCM!X56</f>
        <v>0</v>
      </c>
      <c r="X40" s="714">
        <f>PCM!Y56</f>
        <v>0</v>
      </c>
      <c r="Y40" s="711">
        <f t="shared" ref="Y40:Y50" si="32">SUM(M40:X40)</f>
        <v>0.14727660000000001</v>
      </c>
      <c r="Z40" s="714">
        <f>PCM!AA56</f>
        <v>0</v>
      </c>
      <c r="AA40" s="714">
        <f>PCM!AB56</f>
        <v>0</v>
      </c>
      <c r="AB40" s="714">
        <f>PCM!AC56</f>
        <v>0</v>
      </c>
      <c r="AC40" s="714">
        <f>PCM!AD56</f>
        <v>0</v>
      </c>
      <c r="AD40" s="714">
        <f>PCM!AE56</f>
        <v>0</v>
      </c>
      <c r="AE40" s="714">
        <f>PCM!AF56</f>
        <v>0</v>
      </c>
      <c r="AF40" s="714">
        <f>PCM!AG56</f>
        <v>0</v>
      </c>
      <c r="AG40" s="714">
        <f>PCM!AH56</f>
        <v>0</v>
      </c>
      <c r="AH40" s="714">
        <f>PCM!AI56</f>
        <v>0</v>
      </c>
      <c r="AI40" s="714">
        <f>PCM!AJ56</f>
        <v>0</v>
      </c>
      <c r="AJ40" s="714">
        <f>PCM!AK56</f>
        <v>0</v>
      </c>
      <c r="AK40" s="714">
        <f>PCM!AL56</f>
        <v>0</v>
      </c>
      <c r="AL40" s="711">
        <f t="shared" ref="AL40:AL50" si="33">SUM(Z40:AK40)</f>
        <v>0</v>
      </c>
      <c r="AM40" s="714">
        <f>PCM!AN56</f>
        <v>0</v>
      </c>
      <c r="AN40" s="714">
        <f>PCM!AO56</f>
        <v>0</v>
      </c>
      <c r="AO40" s="714">
        <f>PCM!AP56</f>
        <v>0</v>
      </c>
      <c r="AP40" s="714">
        <f>PCM!AQ56</f>
        <v>0</v>
      </c>
      <c r="AQ40" s="714">
        <f>PCM!AR56</f>
        <v>0</v>
      </c>
      <c r="AR40" s="714">
        <f>PCM!AS56</f>
        <v>0</v>
      </c>
      <c r="AS40" s="714">
        <f>PCM!AT56</f>
        <v>0</v>
      </c>
      <c r="AT40" s="714">
        <f>PCM!AU56</f>
        <v>0</v>
      </c>
      <c r="AU40" s="714">
        <f>PCM!AV56</f>
        <v>0</v>
      </c>
      <c r="AV40" s="714">
        <f>PCM!AW56</f>
        <v>0</v>
      </c>
      <c r="AW40" s="714">
        <f>PCM!AX56</f>
        <v>0</v>
      </c>
      <c r="AX40" s="764"/>
      <c r="AY40" s="764"/>
    </row>
    <row r="41" spans="1:51">
      <c r="A41" s="13" t="s">
        <v>49</v>
      </c>
      <c r="B41" s="13" t="s">
        <v>50</v>
      </c>
      <c r="D41" s="64"/>
      <c r="E41" s="64"/>
      <c r="F41" s="64"/>
      <c r="G41" s="64"/>
      <c r="H41" s="64"/>
      <c r="I41" s="64"/>
      <c r="J41" s="64"/>
      <c r="K41" s="64"/>
      <c r="L41" s="224"/>
      <c r="M41" s="714">
        <f>PCM!N32</f>
        <v>0</v>
      </c>
      <c r="N41" s="714">
        <f>PCM!O32</f>
        <v>0</v>
      </c>
      <c r="O41" s="714">
        <f>PCM!P32</f>
        <v>0</v>
      </c>
      <c r="P41" s="714">
        <f>PCM!Q32</f>
        <v>0</v>
      </c>
      <c r="Q41" s="714">
        <f>PCM!R32</f>
        <v>0</v>
      </c>
      <c r="R41" s="714">
        <f>PCM!S32</f>
        <v>0</v>
      </c>
      <c r="S41" s="714">
        <f>PCM!T32</f>
        <v>0.38248747</v>
      </c>
      <c r="T41" s="714">
        <f>PCM!U32</f>
        <v>0</v>
      </c>
      <c r="U41" s="714">
        <f>PCM!V32</f>
        <v>0</v>
      </c>
      <c r="V41" s="714">
        <f>PCM!W32</f>
        <v>0</v>
      </c>
      <c r="W41" s="714">
        <f>PCM!X32</f>
        <v>0</v>
      </c>
      <c r="X41" s="714">
        <f>PCM!Y32</f>
        <v>0</v>
      </c>
      <c r="Y41" s="711">
        <f t="shared" si="32"/>
        <v>0.38248747</v>
      </c>
      <c r="Z41" s="714">
        <f>PCM!AA32</f>
        <v>0</v>
      </c>
      <c r="AA41" s="714">
        <f>PCM!AB32</f>
        <v>0</v>
      </c>
      <c r="AB41" s="714">
        <f>PCM!AC32</f>
        <v>0</v>
      </c>
      <c r="AC41" s="714">
        <f>PCM!AD32</f>
        <v>0</v>
      </c>
      <c r="AD41" s="714">
        <f>PCM!AE32</f>
        <v>0</v>
      </c>
      <c r="AE41" s="714">
        <f>PCM!AF32</f>
        <v>0</v>
      </c>
      <c r="AF41" s="714">
        <f>PCM!AG32</f>
        <v>0</v>
      </c>
      <c r="AG41" s="714">
        <f>PCM!AH32</f>
        <v>0</v>
      </c>
      <c r="AH41" s="714">
        <f>PCM!AI32</f>
        <v>0</v>
      </c>
      <c r="AI41" s="714">
        <f>PCM!AJ32</f>
        <v>0</v>
      </c>
      <c r="AJ41" s="714">
        <f>PCM!AK32</f>
        <v>0</v>
      </c>
      <c r="AK41" s="714">
        <f>PCM!AL32</f>
        <v>0</v>
      </c>
      <c r="AL41" s="711">
        <f t="shared" si="33"/>
        <v>0</v>
      </c>
      <c r="AM41" s="714">
        <f>PCM!AN32</f>
        <v>0</v>
      </c>
      <c r="AN41" s="714">
        <f>PCM!AO32</f>
        <v>0</v>
      </c>
      <c r="AO41" s="714">
        <f>PCM!AP32</f>
        <v>0</v>
      </c>
      <c r="AP41" s="714">
        <f>PCM!AQ32</f>
        <v>0</v>
      </c>
      <c r="AQ41" s="714">
        <f>PCM!AR32</f>
        <v>1.39504044</v>
      </c>
      <c r="AR41" s="714">
        <f>PCM!AS32</f>
        <v>5.6530768199999999</v>
      </c>
      <c r="AS41" s="714">
        <f>PCM!AT32</f>
        <v>12.951438140000002</v>
      </c>
      <c r="AT41" s="714">
        <f>PCM!AU32</f>
        <v>12.37942357</v>
      </c>
      <c r="AU41" s="714">
        <f>PCM!AV32</f>
        <v>10.35356093</v>
      </c>
      <c r="AV41" s="714">
        <f>PCM!AW32</f>
        <v>8.579813660000001</v>
      </c>
      <c r="AW41" s="714">
        <f>PCM!AX32</f>
        <v>8.4529117100000004</v>
      </c>
      <c r="AX41" s="764"/>
      <c r="AY41" s="764"/>
    </row>
    <row r="42" spans="1:51">
      <c r="A42" s="13" t="s">
        <v>51</v>
      </c>
      <c r="B42" s="13" t="s">
        <v>52</v>
      </c>
      <c r="D42" s="64"/>
      <c r="E42" s="64"/>
      <c r="F42" s="64"/>
      <c r="G42" s="64"/>
      <c r="H42" s="64"/>
      <c r="I42" s="64"/>
      <c r="J42" s="64"/>
      <c r="K42" s="64"/>
      <c r="L42" s="224"/>
      <c r="M42" s="714">
        <f t="shared" ref="M42:X42" si="34">M$17*M$29/M$33</f>
        <v>7.2905604618881901</v>
      </c>
      <c r="N42" s="714">
        <f t="shared" si="34"/>
        <v>6.4853631490742663</v>
      </c>
      <c r="O42" s="714">
        <f t="shared" si="34"/>
        <v>7.0251349963196112</v>
      </c>
      <c r="P42" s="714">
        <f t="shared" si="34"/>
        <v>6.6685234208019315</v>
      </c>
      <c r="Q42" s="714">
        <f t="shared" si="34"/>
        <v>5.3677004565080848</v>
      </c>
      <c r="R42" s="714">
        <f t="shared" si="34"/>
        <v>6.699648542422632</v>
      </c>
      <c r="S42" s="714">
        <f t="shared" si="34"/>
        <v>6.9961463222753215</v>
      </c>
      <c r="T42" s="714">
        <f t="shared" si="34"/>
        <v>7.0663034350011324</v>
      </c>
      <c r="U42" s="714">
        <f t="shared" si="34"/>
        <v>6.7267350606100544</v>
      </c>
      <c r="V42" s="714">
        <f t="shared" si="34"/>
        <v>7.1165081513370048</v>
      </c>
      <c r="W42" s="714">
        <f t="shared" si="34"/>
        <v>6.9555926543681901</v>
      </c>
      <c r="X42" s="714">
        <f t="shared" si="34"/>
        <v>7.0956021314427593</v>
      </c>
      <c r="Y42" s="711">
        <f t="shared" si="32"/>
        <v>81.493818782049175</v>
      </c>
      <c r="Z42" s="714">
        <f t="shared" ref="Z42:AJ42" si="35">Z$17*Z$29/Z$33</f>
        <v>7.5272621114907059</v>
      </c>
      <c r="AA42" s="714">
        <f t="shared" si="35"/>
        <v>6.7602638569510667</v>
      </c>
      <c r="AB42" s="714">
        <f t="shared" si="35"/>
        <v>7.1066038427884699</v>
      </c>
      <c r="AC42" s="714">
        <f t="shared" si="35"/>
        <v>4.9954556217859363</v>
      </c>
      <c r="AD42" s="714">
        <f t="shared" si="35"/>
        <v>5.3712739859811478</v>
      </c>
      <c r="AE42" s="714">
        <f t="shared" si="35"/>
        <v>7.0186531914232608</v>
      </c>
      <c r="AF42" s="714">
        <f t="shared" si="35"/>
        <v>7.2788561242207059</v>
      </c>
      <c r="AG42" s="714">
        <f t="shared" si="35"/>
        <v>7.2840546228248364</v>
      </c>
      <c r="AH42" s="714">
        <f t="shared" si="35"/>
        <v>7.0356854541386928</v>
      </c>
      <c r="AI42" s="714">
        <f t="shared" si="35"/>
        <v>7.3938836839668012</v>
      </c>
      <c r="AJ42" s="714">
        <f t="shared" si="35"/>
        <v>7.1861213787980933</v>
      </c>
      <c r="AK42" s="714">
        <f>AK$17*AK$29/AK$33</f>
        <v>7.2501795270236258</v>
      </c>
      <c r="AL42" s="711">
        <f t="shared" si="33"/>
        <v>82.208293401393348</v>
      </c>
      <c r="AM42" s="714">
        <f>AM$17*AM$29/AM$33</f>
        <v>87.531729537021761</v>
      </c>
      <c r="AN42" s="714">
        <f>AN$17*AN$29/AN$33</f>
        <v>90.774528602618929</v>
      </c>
      <c r="AO42" s="714">
        <f>AO$17*AO$29/AO$33</f>
        <v>89.379797020967388</v>
      </c>
      <c r="AP42" s="714">
        <f t="shared" ref="AP42:AW42" si="36">AP$17*AP$29/AP$33</f>
        <v>94.119661749981461</v>
      </c>
      <c r="AQ42" s="714">
        <f t="shared" si="36"/>
        <v>105.0275041312828</v>
      </c>
      <c r="AR42" s="714">
        <f t="shared" si="36"/>
        <v>114.50501517242354</v>
      </c>
      <c r="AS42" s="714">
        <f t="shared" si="36"/>
        <v>117.89663234847183</v>
      </c>
      <c r="AT42" s="714">
        <f t="shared" si="36"/>
        <v>122.01244983712307</v>
      </c>
      <c r="AU42" s="714">
        <f t="shared" si="36"/>
        <v>124.74509894870869</v>
      </c>
      <c r="AV42" s="714">
        <f t="shared" si="36"/>
        <v>130.44750465355312</v>
      </c>
      <c r="AW42" s="714">
        <f t="shared" si="36"/>
        <v>139.83235231303726</v>
      </c>
      <c r="AX42" s="764"/>
      <c r="AY42" s="764"/>
    </row>
    <row r="43" spans="1:51">
      <c r="A43" s="13" t="s">
        <v>53</v>
      </c>
      <c r="B43" s="13" t="s">
        <v>774</v>
      </c>
      <c r="D43" s="64"/>
      <c r="E43" s="64"/>
      <c r="F43" s="64"/>
      <c r="G43" s="64"/>
      <c r="H43" s="64"/>
      <c r="I43" s="64"/>
      <c r="J43" s="64"/>
      <c r="K43" s="64"/>
      <c r="L43" s="224"/>
      <c r="M43" s="714">
        <f>+PCM!N53+PCM!N54+PCM!N55</f>
        <v>3.8494805666666666E-2</v>
      </c>
      <c r="N43" s="714">
        <f>+PCM!O53+PCM!O54+PCM!O55</f>
        <v>3.8782639624088448E-2</v>
      </c>
      <c r="O43" s="714">
        <f>+PCM!P53+PCM!P54+PCM!P55</f>
        <v>3.8658103646786054E-2</v>
      </c>
      <c r="P43" s="714">
        <f>+PCM!Q53+PCM!Q54+PCM!Q55</f>
        <v>3.8350896211610343E-2</v>
      </c>
      <c r="Q43" s="714">
        <f>+PCM!R53+PCM!R54+PCM!R55</f>
        <v>3.8734774673343117E-2</v>
      </c>
      <c r="R43" s="714">
        <f>+PCM!S53+PCM!S54+PCM!S55</f>
        <v>3.9156848145377558E-2</v>
      </c>
      <c r="S43" s="714">
        <f>+PCM!T53+PCM!T54+PCM!T55</f>
        <v>3.9578959023052099E-2</v>
      </c>
      <c r="T43" s="714">
        <f>+PCM!U53+PCM!U54+PCM!U55</f>
        <v>3.9799741418489763E-2</v>
      </c>
      <c r="U43" s="714">
        <f>+PCM!V53+PCM!V54+PCM!V55</f>
        <v>3.9818911690321229E-2</v>
      </c>
      <c r="V43" s="714">
        <f>+PCM!W53+PCM!W54+PCM!W55</f>
        <v>4.0154719478710889E-2</v>
      </c>
      <c r="W43" s="714">
        <f>+PCM!X53+PCM!X54+PCM!X55</f>
        <v>4.1066147993762105E-2</v>
      </c>
      <c r="X43" s="714">
        <f>+PCM!Y53+PCM!Y54+PCM!Y55</f>
        <v>4.3023534395293217E-2</v>
      </c>
      <c r="Y43" s="711">
        <f t="shared" si="32"/>
        <v>0.47562008196750155</v>
      </c>
      <c r="Z43" s="714">
        <f>+PCM!AA53+PCM!AA54+PCM!AA55</f>
        <v>4.401186243613267E-2</v>
      </c>
      <c r="AA43" s="714">
        <f>+PCM!AB53+PCM!AB54+PCM!AB55</f>
        <v>4.3896750521289114E-2</v>
      </c>
      <c r="AB43" s="714">
        <f>+PCM!AC53+PCM!AC54+PCM!AC55</f>
        <v>4.336921401391116E-2</v>
      </c>
      <c r="AC43" s="714">
        <f>+PCM!AD53+PCM!AD54+PCM!AD55</f>
        <v>4.2361466077378979E-2</v>
      </c>
      <c r="AD43" s="714">
        <f>+PCM!AE53+PCM!AE54+PCM!AE55</f>
        <v>4.2457419577662518E-2</v>
      </c>
      <c r="AE43" s="714">
        <f>+PCM!AF53+PCM!AF54+PCM!AF55</f>
        <v>4.2668601187955776E-2</v>
      </c>
      <c r="AF43" s="714">
        <f>+PCM!AG53+PCM!AG54+PCM!AG55</f>
        <v>4.3042710649960354E-2</v>
      </c>
      <c r="AG43" s="714">
        <f>+PCM!AH53+PCM!AH54+PCM!AH55</f>
        <v>4.3225092812044216E-2</v>
      </c>
      <c r="AH43" s="714">
        <f>+PCM!AI53+PCM!AI54+PCM!AI55</f>
        <v>4.3253911418489763E-2</v>
      </c>
      <c r="AI43" s="714">
        <f>+PCM!AJ53+PCM!AJ54+PCM!AJ55</f>
        <v>4.3609189854753351E-2</v>
      </c>
      <c r="AJ43" s="714">
        <f>+PCM!AK53+PCM!AK54+PCM!AK55</f>
        <v>4.4309246294839559E-2</v>
      </c>
      <c r="AK43" s="714">
        <f>+PCM!AL53+PCM!AL54+PCM!AL55</f>
        <v>4.6045907143591976E-2</v>
      </c>
      <c r="AL43" s="711">
        <f t="shared" si="33"/>
        <v>0.52225137198800953</v>
      </c>
      <c r="AM43" s="714">
        <f>+PCM!AN53+PCM!AN54+PCM!AN55</f>
        <v>0.54636360303887788</v>
      </c>
      <c r="AN43" s="714">
        <f>+PCM!AO53+PCM!AO54+PCM!AO55</f>
        <v>0.56765489800355207</v>
      </c>
      <c r="AO43" s="714">
        <f>+PCM!AP53+PCM!AP54+PCM!AP55</f>
        <v>0.58468454494365862</v>
      </c>
      <c r="AP43" s="714">
        <f>+PCM!AQ53+PCM!AQ54+PCM!AQ55</f>
        <v>0.6022250812919685</v>
      </c>
      <c r="AQ43" s="714">
        <f>+PCM!AR53+PCM!AR54+PCM!AR55</f>
        <v>0.62029183373072749</v>
      </c>
      <c r="AR43" s="714">
        <f>+PCM!AS53+PCM!AS54+PCM!AS55</f>
        <v>0.63890058874264932</v>
      </c>
      <c r="AS43" s="714">
        <f>+PCM!AT53+PCM!AT54+PCM!AT55</f>
        <v>0.65806760640492878</v>
      </c>
      <c r="AT43" s="714">
        <f>+PCM!AU53+PCM!AU54+PCM!AU55</f>
        <v>0.67780963459707666</v>
      </c>
      <c r="AU43" s="714">
        <f>+PCM!AV53+PCM!AV54+PCM!AV55</f>
        <v>0.69814392363498901</v>
      </c>
      <c r="AV43" s="714">
        <f>+PCM!AW53+PCM!AW54+PCM!AW55</f>
        <v>0.7190882413440387</v>
      </c>
      <c r="AW43" s="714">
        <f>+PCM!AX53+PCM!AX54+PCM!AX55</f>
        <v>0.74066088858435986</v>
      </c>
      <c r="AX43" s="764"/>
      <c r="AY43" s="764"/>
    </row>
    <row r="44" spans="1:51">
      <c r="A44" s="13" t="s">
        <v>56</v>
      </c>
      <c r="B44" s="13" t="s">
        <v>57</v>
      </c>
      <c r="D44" s="64"/>
      <c r="E44" s="64"/>
      <c r="F44" s="64"/>
      <c r="G44" s="64"/>
      <c r="H44" s="64"/>
      <c r="I44" s="64"/>
      <c r="J44" s="64"/>
      <c r="K44" s="64"/>
      <c r="L44" s="224"/>
      <c r="M44" s="714">
        <f t="shared" ref="M44:X44" si="37">M$17*M$30/M$33</f>
        <v>7.1666781242057533</v>
      </c>
      <c r="N44" s="714">
        <f t="shared" si="37"/>
        <v>6.4943233386776429</v>
      </c>
      <c r="O44" s="714">
        <f t="shared" si="37"/>
        <v>6.9382561171338626</v>
      </c>
      <c r="P44" s="714">
        <f t="shared" si="37"/>
        <v>6.8092154045219804</v>
      </c>
      <c r="Q44" s="714">
        <f t="shared" si="37"/>
        <v>7.0815185877468032</v>
      </c>
      <c r="R44" s="714">
        <f t="shared" si="37"/>
        <v>6.7123125064816405</v>
      </c>
      <c r="S44" s="714">
        <f t="shared" si="37"/>
        <v>7.0611971583562516</v>
      </c>
      <c r="T44" s="714">
        <f t="shared" si="37"/>
        <v>7.0914526551672594</v>
      </c>
      <c r="U44" s="714">
        <f t="shared" si="37"/>
        <v>6.5990062185134173</v>
      </c>
      <c r="V44" s="714">
        <f t="shared" si="37"/>
        <v>7.0039741436030125</v>
      </c>
      <c r="W44" s="714">
        <f t="shared" si="37"/>
        <v>6.7803979755830168</v>
      </c>
      <c r="X44" s="714">
        <f t="shared" si="37"/>
        <v>7.0790265834218511</v>
      </c>
      <c r="Y44" s="711">
        <f t="shared" si="32"/>
        <v>82.817358813412483</v>
      </c>
      <c r="Z44" s="714">
        <f t="shared" ref="Z44:AK44" si="38">Z$17*Z$30/Z$33</f>
        <v>7.3889854834066391</v>
      </c>
      <c r="AA44" s="714">
        <f t="shared" si="38"/>
        <v>6.6974306983623908</v>
      </c>
      <c r="AB44" s="714">
        <f t="shared" si="38"/>
        <v>5.1573102657114518</v>
      </c>
      <c r="AC44" s="714">
        <f t="shared" si="38"/>
        <v>6.1713486370450914</v>
      </c>
      <c r="AD44" s="714">
        <f t="shared" si="38"/>
        <v>7.3627014434753555</v>
      </c>
      <c r="AE44" s="714">
        <f t="shared" si="38"/>
        <v>7.0564079864063629</v>
      </c>
      <c r="AF44" s="714">
        <f t="shared" si="38"/>
        <v>7.3609250850654595</v>
      </c>
      <c r="AG44" s="714">
        <f t="shared" si="38"/>
        <v>7.3939800322528235</v>
      </c>
      <c r="AH44" s="714">
        <f t="shared" si="38"/>
        <v>6.9405267891423312</v>
      </c>
      <c r="AI44" s="714">
        <f t="shared" si="38"/>
        <v>7.2452639083416592</v>
      </c>
      <c r="AJ44" s="714">
        <f t="shared" si="38"/>
        <v>6.9922534474417537</v>
      </c>
      <c r="AK44" s="714">
        <f t="shared" si="38"/>
        <v>7.2591018887445475</v>
      </c>
      <c r="AL44" s="711">
        <f t="shared" si="33"/>
        <v>83.026235665395873</v>
      </c>
      <c r="AM44" s="714">
        <f t="shared" ref="AM44:AW44" si="39">AM$17*AM$30/AM$33</f>
        <v>88.072318706569789</v>
      </c>
      <c r="AN44" s="714">
        <f t="shared" si="39"/>
        <v>86.534295748250358</v>
      </c>
      <c r="AO44" s="714">
        <f t="shared" si="39"/>
        <v>94.001797675124791</v>
      </c>
      <c r="AP44" s="714">
        <f t="shared" si="39"/>
        <v>99.467665584748673</v>
      </c>
      <c r="AQ44" s="714">
        <f t="shared" si="39"/>
        <v>102.137237355035</v>
      </c>
      <c r="AR44" s="714">
        <f t="shared" si="39"/>
        <v>114.09724690330744</v>
      </c>
      <c r="AS44" s="714">
        <f t="shared" si="39"/>
        <v>117.37013172676912</v>
      </c>
      <c r="AT44" s="714">
        <f t="shared" si="39"/>
        <v>121.98201158429326</v>
      </c>
      <c r="AU44" s="714">
        <f t="shared" si="39"/>
        <v>127.38376211271326</v>
      </c>
      <c r="AV44" s="714">
        <f t="shared" si="39"/>
        <v>124.55988708740047</v>
      </c>
      <c r="AW44" s="714">
        <f t="shared" si="39"/>
        <v>139.44513339963075</v>
      </c>
      <c r="AX44" s="764"/>
      <c r="AY44" s="764"/>
    </row>
    <row r="45" spans="1:51">
      <c r="A45" s="13" t="s">
        <v>58</v>
      </c>
      <c r="B45" s="13" t="s">
        <v>775</v>
      </c>
      <c r="D45" s="64"/>
      <c r="E45" s="64"/>
      <c r="F45" s="64"/>
      <c r="G45" s="64"/>
      <c r="H45" s="64"/>
      <c r="I45" s="64"/>
      <c r="J45" s="64"/>
      <c r="K45" s="64"/>
      <c r="L45" s="224"/>
      <c r="M45" s="714">
        <f>+PCM!N57+PCM!N58</f>
        <v>0.16412071480078014</v>
      </c>
      <c r="N45" s="714">
        <f>+PCM!O57+PCM!O58</f>
        <v>0.1631407348444231</v>
      </c>
      <c r="O45" s="714">
        <f>+PCM!P57+PCM!P58</f>
        <v>0.16174109364391559</v>
      </c>
      <c r="P45" s="714">
        <f>+PCM!Q57+PCM!Q58</f>
        <v>0.16013126876177031</v>
      </c>
      <c r="Q45" s="714">
        <f>+PCM!R57+PCM!R58</f>
        <v>0.16069131052641472</v>
      </c>
      <c r="R45" s="714">
        <f>+PCM!S57+PCM!S58</f>
        <v>0.15950162464858209</v>
      </c>
      <c r="S45" s="714">
        <f>+PCM!T57+PCM!T58</f>
        <v>0.1588716328002229</v>
      </c>
      <c r="T45" s="714">
        <f>+PCM!U57+PCM!U58</f>
        <v>0.15852169378536149</v>
      </c>
      <c r="U45" s="714">
        <f>+PCM!V57+PCM!V58</f>
        <v>0.15824158910274888</v>
      </c>
      <c r="V45" s="714">
        <f>+PCM!W57+PCM!W58</f>
        <v>0.15817164486367391</v>
      </c>
      <c r="W45" s="714">
        <f>+PCM!X57+PCM!X58</f>
        <v>0.15810163936987934</v>
      </c>
      <c r="X45" s="714">
        <f>+PCM!Y57+PCM!Y58</f>
        <v>0.15810184283783868</v>
      </c>
      <c r="Y45" s="711">
        <f t="shared" si="32"/>
        <v>1.9193367899856111</v>
      </c>
      <c r="Z45" s="714">
        <f>+PCM!AA57+PCM!AA58</f>
        <v>0.15803177499999999</v>
      </c>
      <c r="AA45" s="714">
        <f>+PCM!AB57+PCM!AB58</f>
        <v>0.15768171474700066</v>
      </c>
      <c r="AB45" s="714">
        <f>+PCM!AC57+PCM!AC58</f>
        <v>0.15670184274754601</v>
      </c>
      <c r="AC45" s="714">
        <f>+PCM!AD57+PCM!AD58</f>
        <v>0.15537224999999999</v>
      </c>
      <c r="AD45" s="714">
        <f>+PCM!AE57+PCM!AE58</f>
        <v>0.15425230518540173</v>
      </c>
      <c r="AE45" s="714">
        <f>+PCM!AF57+PCM!AF58</f>
        <v>0.1535525498585541</v>
      </c>
      <c r="AF45" s="714">
        <f>+PCM!AG57+PCM!AG58</f>
        <v>0.15348268587371547</v>
      </c>
      <c r="AG45" s="714">
        <f>+PCM!AH57+PCM!AH58</f>
        <v>0.15341248843867622</v>
      </c>
      <c r="AH45" s="714">
        <f>+PCM!AI57+PCM!AI58</f>
        <v>0.15334249992927712</v>
      </c>
      <c r="AI45" s="714">
        <f>+PCM!AJ57+PCM!AJ58</f>
        <v>0.15327253924551751</v>
      </c>
      <c r="AJ45" s="714">
        <f>+PCM!AK57+PCM!AK58</f>
        <v>0.15327248735070734</v>
      </c>
      <c r="AK45" s="714">
        <f>+PCM!AL57+PCM!AL58</f>
        <v>0.15320263359988856</v>
      </c>
      <c r="AL45" s="711">
        <f>SUM(Z45:AK45)</f>
        <v>1.8555777719762849</v>
      </c>
      <c r="AM45" s="714">
        <f>+PCM!AN57+PCM!AN58</f>
        <v>1.8207943642166997</v>
      </c>
      <c r="AN45" s="714">
        <f>+PCM!AO57+PCM!AO58</f>
        <v>1.8604067116988201</v>
      </c>
      <c r="AO45" s="714">
        <f>+PCM!AP57+PCM!AP58</f>
        <v>1.9162189130497849</v>
      </c>
      <c r="AP45" s="714">
        <f>+PCM!AQ57+PCM!AQ58</f>
        <v>1.9737054804412784</v>
      </c>
      <c r="AQ45" s="714">
        <f>+PCM!AR57+PCM!AR58</f>
        <v>2.0329166448545166</v>
      </c>
      <c r="AR45" s="714">
        <f>+PCM!AS57+PCM!AS58</f>
        <v>2.093904144200152</v>
      </c>
      <c r="AS45" s="714">
        <f>+PCM!AT57+PCM!AT58</f>
        <v>2.1567212685261565</v>
      </c>
      <c r="AT45" s="714">
        <f>+PCM!AU57+PCM!AU58</f>
        <v>2.2214229065819411</v>
      </c>
      <c r="AU45" s="714">
        <f>+PCM!AV57+PCM!AV58</f>
        <v>2.2880655937793994</v>
      </c>
      <c r="AV45" s="714">
        <f>+PCM!AW57+PCM!AW58</f>
        <v>2.3567075615927813</v>
      </c>
      <c r="AW45" s="714">
        <f>+PCM!AX57+PCM!AX58</f>
        <v>2.4274087884405646</v>
      </c>
      <c r="AX45" s="764"/>
      <c r="AY45" s="764"/>
    </row>
    <row r="46" spans="1:51">
      <c r="A46" s="13" t="s">
        <v>60</v>
      </c>
      <c r="B46" s="13" t="s">
        <v>61</v>
      </c>
      <c r="D46" s="64"/>
      <c r="E46" s="64"/>
      <c r="F46" s="64"/>
      <c r="G46" s="64"/>
      <c r="H46" s="64"/>
      <c r="I46" s="64"/>
      <c r="J46" s="64"/>
      <c r="K46" s="64"/>
      <c r="L46" s="224"/>
      <c r="M46" s="714">
        <f t="shared" ref="M46:X46" si="40">M$17*M$31/M$33</f>
        <v>6.3848874120639207</v>
      </c>
      <c r="N46" s="714">
        <f t="shared" si="40"/>
        <v>5.7530913677165589</v>
      </c>
      <c r="O46" s="714">
        <f t="shared" si="40"/>
        <v>6.2395231475140589</v>
      </c>
      <c r="P46" s="714">
        <f t="shared" si="40"/>
        <v>5.9906972766824778</v>
      </c>
      <c r="Q46" s="714">
        <f t="shared" si="40"/>
        <v>6.1278968942077121</v>
      </c>
      <c r="R46" s="714">
        <f t="shared" si="40"/>
        <v>5.7607941303981685</v>
      </c>
      <c r="S46" s="714">
        <f t="shared" si="40"/>
        <v>6.0447363239725762</v>
      </c>
      <c r="T46" s="714">
        <f t="shared" si="40"/>
        <v>6.0355565719946096</v>
      </c>
      <c r="U46" s="714">
        <f t="shared" si="40"/>
        <v>0</v>
      </c>
      <c r="V46" s="714">
        <f t="shared" si="40"/>
        <v>0</v>
      </c>
      <c r="W46" s="714">
        <f t="shared" si="40"/>
        <v>0</v>
      </c>
      <c r="X46" s="714">
        <f t="shared" si="40"/>
        <v>0</v>
      </c>
      <c r="Y46" s="711">
        <f t="shared" si="32"/>
        <v>48.337183124550087</v>
      </c>
      <c r="Z46" s="714">
        <f t="shared" ref="Z46:AK46" si="41">Z$17*Z$31/Z$33</f>
        <v>0</v>
      </c>
      <c r="AA46" s="714">
        <f t="shared" si="41"/>
        <v>0</v>
      </c>
      <c r="AB46" s="714">
        <f t="shared" si="41"/>
        <v>0</v>
      </c>
      <c r="AC46" s="714">
        <f t="shared" si="41"/>
        <v>0</v>
      </c>
      <c r="AD46" s="714">
        <f t="shared" si="41"/>
        <v>0</v>
      </c>
      <c r="AE46" s="714">
        <f t="shared" si="41"/>
        <v>0</v>
      </c>
      <c r="AF46" s="714">
        <f t="shared" si="41"/>
        <v>0</v>
      </c>
      <c r="AG46" s="714">
        <f t="shared" si="41"/>
        <v>0</v>
      </c>
      <c r="AH46" s="714">
        <f t="shared" si="41"/>
        <v>0</v>
      </c>
      <c r="AI46" s="714">
        <f t="shared" si="41"/>
        <v>0</v>
      </c>
      <c r="AJ46" s="714">
        <f t="shared" si="41"/>
        <v>0</v>
      </c>
      <c r="AK46" s="714">
        <f t="shared" si="41"/>
        <v>0</v>
      </c>
      <c r="AL46" s="711">
        <f t="shared" si="33"/>
        <v>0</v>
      </c>
      <c r="AM46" s="714">
        <f t="shared" ref="AM46:AW46" si="42">AM$17*AM$31/AM$33</f>
        <v>0</v>
      </c>
      <c r="AN46" s="714">
        <f t="shared" si="42"/>
        <v>0</v>
      </c>
      <c r="AO46" s="714">
        <f t="shared" si="42"/>
        <v>0</v>
      </c>
      <c r="AP46" s="714">
        <f t="shared" si="42"/>
        <v>0</v>
      </c>
      <c r="AQ46" s="714">
        <f t="shared" si="42"/>
        <v>90.468622125005538</v>
      </c>
      <c r="AR46" s="714">
        <f t="shared" si="42"/>
        <v>101.88938391289365</v>
      </c>
      <c r="AS46" s="714">
        <f t="shared" si="42"/>
        <v>98.598522904443001</v>
      </c>
      <c r="AT46" s="714">
        <f t="shared" si="42"/>
        <v>108.71245328609614</v>
      </c>
      <c r="AU46" s="714">
        <f t="shared" si="42"/>
        <v>104.84030838096683</v>
      </c>
      <c r="AV46" s="714">
        <f t="shared" si="42"/>
        <v>116.70674557084428</v>
      </c>
      <c r="AW46" s="714">
        <f t="shared" si="42"/>
        <v>110.79180477130006</v>
      </c>
      <c r="AX46" s="764"/>
      <c r="AY46" s="764"/>
    </row>
    <row r="47" spans="1:51">
      <c r="A47" s="13" t="s">
        <v>62</v>
      </c>
      <c r="B47" s="13" t="s">
        <v>776</v>
      </c>
      <c r="D47" s="64"/>
      <c r="E47" s="64"/>
      <c r="F47" s="64"/>
      <c r="G47" s="64"/>
      <c r="H47" s="64"/>
      <c r="I47" s="64"/>
      <c r="J47" s="64"/>
      <c r="K47" s="64"/>
      <c r="L47" s="224"/>
      <c r="M47" s="714">
        <f>+PCM!N51</f>
        <v>0.15352533407410313</v>
      </c>
      <c r="N47" s="714">
        <f>+PCM!O51</f>
        <v>0.15260874489134221</v>
      </c>
      <c r="O47" s="714">
        <f>+PCM!P51</f>
        <v>0.15129924416666668</v>
      </c>
      <c r="P47" s="714">
        <f>+PCM!Q51</f>
        <v>0.14979347347769228</v>
      </c>
      <c r="Q47" s="714">
        <f>+PCM!R51</f>
        <v>0.15031734747584424</v>
      </c>
      <c r="R47" s="714">
        <f>+PCM!S51</f>
        <v>0.14920423083333334</v>
      </c>
      <c r="S47" s="714">
        <f>+PCM!T51</f>
        <v>0.14861502847769231</v>
      </c>
      <c r="T47" s="714">
        <f>+PCM!U51</f>
        <v>0.14828777656752046</v>
      </c>
      <c r="U47" s="714">
        <f>+PCM!V51</f>
        <v>0</v>
      </c>
      <c r="V47" s="714">
        <f>+PCM!W51</f>
        <v>0</v>
      </c>
      <c r="W47" s="714">
        <f>+PCM!X51</f>
        <v>0</v>
      </c>
      <c r="X47" s="714">
        <f>+PCM!Y51</f>
        <v>0</v>
      </c>
      <c r="Y47" s="711">
        <f t="shared" si="32"/>
        <v>1.2036511799641945</v>
      </c>
      <c r="Z47" s="714">
        <f>+PCM!AA51</f>
        <v>0</v>
      </c>
      <c r="AA47" s="714">
        <f>+PCM!AB51</f>
        <v>0</v>
      </c>
      <c r="AB47" s="714">
        <f>+PCM!AC51</f>
        <v>0</v>
      </c>
      <c r="AC47" s="714">
        <f>+PCM!AD51</f>
        <v>0</v>
      </c>
      <c r="AD47" s="714">
        <f>+PCM!AE51</f>
        <v>0</v>
      </c>
      <c r="AE47" s="714">
        <f>+PCM!AF51</f>
        <v>0</v>
      </c>
      <c r="AF47" s="714">
        <f>+PCM!AG51</f>
        <v>0</v>
      </c>
      <c r="AG47" s="714">
        <f>+PCM!AH51</f>
        <v>0</v>
      </c>
      <c r="AH47" s="714">
        <f>+PCM!AI51</f>
        <v>0</v>
      </c>
      <c r="AI47" s="714">
        <f>+PCM!AJ51</f>
        <v>0</v>
      </c>
      <c r="AJ47" s="714">
        <f>+PCM!AK51</f>
        <v>0</v>
      </c>
      <c r="AK47" s="714">
        <f>+PCM!AL51</f>
        <v>0</v>
      </c>
      <c r="AL47" s="711">
        <f t="shared" si="33"/>
        <v>0</v>
      </c>
      <c r="AM47" s="714">
        <f>+PCM!AN51</f>
        <v>0</v>
      </c>
      <c r="AN47" s="714">
        <f>+PCM!AO51</f>
        <v>0</v>
      </c>
      <c r="AO47" s="714">
        <f>+PCM!AP51</f>
        <v>0</v>
      </c>
      <c r="AP47" s="714">
        <f>+PCM!AQ51</f>
        <v>0</v>
      </c>
      <c r="AQ47" s="714">
        <f>+PCM!AR51</f>
        <v>1.5513749699999999</v>
      </c>
      <c r="AR47" s="714">
        <f>+PCM!AS51</f>
        <v>1.6424316800000001</v>
      </c>
      <c r="AS47" s="714">
        <f>+PCM!AT51</f>
        <v>1.63998497</v>
      </c>
      <c r="AT47" s="714">
        <f>+PCM!AU51</f>
        <v>1.68798669</v>
      </c>
      <c r="AU47" s="714">
        <f>+PCM!AV51</f>
        <v>1.6776200999999999</v>
      </c>
      <c r="AV47" s="714">
        <f>+PCM!AW51</f>
        <v>1.9697617000000001</v>
      </c>
      <c r="AW47" s="714">
        <f>+PCM!AX51</f>
        <v>1.7157350699999998</v>
      </c>
      <c r="AX47" s="764"/>
      <c r="AY47" s="764"/>
    </row>
    <row r="48" spans="1:51">
      <c r="A48" s="235" t="s">
        <v>546</v>
      </c>
      <c r="B48" s="235" t="s">
        <v>790</v>
      </c>
      <c r="D48" s="64"/>
      <c r="E48" s="64"/>
      <c r="F48" s="64"/>
      <c r="G48" s="64"/>
      <c r="H48" s="64"/>
      <c r="I48" s="64"/>
      <c r="J48" s="64"/>
      <c r="K48" s="64"/>
      <c r="L48" s="224"/>
      <c r="M48" s="714">
        <f t="shared" ref="M48:X48" si="43">M$17*M$32/M$33</f>
        <v>3.7527479681734004</v>
      </c>
      <c r="N48" s="714">
        <f t="shared" si="43"/>
        <v>3.3718783423334644</v>
      </c>
      <c r="O48" s="714">
        <f t="shared" si="43"/>
        <v>3.6837954588574782</v>
      </c>
      <c r="P48" s="714">
        <f t="shared" si="43"/>
        <v>1.3401147957447335</v>
      </c>
      <c r="Q48" s="714">
        <f t="shared" si="43"/>
        <v>2.477264201235049</v>
      </c>
      <c r="R48" s="714">
        <f t="shared" si="43"/>
        <v>3.4712592757768337</v>
      </c>
      <c r="S48" s="714">
        <f t="shared" si="43"/>
        <v>3.6446614632373007</v>
      </c>
      <c r="T48" s="714">
        <f t="shared" si="43"/>
        <v>3.56447683075405</v>
      </c>
      <c r="U48" s="714">
        <f t="shared" si="43"/>
        <v>3.5104087621744933</v>
      </c>
      <c r="V48" s="714">
        <f t="shared" si="43"/>
        <v>3.8505259602493531</v>
      </c>
      <c r="W48" s="714">
        <f t="shared" si="43"/>
        <v>3.7309825863998705</v>
      </c>
      <c r="X48" s="714">
        <f t="shared" si="43"/>
        <v>3.7915386946892804</v>
      </c>
      <c r="Y48" s="711">
        <f>SUM(M48:X48)</f>
        <v>40.189654339625307</v>
      </c>
      <c r="Z48" s="714">
        <f t="shared" ref="Z48:AK48" si="44">Z$17*Z$32/Z$33</f>
        <v>3.6910574651541888</v>
      </c>
      <c r="AA48" s="714">
        <f t="shared" si="44"/>
        <v>3.3513768583247265</v>
      </c>
      <c r="AB48" s="714">
        <f t="shared" si="44"/>
        <v>3.7605363608558977</v>
      </c>
      <c r="AC48" s="714">
        <f t="shared" si="44"/>
        <v>3.3597105362056774</v>
      </c>
      <c r="AD48" s="714">
        <f t="shared" si="44"/>
        <v>2.5074663471676719</v>
      </c>
      <c r="AE48" s="714">
        <f t="shared" si="44"/>
        <v>3.4548491946112385</v>
      </c>
      <c r="AF48" s="714">
        <f t="shared" si="44"/>
        <v>3.6199801040739312</v>
      </c>
      <c r="AG48" s="714">
        <f t="shared" si="44"/>
        <v>3.5388409944196395</v>
      </c>
      <c r="AH48" s="714">
        <f t="shared" si="44"/>
        <v>3.5223621639909557</v>
      </c>
      <c r="AI48" s="714">
        <f t="shared" si="44"/>
        <v>3.8993713383264734</v>
      </c>
      <c r="AJ48" s="714">
        <f t="shared" si="44"/>
        <v>3.7121427830292548</v>
      </c>
      <c r="AK48" s="714">
        <f t="shared" si="44"/>
        <v>3.7626660895739468</v>
      </c>
      <c r="AL48" s="711">
        <f t="shared" si="33"/>
        <v>42.180360235733609</v>
      </c>
      <c r="AM48" s="714">
        <f t="shared" ref="AM48:AW48" si="45">AM$17*AM$32/AM$33</f>
        <v>44.489100683624592</v>
      </c>
      <c r="AN48" s="714">
        <f t="shared" si="45"/>
        <v>45.252844006993406</v>
      </c>
      <c r="AO48" s="714">
        <f t="shared" si="45"/>
        <v>47.343647047751524</v>
      </c>
      <c r="AP48" s="714">
        <f t="shared" si="45"/>
        <v>46.891881388066992</v>
      </c>
      <c r="AQ48" s="714">
        <f t="shared" si="45"/>
        <v>52.123036468342562</v>
      </c>
      <c r="AR48" s="714">
        <f t="shared" si="45"/>
        <v>56.573057245678449</v>
      </c>
      <c r="AS48" s="714">
        <f t="shared" si="45"/>
        <v>51.899879160806798</v>
      </c>
      <c r="AT48" s="714">
        <f t="shared" si="45"/>
        <v>59.978938972063624</v>
      </c>
      <c r="AU48" s="714">
        <f t="shared" si="45"/>
        <v>62.669190636646967</v>
      </c>
      <c r="AV48" s="714">
        <f t="shared" si="45"/>
        <v>64.504812497483954</v>
      </c>
      <c r="AW48" s="714">
        <f t="shared" si="45"/>
        <v>68.943642403724994</v>
      </c>
      <c r="AX48" s="764"/>
      <c r="AY48" s="764"/>
    </row>
    <row r="49" spans="1:51">
      <c r="A49" s="235" t="s">
        <v>546</v>
      </c>
      <c r="B49" s="235" t="s">
        <v>791</v>
      </c>
      <c r="D49" s="64"/>
      <c r="E49" s="64"/>
      <c r="F49" s="64"/>
      <c r="G49" s="64"/>
      <c r="H49" s="64"/>
      <c r="I49" s="64"/>
      <c r="J49" s="64"/>
      <c r="K49" s="64"/>
      <c r="L49" s="224"/>
      <c r="M49" s="714">
        <f>+PCM!N52</f>
        <v>0.12003981708174241</v>
      </c>
      <c r="N49" s="714">
        <f>+PCM!O52</f>
        <v>0.11908837321027883</v>
      </c>
      <c r="O49" s="714">
        <f>+PCM!P52</f>
        <v>0.11938674047508023</v>
      </c>
      <c r="P49" s="714">
        <f>+PCM!Q52</f>
        <v>0.10283770337967385</v>
      </c>
      <c r="Q49" s="714">
        <f>+PCM!R52</f>
        <v>0.11282930445989918</v>
      </c>
      <c r="R49" s="714">
        <f>+PCM!S52</f>
        <v>0.11438960173293922</v>
      </c>
      <c r="S49" s="714">
        <f>+PCM!T52</f>
        <v>0.11415822183942333</v>
      </c>
      <c r="T49" s="714">
        <f>+PCM!U52</f>
        <v>0.11272405258882182</v>
      </c>
      <c r="U49" s="714">
        <f>+PCM!V52</f>
        <v>0.1149397748930219</v>
      </c>
      <c r="V49" s="714">
        <f>+PCM!W52</f>
        <v>0.11804587255780502</v>
      </c>
      <c r="W49" s="714">
        <f>+PCM!X52</f>
        <v>0.11808531126564001</v>
      </c>
      <c r="X49" s="714">
        <f>+PCM!Y52</f>
        <v>0.11663837360459071</v>
      </c>
      <c r="Y49" s="711">
        <f t="shared" si="32"/>
        <v>1.3831631470889165</v>
      </c>
      <c r="Z49" s="714">
        <f>+PCM!AA52</f>
        <v>0.11573669964049772</v>
      </c>
      <c r="AA49" s="714">
        <f>+PCM!AB52</f>
        <v>0.11536495135238009</v>
      </c>
      <c r="AB49" s="714">
        <f>+PCM!AC52</f>
        <v>0.11631158055241232</v>
      </c>
      <c r="AC49" s="714">
        <f>+PCM!AD52</f>
        <v>0.11481752971536366</v>
      </c>
      <c r="AD49" s="714">
        <f>+PCM!AE52</f>
        <v>0.10830679912376631</v>
      </c>
      <c r="AE49" s="714">
        <f>+PCM!AF52</f>
        <v>0.11025758340860246</v>
      </c>
      <c r="AF49" s="714">
        <f>+PCM!AG52</f>
        <v>0.11037550746607518</v>
      </c>
      <c r="AG49" s="714">
        <f>+PCM!AH52</f>
        <v>0.10921873215194239</v>
      </c>
      <c r="AH49" s="714">
        <f>+PCM!AI52</f>
        <v>0.11141724776279899</v>
      </c>
      <c r="AI49" s="714">
        <f>+PCM!AJ52</f>
        <v>0.11461026144455561</v>
      </c>
      <c r="AJ49" s="714">
        <f>+PCM!AK52</f>
        <v>0.1145167502525835</v>
      </c>
      <c r="AK49" s="714">
        <f>+PCM!AL52</f>
        <v>0.11298015780636077</v>
      </c>
      <c r="AL49" s="711">
        <f t="shared" si="33"/>
        <v>1.353913800677339</v>
      </c>
      <c r="AM49" s="714">
        <f>+PCM!AN52</f>
        <v>1.3243713894573916</v>
      </c>
      <c r="AN49" s="714">
        <f>+PCM!AO52</f>
        <v>1.3539278580329706</v>
      </c>
      <c r="AO49" s="714">
        <f>+PCM!AP52</f>
        <v>1.3945456937739598</v>
      </c>
      <c r="AP49" s="714">
        <f>+PCM!AQ52</f>
        <v>1.4363820645871785</v>
      </c>
      <c r="AQ49" s="714">
        <f>+PCM!AR52</f>
        <v>1.479473526524794</v>
      </c>
      <c r="AR49" s="714">
        <f>+PCM!AS52</f>
        <v>1.5238577323205378</v>
      </c>
      <c r="AS49" s="714">
        <f>+PCM!AT52</f>
        <v>1.569573464290154</v>
      </c>
      <c r="AT49" s="714">
        <f>+PCM!AU52</f>
        <v>1.6166606682188587</v>
      </c>
      <c r="AU49" s="714">
        <f>+PCM!AV52</f>
        <v>1.6651604882654245</v>
      </c>
      <c r="AV49" s="714">
        <f>+PCM!AW52</f>
        <v>1.7151153029133872</v>
      </c>
      <c r="AW49" s="714">
        <f>+PCM!AX52</f>
        <v>1.7665687620007888</v>
      </c>
      <c r="AX49" s="764"/>
      <c r="AY49" s="764"/>
    </row>
    <row r="50" spans="1:51" ht="13.5" thickBot="1">
      <c r="D50" s="241"/>
      <c r="E50" s="241"/>
      <c r="F50" s="241"/>
      <c r="G50" s="241"/>
      <c r="H50" s="241"/>
      <c r="I50" s="241"/>
      <c r="J50" s="241"/>
      <c r="K50" s="241"/>
      <c r="L50" s="283"/>
      <c r="M50" s="489">
        <f t="shared" ref="M50:X50" si="46">SUM(M39:M49)</f>
        <v>25.071054637954557</v>
      </c>
      <c r="N50" s="489">
        <f t="shared" si="46"/>
        <v>22.578276690372064</v>
      </c>
      <c r="O50" s="489">
        <f t="shared" si="46"/>
        <v>24.357794901757458</v>
      </c>
      <c r="P50" s="489">
        <f t="shared" si="46"/>
        <v>21.25966423958187</v>
      </c>
      <c r="Q50" s="489">
        <f t="shared" si="46"/>
        <v>21.516952876833152</v>
      </c>
      <c r="R50" s="489">
        <f t="shared" si="46"/>
        <v>23.106266760439507</v>
      </c>
      <c r="S50" s="489">
        <f t="shared" si="46"/>
        <v>25.232566940147883</v>
      </c>
      <c r="T50" s="489">
        <f t="shared" si="46"/>
        <v>24.217122757277245</v>
      </c>
      <c r="U50" s="489">
        <f t="shared" si="46"/>
        <v>17.149150316984056</v>
      </c>
      <c r="V50" s="489">
        <f t="shared" si="46"/>
        <v>18.287380492089561</v>
      </c>
      <c r="W50" s="489">
        <f t="shared" si="46"/>
        <v>17.784226314980362</v>
      </c>
      <c r="X50" s="489">
        <f t="shared" si="46"/>
        <v>18.283931160391614</v>
      </c>
      <c r="Y50" s="705">
        <f t="shared" si="32"/>
        <v>258.84438808880935</v>
      </c>
      <c r="Z50" s="489">
        <f t="shared" ref="Z50:AK50" si="47">SUM(Z39:Z49)</f>
        <v>18.925085397128164</v>
      </c>
      <c r="AA50" s="489">
        <f t="shared" si="47"/>
        <v>17.126014830258853</v>
      </c>
      <c r="AB50" s="489">
        <f t="shared" si="47"/>
        <v>16.340833106669688</v>
      </c>
      <c r="AC50" s="489">
        <f t="shared" si="47"/>
        <v>14.839066040829445</v>
      </c>
      <c r="AD50" s="489">
        <f t="shared" si="47"/>
        <v>15.546458300511006</v>
      </c>
      <c r="AE50" s="489">
        <f t="shared" si="47"/>
        <v>17.836389106895979</v>
      </c>
      <c r="AF50" s="489">
        <f t="shared" si="47"/>
        <v>18.566662217349847</v>
      </c>
      <c r="AG50" s="489">
        <f t="shared" si="47"/>
        <v>18.522731962899961</v>
      </c>
      <c r="AH50" s="489">
        <f t="shared" si="47"/>
        <v>17.806588066382545</v>
      </c>
      <c r="AI50" s="489">
        <f t="shared" si="47"/>
        <v>18.850010921179759</v>
      </c>
      <c r="AJ50" s="489">
        <f t="shared" si="47"/>
        <v>18.202616093167233</v>
      </c>
      <c r="AK50" s="489">
        <f t="shared" si="47"/>
        <v>18.584176203891964</v>
      </c>
      <c r="AL50" s="705">
        <f t="shared" si="33"/>
        <v>211.14663224716443</v>
      </c>
      <c r="AM50" s="489">
        <f t="shared" ref="AM50:AW50" si="48">SUM(AM39:AM49)</f>
        <v>223.78467828392914</v>
      </c>
      <c r="AN50" s="489">
        <f t="shared" si="48"/>
        <v>226.34365782559803</v>
      </c>
      <c r="AO50" s="489">
        <f t="shared" si="48"/>
        <v>234.62069089561109</v>
      </c>
      <c r="AP50" s="489">
        <f t="shared" si="48"/>
        <v>244.49152134911753</v>
      </c>
      <c r="AQ50" s="489">
        <f t="shared" si="48"/>
        <v>356.83549749477584</v>
      </c>
      <c r="AR50" s="489">
        <f t="shared" si="48"/>
        <v>398.61687419956644</v>
      </c>
      <c r="AS50" s="489">
        <f t="shared" si="48"/>
        <v>404.74095158971198</v>
      </c>
      <c r="AT50" s="489">
        <f t="shared" si="48"/>
        <v>431.26915714897399</v>
      </c>
      <c r="AU50" s="489">
        <f t="shared" si="48"/>
        <v>436.32091111471556</v>
      </c>
      <c r="AV50" s="489">
        <f t="shared" si="48"/>
        <v>451.55943627513204</v>
      </c>
      <c r="AW50" s="489">
        <f t="shared" si="48"/>
        <v>474.1162181067188</v>
      </c>
      <c r="AX50" s="764"/>
      <c r="AY50" s="764"/>
    </row>
    <row r="51" spans="1:51" ht="13.5" thickTop="1">
      <c r="M51" s="714"/>
      <c r="N51" s="714"/>
      <c r="O51" s="714"/>
      <c r="P51" s="714"/>
      <c r="Q51" s="714"/>
      <c r="R51" s="714"/>
      <c r="S51" s="714"/>
      <c r="T51" s="714"/>
      <c r="U51" s="714"/>
      <c r="V51" s="714"/>
      <c r="W51" s="714"/>
      <c r="X51" s="714"/>
      <c r="Y51" s="711"/>
      <c r="Z51" s="714"/>
      <c r="AA51" s="714"/>
      <c r="AB51" s="714"/>
      <c r="AC51" s="714"/>
      <c r="AD51" s="714"/>
      <c r="AE51" s="714"/>
      <c r="AF51" s="714"/>
      <c r="AG51" s="714"/>
      <c r="AH51" s="714"/>
      <c r="AI51" s="714"/>
      <c r="AJ51" s="714"/>
      <c r="AK51" s="714"/>
      <c r="AL51" s="711"/>
      <c r="AM51" s="714"/>
      <c r="AN51" s="714"/>
      <c r="AO51" s="714"/>
      <c r="AP51" s="714"/>
      <c r="AQ51" s="714"/>
      <c r="AR51" s="714"/>
      <c r="AS51" s="714"/>
      <c r="AT51" s="714"/>
      <c r="AU51" s="714"/>
      <c r="AV51" s="714"/>
      <c r="AW51" s="714"/>
      <c r="AX51" s="764"/>
      <c r="AY51" s="764"/>
    </row>
    <row r="52" spans="1:51">
      <c r="L52" s="224"/>
      <c r="M52" s="714"/>
      <c r="N52" s="714"/>
      <c r="O52" s="714"/>
      <c r="P52" s="714"/>
      <c r="Q52" s="714"/>
      <c r="R52" s="714"/>
      <c r="S52" s="714"/>
      <c r="T52" s="714"/>
      <c r="U52" s="714"/>
      <c r="V52" s="714"/>
      <c r="W52" s="714"/>
      <c r="X52" s="714"/>
      <c r="Y52" s="711">
        <f>Y39+Y42+Y44+Y46+Y48</f>
        <v>253.33285281980307</v>
      </c>
      <c r="Z52" s="714"/>
      <c r="AA52" s="714"/>
      <c r="AB52" s="714"/>
      <c r="AC52" s="714"/>
      <c r="AD52" s="714"/>
      <c r="AE52" s="714"/>
      <c r="AF52" s="714"/>
      <c r="AG52" s="714"/>
      <c r="AH52" s="714"/>
      <c r="AI52" s="714"/>
      <c r="AJ52" s="714"/>
      <c r="AK52" s="714"/>
      <c r="AL52" s="711">
        <f>AL39+AL42+AL44+AL46+AL48</f>
        <v>207.41488930252282</v>
      </c>
      <c r="AM52" s="719">
        <f>AM39+AM42+AM44+AM46+AM48</f>
        <v>220.09314892721613</v>
      </c>
      <c r="AN52" s="719">
        <f>AN39+AN42+AN44+AN46+AN48</f>
        <v>222.56166835786269</v>
      </c>
      <c r="AO52" s="714"/>
      <c r="AP52" s="714"/>
      <c r="AQ52" s="714"/>
      <c r="AR52" s="714"/>
      <c r="AS52" s="714"/>
      <c r="AT52" s="714"/>
      <c r="AU52" s="714"/>
      <c r="AV52" s="714"/>
      <c r="AW52" s="714"/>
      <c r="AX52" s="764"/>
      <c r="AY52" s="764"/>
    </row>
    <row r="53" spans="1:51">
      <c r="Y53" s="274"/>
    </row>
    <row r="55" spans="1:51">
      <c r="Y55" s="206"/>
    </row>
    <row r="432" spans="1:2" ht="18">
      <c r="A432" s="267" t="s">
        <v>817</v>
      </c>
      <c r="B432" s="13"/>
    </row>
    <row r="433" spans="1:38">
      <c r="A433" s="889" t="s">
        <v>607</v>
      </c>
      <c r="B433" s="886" t="s">
        <v>1026</v>
      </c>
      <c r="Y433" s="88">
        <f t="shared" ref="Y433:Y458" si="49">SUM(M433:X433)</f>
        <v>0</v>
      </c>
      <c r="AL433" s="88">
        <f>SUM(Z433:AK433)</f>
        <v>0</v>
      </c>
    </row>
    <row r="434" spans="1:38">
      <c r="A434" s="889" t="s">
        <v>818</v>
      </c>
      <c r="B434" s="886" t="s">
        <v>1027</v>
      </c>
      <c r="Y434" s="88">
        <f t="shared" si="49"/>
        <v>0</v>
      </c>
      <c r="AL434" s="88">
        <f t="shared" ref="AL434:AL495" si="50">SUM(Z434:AK434)</f>
        <v>0</v>
      </c>
    </row>
    <row r="435" spans="1:38">
      <c r="A435" s="889" t="s">
        <v>607</v>
      </c>
      <c r="B435" s="886" t="s">
        <v>1026</v>
      </c>
      <c r="Y435" s="88">
        <f t="shared" si="49"/>
        <v>0</v>
      </c>
      <c r="AL435" s="88">
        <f t="shared" si="50"/>
        <v>0</v>
      </c>
    </row>
    <row r="436" spans="1:38">
      <c r="A436" s="889" t="s">
        <v>818</v>
      </c>
      <c r="B436" s="886" t="s">
        <v>1028</v>
      </c>
      <c r="Y436" s="88">
        <f t="shared" si="49"/>
        <v>0</v>
      </c>
      <c r="AL436" s="88">
        <f t="shared" si="50"/>
        <v>0</v>
      </c>
    </row>
    <row r="437" spans="1:38">
      <c r="A437" s="889" t="s">
        <v>607</v>
      </c>
      <c r="B437" s="886" t="s">
        <v>1026</v>
      </c>
      <c r="Y437" s="88">
        <f t="shared" si="49"/>
        <v>0</v>
      </c>
      <c r="AL437" s="88">
        <f t="shared" si="50"/>
        <v>0</v>
      </c>
    </row>
    <row r="438" spans="1:38">
      <c r="A438" s="889" t="s">
        <v>818</v>
      </c>
      <c r="B438" s="886" t="s">
        <v>1028</v>
      </c>
      <c r="Y438" s="88">
        <f t="shared" si="49"/>
        <v>0</v>
      </c>
      <c r="AL438" s="88">
        <f t="shared" si="50"/>
        <v>0</v>
      </c>
    </row>
    <row r="439" spans="1:38">
      <c r="A439" s="889" t="s">
        <v>607</v>
      </c>
      <c r="B439" s="886" t="s">
        <v>1026</v>
      </c>
      <c r="Y439" s="88">
        <f t="shared" si="49"/>
        <v>0</v>
      </c>
      <c r="AL439" s="88">
        <f t="shared" si="50"/>
        <v>0</v>
      </c>
    </row>
    <row r="440" spans="1:38">
      <c r="A440" s="889" t="s">
        <v>818</v>
      </c>
      <c r="B440" s="886" t="s">
        <v>1027</v>
      </c>
      <c r="Y440" s="88">
        <f t="shared" si="49"/>
        <v>0</v>
      </c>
      <c r="AL440" s="88">
        <f t="shared" si="50"/>
        <v>0</v>
      </c>
    </row>
    <row r="441" spans="1:38">
      <c r="A441" s="889" t="s">
        <v>612</v>
      </c>
      <c r="B441" s="886" t="s">
        <v>819</v>
      </c>
      <c r="Y441" s="88">
        <f t="shared" si="49"/>
        <v>0</v>
      </c>
      <c r="AL441" s="88">
        <f t="shared" si="50"/>
        <v>0</v>
      </c>
    </row>
    <row r="442" spans="1:38">
      <c r="A442" s="889">
        <v>403.5</v>
      </c>
      <c r="B442" s="886" t="s">
        <v>820</v>
      </c>
      <c r="Y442" s="88">
        <f t="shared" si="49"/>
        <v>0</v>
      </c>
      <c r="AL442" s="88">
        <f t="shared" si="50"/>
        <v>0</v>
      </c>
    </row>
    <row r="443" spans="1:38">
      <c r="A443" s="889">
        <v>403.5</v>
      </c>
      <c r="B443" s="886" t="s">
        <v>821</v>
      </c>
      <c r="Y443" s="88">
        <f t="shared" si="49"/>
        <v>0</v>
      </c>
      <c r="AL443" s="88">
        <f t="shared" si="50"/>
        <v>0</v>
      </c>
    </row>
    <row r="444" spans="1:38">
      <c r="A444" s="889" t="s">
        <v>586</v>
      </c>
      <c r="B444" s="886" t="s">
        <v>822</v>
      </c>
      <c r="Y444" s="88">
        <f t="shared" si="49"/>
        <v>0</v>
      </c>
      <c r="AL444" s="88">
        <f t="shared" si="50"/>
        <v>0</v>
      </c>
    </row>
    <row r="445" spans="1:38">
      <c r="A445" s="889">
        <v>404.11</v>
      </c>
      <c r="B445" s="886" t="s">
        <v>1001</v>
      </c>
      <c r="Y445" s="88">
        <f t="shared" si="49"/>
        <v>0</v>
      </c>
      <c r="AL445" s="88">
        <f t="shared" si="50"/>
        <v>0</v>
      </c>
    </row>
    <row r="446" spans="1:38">
      <c r="A446" s="889" t="s">
        <v>823</v>
      </c>
      <c r="B446" s="886" t="s">
        <v>824</v>
      </c>
      <c r="Y446" s="88">
        <f t="shared" si="49"/>
        <v>0</v>
      </c>
      <c r="AL446" s="88">
        <f t="shared" si="50"/>
        <v>0</v>
      </c>
    </row>
    <row r="447" spans="1:38">
      <c r="A447" s="889" t="s">
        <v>825</v>
      </c>
      <c r="B447" s="886" t="s">
        <v>826</v>
      </c>
      <c r="Y447" s="88">
        <f t="shared" si="49"/>
        <v>0</v>
      </c>
      <c r="AL447" s="88">
        <f t="shared" si="50"/>
        <v>0</v>
      </c>
    </row>
    <row r="448" spans="1:38">
      <c r="A448" s="889" t="s">
        <v>827</v>
      </c>
      <c r="B448" s="886" t="s">
        <v>828</v>
      </c>
      <c r="Y448" s="88">
        <f t="shared" si="49"/>
        <v>0</v>
      </c>
      <c r="AL448" s="88">
        <f t="shared" si="50"/>
        <v>0</v>
      </c>
    </row>
    <row r="449" spans="1:38">
      <c r="A449" s="889" t="s">
        <v>830</v>
      </c>
      <c r="B449" s="886" t="s">
        <v>831</v>
      </c>
      <c r="Y449" s="88">
        <f t="shared" si="49"/>
        <v>0</v>
      </c>
      <c r="AL449" s="88">
        <f t="shared" si="50"/>
        <v>0</v>
      </c>
    </row>
    <row r="450" spans="1:38">
      <c r="A450" s="889" t="s">
        <v>859</v>
      </c>
      <c r="B450" s="886" t="s">
        <v>860</v>
      </c>
      <c r="Y450" s="88">
        <f t="shared" si="49"/>
        <v>0</v>
      </c>
      <c r="AL450" s="88">
        <f t="shared" si="50"/>
        <v>0</v>
      </c>
    </row>
    <row r="451" spans="1:38">
      <c r="A451" s="889" t="s">
        <v>861</v>
      </c>
      <c r="B451" s="886" t="s">
        <v>862</v>
      </c>
      <c r="Y451" s="88">
        <f t="shared" si="49"/>
        <v>0</v>
      </c>
      <c r="AL451" s="88">
        <f t="shared" si="50"/>
        <v>0</v>
      </c>
    </row>
    <row r="452" spans="1:38">
      <c r="A452" s="889" t="s">
        <v>863</v>
      </c>
      <c r="B452" s="886" t="s">
        <v>864</v>
      </c>
      <c r="Y452" s="88">
        <f t="shared" si="49"/>
        <v>0</v>
      </c>
      <c r="AL452" s="88">
        <f t="shared" si="50"/>
        <v>0</v>
      </c>
    </row>
    <row r="453" spans="1:38">
      <c r="A453" s="889">
        <v>426.1</v>
      </c>
      <c r="B453" s="886" t="s">
        <v>880</v>
      </c>
      <c r="Y453" s="88">
        <f t="shared" si="49"/>
        <v>0</v>
      </c>
      <c r="AL453" s="88">
        <f t="shared" si="50"/>
        <v>0</v>
      </c>
    </row>
    <row r="454" spans="1:38">
      <c r="A454" s="889" t="s">
        <v>881</v>
      </c>
      <c r="B454" s="886" t="s">
        <v>882</v>
      </c>
      <c r="Y454" s="88">
        <f t="shared" si="49"/>
        <v>0</v>
      </c>
      <c r="AL454" s="88">
        <f t="shared" si="50"/>
        <v>0</v>
      </c>
    </row>
    <row r="455" spans="1:38">
      <c r="A455" s="889">
        <v>426.4</v>
      </c>
      <c r="B455" s="886" t="s">
        <v>883</v>
      </c>
      <c r="Y455" s="88">
        <f t="shared" si="49"/>
        <v>0</v>
      </c>
      <c r="AL455" s="88">
        <f t="shared" si="50"/>
        <v>0</v>
      </c>
    </row>
    <row r="456" spans="1:38">
      <c r="A456" s="889" t="s">
        <v>884</v>
      </c>
      <c r="B456" s="886" t="s">
        <v>885</v>
      </c>
      <c r="Y456" s="88">
        <f t="shared" si="49"/>
        <v>0</v>
      </c>
      <c r="AL456" s="88">
        <f t="shared" si="50"/>
        <v>0</v>
      </c>
    </row>
    <row r="457" spans="1:38">
      <c r="A457" s="889">
        <v>427.1</v>
      </c>
      <c r="B457" s="886" t="s">
        <v>970</v>
      </c>
      <c r="Y457" s="88">
        <f t="shared" si="49"/>
        <v>0</v>
      </c>
      <c r="AL457" s="88">
        <f t="shared" si="50"/>
        <v>0</v>
      </c>
    </row>
    <row r="458" spans="1:38">
      <c r="A458" s="889" t="s">
        <v>886</v>
      </c>
      <c r="B458" s="886" t="s">
        <v>971</v>
      </c>
      <c r="Y458" s="88">
        <f t="shared" si="49"/>
        <v>0</v>
      </c>
      <c r="AL458" s="88">
        <f t="shared" si="50"/>
        <v>0</v>
      </c>
    </row>
    <row r="459" spans="1:38">
      <c r="A459" s="889" t="s">
        <v>895</v>
      </c>
      <c r="B459" s="886" t="s">
        <v>896</v>
      </c>
      <c r="Y459" s="88">
        <f t="shared" ref="Y459:Y471" si="51">SUM(M459:X459)</f>
        <v>0</v>
      </c>
      <c r="AL459" s="88">
        <f t="shared" si="50"/>
        <v>0</v>
      </c>
    </row>
    <row r="460" spans="1:38">
      <c r="A460" s="889" t="s">
        <v>897</v>
      </c>
      <c r="B460" s="886" t="s">
        <v>898</v>
      </c>
      <c r="Y460" s="88">
        <f t="shared" si="51"/>
        <v>0</v>
      </c>
      <c r="AL460" s="88">
        <f t="shared" si="50"/>
        <v>0</v>
      </c>
    </row>
    <row r="461" spans="1:38">
      <c r="A461" s="889" t="s">
        <v>899</v>
      </c>
      <c r="B461" s="886" t="s">
        <v>900</v>
      </c>
      <c r="Y461" s="88">
        <f t="shared" si="51"/>
        <v>0</v>
      </c>
      <c r="AL461" s="88">
        <f t="shared" si="50"/>
        <v>0</v>
      </c>
    </row>
    <row r="462" spans="1:38">
      <c r="A462" s="889" t="s">
        <v>901</v>
      </c>
      <c r="B462" s="886" t="s">
        <v>902</v>
      </c>
      <c r="Y462" s="88">
        <f t="shared" si="51"/>
        <v>0</v>
      </c>
      <c r="AL462" s="88">
        <f t="shared" si="50"/>
        <v>0</v>
      </c>
    </row>
    <row r="463" spans="1:38">
      <c r="A463" s="889" t="s">
        <v>903</v>
      </c>
      <c r="B463" s="886" t="s">
        <v>904</v>
      </c>
      <c r="Y463" s="88">
        <f t="shared" si="51"/>
        <v>0</v>
      </c>
      <c r="AL463" s="88">
        <f t="shared" si="50"/>
        <v>0</v>
      </c>
    </row>
    <row r="464" spans="1:38">
      <c r="A464" s="889" t="s">
        <v>905</v>
      </c>
      <c r="B464" s="886" t="s">
        <v>1014</v>
      </c>
      <c r="Y464" s="88">
        <f t="shared" si="51"/>
        <v>0</v>
      </c>
      <c r="AL464" s="88">
        <f t="shared" si="50"/>
        <v>0</v>
      </c>
    </row>
    <row r="465" spans="1:51">
      <c r="A465" s="889" t="s">
        <v>908</v>
      </c>
      <c r="B465" s="886" t="s">
        <v>1015</v>
      </c>
      <c r="Y465" s="88">
        <f t="shared" si="51"/>
        <v>0</v>
      </c>
      <c r="AL465" s="88">
        <f t="shared" si="50"/>
        <v>0</v>
      </c>
    </row>
    <row r="466" spans="1:51">
      <c r="A466" s="889" t="s">
        <v>910</v>
      </c>
      <c r="B466" s="886" t="s">
        <v>1016</v>
      </c>
      <c r="Y466" s="88">
        <f t="shared" si="51"/>
        <v>0</v>
      </c>
      <c r="AL466" s="88">
        <f t="shared" si="50"/>
        <v>0</v>
      </c>
    </row>
    <row r="467" spans="1:51">
      <c r="A467" s="889" t="s">
        <v>645</v>
      </c>
      <c r="B467" s="886" t="s">
        <v>911</v>
      </c>
      <c r="Y467" s="88">
        <f t="shared" si="51"/>
        <v>0</v>
      </c>
      <c r="AL467" s="88">
        <f t="shared" si="50"/>
        <v>0</v>
      </c>
    </row>
    <row r="468" spans="1:51">
      <c r="A468" s="889">
        <v>447.24200000000002</v>
      </c>
      <c r="B468" s="886" t="s">
        <v>916</v>
      </c>
      <c r="Y468" s="88">
        <f t="shared" si="51"/>
        <v>0</v>
      </c>
      <c r="AL468" s="88">
        <f t="shared" si="50"/>
        <v>0</v>
      </c>
    </row>
    <row r="469" spans="1:51">
      <c r="A469" s="889" t="s">
        <v>0</v>
      </c>
      <c r="B469" s="886" t="s">
        <v>1</v>
      </c>
      <c r="Y469" s="88">
        <f t="shared" si="51"/>
        <v>0</v>
      </c>
      <c r="AL469" s="88">
        <f t="shared" si="50"/>
        <v>0</v>
      </c>
    </row>
    <row r="470" spans="1:51">
      <c r="A470" s="889" t="s">
        <v>2</v>
      </c>
      <c r="B470" s="886" t="s">
        <v>37</v>
      </c>
      <c r="Y470" s="88">
        <f t="shared" si="51"/>
        <v>0</v>
      </c>
      <c r="AL470" s="88">
        <f t="shared" si="50"/>
        <v>0</v>
      </c>
    </row>
    <row r="471" spans="1:51">
      <c r="A471" s="889" t="s">
        <v>38</v>
      </c>
      <c r="B471" s="886" t="s">
        <v>39</v>
      </c>
      <c r="Y471" s="88">
        <f t="shared" si="51"/>
        <v>0</v>
      </c>
      <c r="AL471" s="88">
        <f t="shared" si="50"/>
        <v>0</v>
      </c>
    </row>
    <row r="472" spans="1:51">
      <c r="A472" s="889" t="s">
        <v>720</v>
      </c>
      <c r="B472" s="886" t="s">
        <v>1004</v>
      </c>
      <c r="D472" s="13"/>
      <c r="E472" s="13"/>
      <c r="F472" s="13"/>
      <c r="G472" s="13"/>
      <c r="H472" s="13"/>
      <c r="I472" s="13"/>
      <c r="J472" s="13"/>
      <c r="K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88">
        <f t="shared" ref="Y472:Y493" si="52">SUM(M472:X472)</f>
        <v>0</v>
      </c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88">
        <f t="shared" si="50"/>
        <v>0</v>
      </c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28"/>
      <c r="AY472" s="28"/>
    </row>
    <row r="473" spans="1:51">
      <c r="A473" s="889">
        <v>500.1</v>
      </c>
      <c r="B473" s="886" t="s">
        <v>1004</v>
      </c>
      <c r="D473" s="13"/>
      <c r="E473" s="13"/>
      <c r="F473" s="13"/>
      <c r="G473" s="13"/>
      <c r="H473" s="13"/>
      <c r="I473" s="13"/>
      <c r="J473" s="13"/>
      <c r="K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88">
        <f t="shared" si="52"/>
        <v>0</v>
      </c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88">
        <f t="shared" si="50"/>
        <v>0</v>
      </c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28"/>
      <c r="AY473" s="28"/>
    </row>
    <row r="474" spans="1:51">
      <c r="A474" s="889">
        <v>501.1</v>
      </c>
      <c r="B474" s="886" t="s">
        <v>46</v>
      </c>
      <c r="D474" s="232">
        <f>+D39</f>
        <v>0</v>
      </c>
      <c r="E474" s="232">
        <f>+E39</f>
        <v>0</v>
      </c>
      <c r="F474" s="232">
        <f>+F39</f>
        <v>0</v>
      </c>
      <c r="G474" s="232">
        <f>+G39</f>
        <v>0</v>
      </c>
      <c r="H474" s="232">
        <f>+H39</f>
        <v>0</v>
      </c>
      <c r="I474" s="232"/>
      <c r="J474" s="232"/>
      <c r="K474" s="232"/>
      <c r="M474" s="232">
        <f t="shared" ref="M474:X474" si="53">+M39</f>
        <v>0</v>
      </c>
      <c r="N474" s="232">
        <f t="shared" si="53"/>
        <v>0</v>
      </c>
      <c r="O474" s="232">
        <f t="shared" si="53"/>
        <v>0</v>
      </c>
      <c r="P474" s="232">
        <f t="shared" si="53"/>
        <v>0</v>
      </c>
      <c r="Q474" s="232">
        <f t="shared" si="53"/>
        <v>0</v>
      </c>
      <c r="R474" s="232">
        <f t="shared" si="53"/>
        <v>0</v>
      </c>
      <c r="S474" s="232">
        <f t="shared" si="53"/>
        <v>0.49483776016604047</v>
      </c>
      <c r="T474" s="232">
        <f t="shared" si="53"/>
        <v>0</v>
      </c>
      <c r="U474" s="232">
        <f t="shared" si="53"/>
        <v>0</v>
      </c>
      <c r="V474" s="232">
        <f t="shared" si="53"/>
        <v>0</v>
      </c>
      <c r="W474" s="232">
        <f t="shared" si="53"/>
        <v>0</v>
      </c>
      <c r="X474" s="232">
        <f t="shared" si="53"/>
        <v>0</v>
      </c>
      <c r="Y474" s="88">
        <f t="shared" si="52"/>
        <v>0.49483776016604047</v>
      </c>
      <c r="Z474" s="232">
        <f t="shared" ref="Z474:AK474" si="54">+Z39</f>
        <v>0</v>
      </c>
      <c r="AA474" s="232">
        <f t="shared" si="54"/>
        <v>0</v>
      </c>
      <c r="AB474" s="232">
        <f t="shared" si="54"/>
        <v>0</v>
      </c>
      <c r="AC474" s="232">
        <f t="shared" si="54"/>
        <v>0</v>
      </c>
      <c r="AD474" s="232">
        <f t="shared" si="54"/>
        <v>0</v>
      </c>
      <c r="AE474" s="232">
        <f t="shared" si="54"/>
        <v>0</v>
      </c>
      <c r="AF474" s="232">
        <f t="shared" si="54"/>
        <v>0</v>
      </c>
      <c r="AG474" s="232">
        <f t="shared" si="54"/>
        <v>0</v>
      </c>
      <c r="AH474" s="232">
        <f t="shared" si="54"/>
        <v>0</v>
      </c>
      <c r="AI474" s="232">
        <f t="shared" si="54"/>
        <v>0</v>
      </c>
      <c r="AJ474" s="232">
        <f t="shared" si="54"/>
        <v>0</v>
      </c>
      <c r="AK474" s="232">
        <f t="shared" si="54"/>
        <v>0</v>
      </c>
      <c r="AL474" s="88">
        <f t="shared" si="50"/>
        <v>0</v>
      </c>
      <c r="AM474" s="232">
        <f t="shared" ref="AM474:AW474" si="55">+AM39</f>
        <v>0</v>
      </c>
      <c r="AN474" s="232">
        <f t="shared" si="55"/>
        <v>0</v>
      </c>
      <c r="AO474" s="232">
        <f t="shared" si="55"/>
        <v>0</v>
      </c>
      <c r="AP474" s="232">
        <f t="shared" si="55"/>
        <v>0</v>
      </c>
      <c r="AQ474" s="232">
        <f t="shared" si="55"/>
        <v>0</v>
      </c>
      <c r="AR474" s="232">
        <f t="shared" si="55"/>
        <v>0</v>
      </c>
      <c r="AS474" s="232">
        <f t="shared" si="55"/>
        <v>0</v>
      </c>
      <c r="AT474" s="232">
        <f t="shared" si="55"/>
        <v>0</v>
      </c>
      <c r="AU474" s="232">
        <f t="shared" si="55"/>
        <v>0</v>
      </c>
      <c r="AV474" s="232">
        <f t="shared" si="55"/>
        <v>0</v>
      </c>
      <c r="AW474" s="232">
        <f t="shared" si="55"/>
        <v>0</v>
      </c>
      <c r="AX474" s="376"/>
      <c r="AY474" s="376"/>
    </row>
    <row r="475" spans="1:51">
      <c r="A475" s="889">
        <v>501.2</v>
      </c>
      <c r="B475" s="890" t="s">
        <v>1029</v>
      </c>
      <c r="D475" s="13"/>
      <c r="E475" s="13"/>
      <c r="F475" s="13"/>
      <c r="G475" s="13"/>
      <c r="H475" s="13"/>
      <c r="I475" s="13"/>
      <c r="J475" s="13"/>
      <c r="K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88">
        <f t="shared" si="52"/>
        <v>0</v>
      </c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88">
        <f t="shared" si="50"/>
        <v>0</v>
      </c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28"/>
      <c r="AY475" s="28"/>
    </row>
    <row r="476" spans="1:51">
      <c r="A476" s="889">
        <v>501.1</v>
      </c>
      <c r="B476" s="886" t="s">
        <v>48</v>
      </c>
      <c r="D476" s="232">
        <f t="shared" ref="D476:H477" si="56">D40</f>
        <v>0</v>
      </c>
      <c r="E476" s="232">
        <f t="shared" si="56"/>
        <v>0</v>
      </c>
      <c r="F476" s="232">
        <f t="shared" si="56"/>
        <v>0</v>
      </c>
      <c r="G476" s="232">
        <f t="shared" si="56"/>
        <v>0</v>
      </c>
      <c r="H476" s="232">
        <f t="shared" si="56"/>
        <v>0</v>
      </c>
      <c r="I476" s="232"/>
      <c r="J476" s="232"/>
      <c r="K476" s="232"/>
      <c r="M476" s="232">
        <f t="shared" ref="M476:X476" si="57">M40</f>
        <v>0</v>
      </c>
      <c r="N476" s="232">
        <f t="shared" si="57"/>
        <v>0</v>
      </c>
      <c r="O476" s="232">
        <f t="shared" si="57"/>
        <v>0</v>
      </c>
      <c r="P476" s="232">
        <f t="shared" si="57"/>
        <v>0</v>
      </c>
      <c r="Q476" s="232">
        <f t="shared" si="57"/>
        <v>0</v>
      </c>
      <c r="R476" s="232">
        <f t="shared" si="57"/>
        <v>0</v>
      </c>
      <c r="S476" s="232">
        <f t="shared" si="57"/>
        <v>0.14727660000000001</v>
      </c>
      <c r="T476" s="232">
        <f t="shared" si="57"/>
        <v>0</v>
      </c>
      <c r="U476" s="232">
        <f t="shared" si="57"/>
        <v>0</v>
      </c>
      <c r="V476" s="232">
        <f t="shared" si="57"/>
        <v>0</v>
      </c>
      <c r="W476" s="232">
        <f t="shared" si="57"/>
        <v>0</v>
      </c>
      <c r="X476" s="232">
        <f t="shared" si="57"/>
        <v>0</v>
      </c>
      <c r="Y476" s="88">
        <f t="shared" si="52"/>
        <v>0.14727660000000001</v>
      </c>
      <c r="Z476" s="232">
        <f t="shared" ref="Z476:AK476" si="58">Z40</f>
        <v>0</v>
      </c>
      <c r="AA476" s="232">
        <f t="shared" si="58"/>
        <v>0</v>
      </c>
      <c r="AB476" s="232">
        <f t="shared" si="58"/>
        <v>0</v>
      </c>
      <c r="AC476" s="232">
        <f t="shared" si="58"/>
        <v>0</v>
      </c>
      <c r="AD476" s="232">
        <f t="shared" si="58"/>
        <v>0</v>
      </c>
      <c r="AE476" s="232">
        <f t="shared" si="58"/>
        <v>0</v>
      </c>
      <c r="AF476" s="232">
        <f t="shared" si="58"/>
        <v>0</v>
      </c>
      <c r="AG476" s="232">
        <f t="shared" si="58"/>
        <v>0</v>
      </c>
      <c r="AH476" s="232">
        <f t="shared" si="58"/>
        <v>0</v>
      </c>
      <c r="AI476" s="232">
        <f t="shared" si="58"/>
        <v>0</v>
      </c>
      <c r="AJ476" s="232">
        <f t="shared" si="58"/>
        <v>0</v>
      </c>
      <c r="AK476" s="232">
        <f t="shared" si="58"/>
        <v>0</v>
      </c>
      <c r="AL476" s="88">
        <f t="shared" si="50"/>
        <v>0</v>
      </c>
      <c r="AM476" s="232">
        <f t="shared" ref="AM476:AW476" si="59">AM40</f>
        <v>0</v>
      </c>
      <c r="AN476" s="232">
        <f t="shared" si="59"/>
        <v>0</v>
      </c>
      <c r="AO476" s="232">
        <f t="shared" si="59"/>
        <v>0</v>
      </c>
      <c r="AP476" s="232">
        <f t="shared" si="59"/>
        <v>0</v>
      </c>
      <c r="AQ476" s="232">
        <f t="shared" si="59"/>
        <v>0</v>
      </c>
      <c r="AR476" s="232">
        <f t="shared" si="59"/>
        <v>0</v>
      </c>
      <c r="AS476" s="232">
        <f t="shared" si="59"/>
        <v>0</v>
      </c>
      <c r="AT476" s="232">
        <f t="shared" si="59"/>
        <v>0</v>
      </c>
      <c r="AU476" s="232">
        <f t="shared" si="59"/>
        <v>0</v>
      </c>
      <c r="AV476" s="232">
        <f t="shared" si="59"/>
        <v>0</v>
      </c>
      <c r="AW476" s="232">
        <f t="shared" si="59"/>
        <v>0</v>
      </c>
      <c r="AX476" s="376"/>
      <c r="AY476" s="376"/>
    </row>
    <row r="477" spans="1:51">
      <c r="A477" s="889">
        <v>501.1</v>
      </c>
      <c r="B477" s="886" t="s">
        <v>50</v>
      </c>
      <c r="D477" s="232">
        <f t="shared" si="56"/>
        <v>0</v>
      </c>
      <c r="E477" s="232">
        <f t="shared" si="56"/>
        <v>0</v>
      </c>
      <c r="F477" s="232">
        <f t="shared" si="56"/>
        <v>0</v>
      </c>
      <c r="G477" s="232">
        <f t="shared" si="56"/>
        <v>0</v>
      </c>
      <c r="H477" s="232">
        <f t="shared" si="56"/>
        <v>0</v>
      </c>
      <c r="I477" s="232"/>
      <c r="J477" s="232"/>
      <c r="K477" s="232"/>
      <c r="M477" s="232">
        <f t="shared" ref="M477:X477" si="60">M41</f>
        <v>0</v>
      </c>
      <c r="N477" s="232">
        <f t="shared" si="60"/>
        <v>0</v>
      </c>
      <c r="O477" s="232">
        <f t="shared" si="60"/>
        <v>0</v>
      </c>
      <c r="P477" s="232">
        <f t="shared" si="60"/>
        <v>0</v>
      </c>
      <c r="Q477" s="232">
        <f t="shared" si="60"/>
        <v>0</v>
      </c>
      <c r="R477" s="232">
        <f t="shared" si="60"/>
        <v>0</v>
      </c>
      <c r="S477" s="232">
        <f t="shared" si="60"/>
        <v>0.38248747</v>
      </c>
      <c r="T477" s="232">
        <f t="shared" si="60"/>
        <v>0</v>
      </c>
      <c r="U477" s="232">
        <f t="shared" si="60"/>
        <v>0</v>
      </c>
      <c r="V477" s="232">
        <f t="shared" si="60"/>
        <v>0</v>
      </c>
      <c r="W477" s="232">
        <f t="shared" si="60"/>
        <v>0</v>
      </c>
      <c r="X477" s="232">
        <f t="shared" si="60"/>
        <v>0</v>
      </c>
      <c r="Y477" s="88">
        <f t="shared" si="52"/>
        <v>0.38248747</v>
      </c>
      <c r="Z477" s="232">
        <f t="shared" ref="Z477:AK477" si="61">Z41</f>
        <v>0</v>
      </c>
      <c r="AA477" s="232">
        <f t="shared" si="61"/>
        <v>0</v>
      </c>
      <c r="AB477" s="232">
        <f t="shared" si="61"/>
        <v>0</v>
      </c>
      <c r="AC477" s="232">
        <f t="shared" si="61"/>
        <v>0</v>
      </c>
      <c r="AD477" s="232">
        <f t="shared" si="61"/>
        <v>0</v>
      </c>
      <c r="AE477" s="232">
        <f t="shared" si="61"/>
        <v>0</v>
      </c>
      <c r="AF477" s="232">
        <f t="shared" si="61"/>
        <v>0</v>
      </c>
      <c r="AG477" s="232">
        <f t="shared" si="61"/>
        <v>0</v>
      </c>
      <c r="AH477" s="232">
        <f t="shared" si="61"/>
        <v>0</v>
      </c>
      <c r="AI477" s="232">
        <f t="shared" si="61"/>
        <v>0</v>
      </c>
      <c r="AJ477" s="232">
        <f t="shared" si="61"/>
        <v>0</v>
      </c>
      <c r="AK477" s="232">
        <f t="shared" si="61"/>
        <v>0</v>
      </c>
      <c r="AL477" s="88">
        <f t="shared" si="50"/>
        <v>0</v>
      </c>
      <c r="AM477" s="232">
        <f t="shared" ref="AM477:AW477" si="62">AM41</f>
        <v>0</v>
      </c>
      <c r="AN477" s="232">
        <f t="shared" si="62"/>
        <v>0</v>
      </c>
      <c r="AO477" s="232">
        <f t="shared" si="62"/>
        <v>0</v>
      </c>
      <c r="AP477" s="232">
        <f t="shared" si="62"/>
        <v>0</v>
      </c>
      <c r="AQ477" s="232">
        <f t="shared" si="62"/>
        <v>1.39504044</v>
      </c>
      <c r="AR477" s="232">
        <f t="shared" si="62"/>
        <v>5.6530768199999999</v>
      </c>
      <c r="AS477" s="232">
        <f t="shared" si="62"/>
        <v>12.951438140000002</v>
      </c>
      <c r="AT477" s="232">
        <f t="shared" si="62"/>
        <v>12.37942357</v>
      </c>
      <c r="AU477" s="232">
        <f t="shared" si="62"/>
        <v>10.35356093</v>
      </c>
      <c r="AV477" s="232">
        <f t="shared" si="62"/>
        <v>8.579813660000001</v>
      </c>
      <c r="AW477" s="232">
        <f t="shared" si="62"/>
        <v>8.4529117100000004</v>
      </c>
      <c r="AX477" s="376"/>
      <c r="AY477" s="376"/>
    </row>
    <row r="478" spans="1:51">
      <c r="A478" s="889" t="s">
        <v>722</v>
      </c>
      <c r="B478" s="890" t="s">
        <v>1029</v>
      </c>
      <c r="D478" s="13"/>
      <c r="E478" s="13"/>
      <c r="F478" s="13"/>
      <c r="G478" s="13"/>
      <c r="H478" s="13"/>
      <c r="I478" s="13"/>
      <c r="J478" s="13"/>
      <c r="K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88">
        <f t="shared" si="52"/>
        <v>0</v>
      </c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88">
        <f t="shared" si="50"/>
        <v>0</v>
      </c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28"/>
      <c r="AY478" s="28"/>
    </row>
    <row r="479" spans="1:51">
      <c r="A479" s="889">
        <v>501.1</v>
      </c>
      <c r="B479" s="886" t="s">
        <v>52</v>
      </c>
      <c r="D479" s="232">
        <f>D42</f>
        <v>0</v>
      </c>
      <c r="E479" s="232">
        <f>E42</f>
        <v>0</v>
      </c>
      <c r="F479" s="232">
        <f>F42</f>
        <v>0</v>
      </c>
      <c r="G479" s="232">
        <f>G42</f>
        <v>0</v>
      </c>
      <c r="H479" s="232">
        <f>H42</f>
        <v>0</v>
      </c>
      <c r="I479" s="232"/>
      <c r="J479" s="232"/>
      <c r="K479" s="232"/>
      <c r="M479" s="232">
        <f t="shared" ref="M479:X479" si="63">M42</f>
        <v>7.2905604618881901</v>
      </c>
      <c r="N479" s="232">
        <f t="shared" si="63"/>
        <v>6.4853631490742663</v>
      </c>
      <c r="O479" s="232">
        <f t="shared" si="63"/>
        <v>7.0251349963196112</v>
      </c>
      <c r="P479" s="232">
        <f t="shared" si="63"/>
        <v>6.6685234208019315</v>
      </c>
      <c r="Q479" s="232">
        <f t="shared" si="63"/>
        <v>5.3677004565080848</v>
      </c>
      <c r="R479" s="232">
        <f t="shared" si="63"/>
        <v>6.699648542422632</v>
      </c>
      <c r="S479" s="232">
        <f t="shared" si="63"/>
        <v>6.9961463222753215</v>
      </c>
      <c r="T479" s="232">
        <f t="shared" si="63"/>
        <v>7.0663034350011324</v>
      </c>
      <c r="U479" s="232">
        <f t="shared" si="63"/>
        <v>6.7267350606100544</v>
      </c>
      <c r="V479" s="232">
        <f t="shared" si="63"/>
        <v>7.1165081513370048</v>
      </c>
      <c r="W479" s="232">
        <f t="shared" si="63"/>
        <v>6.9555926543681901</v>
      </c>
      <c r="X479" s="232">
        <f t="shared" si="63"/>
        <v>7.0956021314427593</v>
      </c>
      <c r="Y479" s="88">
        <f t="shared" si="52"/>
        <v>81.493818782049175</v>
      </c>
      <c r="Z479" s="232">
        <f t="shared" ref="Z479:AK479" si="64">Z42</f>
        <v>7.5272621114907059</v>
      </c>
      <c r="AA479" s="232">
        <f t="shared" si="64"/>
        <v>6.7602638569510667</v>
      </c>
      <c r="AB479" s="232">
        <f t="shared" si="64"/>
        <v>7.1066038427884699</v>
      </c>
      <c r="AC479" s="232">
        <f t="shared" si="64"/>
        <v>4.9954556217859363</v>
      </c>
      <c r="AD479" s="232">
        <f t="shared" si="64"/>
        <v>5.3712739859811478</v>
      </c>
      <c r="AE479" s="232">
        <f t="shared" si="64"/>
        <v>7.0186531914232608</v>
      </c>
      <c r="AF479" s="232">
        <f t="shared" si="64"/>
        <v>7.2788561242207059</v>
      </c>
      <c r="AG479" s="232">
        <f t="shared" si="64"/>
        <v>7.2840546228248364</v>
      </c>
      <c r="AH479" s="232">
        <f t="shared" si="64"/>
        <v>7.0356854541386928</v>
      </c>
      <c r="AI479" s="232">
        <f t="shared" si="64"/>
        <v>7.3938836839668012</v>
      </c>
      <c r="AJ479" s="232">
        <f t="shared" si="64"/>
        <v>7.1861213787980933</v>
      </c>
      <c r="AK479" s="232">
        <f t="shared" si="64"/>
        <v>7.2501795270236258</v>
      </c>
      <c r="AL479" s="88">
        <f t="shared" si="50"/>
        <v>82.208293401393348</v>
      </c>
      <c r="AM479" s="232">
        <f t="shared" ref="AM479:AW479" si="65">AM42</f>
        <v>87.531729537021761</v>
      </c>
      <c r="AN479" s="232">
        <f t="shared" si="65"/>
        <v>90.774528602618929</v>
      </c>
      <c r="AO479" s="232">
        <f t="shared" si="65"/>
        <v>89.379797020967388</v>
      </c>
      <c r="AP479" s="232">
        <f t="shared" si="65"/>
        <v>94.119661749981461</v>
      </c>
      <c r="AQ479" s="232">
        <f t="shared" si="65"/>
        <v>105.0275041312828</v>
      </c>
      <c r="AR479" s="232">
        <f t="shared" si="65"/>
        <v>114.50501517242354</v>
      </c>
      <c r="AS479" s="232">
        <f t="shared" si="65"/>
        <v>117.89663234847183</v>
      </c>
      <c r="AT479" s="232">
        <f t="shared" si="65"/>
        <v>122.01244983712307</v>
      </c>
      <c r="AU479" s="232">
        <f t="shared" si="65"/>
        <v>124.74509894870869</v>
      </c>
      <c r="AV479" s="232">
        <f t="shared" si="65"/>
        <v>130.44750465355312</v>
      </c>
      <c r="AW479" s="232">
        <f t="shared" si="65"/>
        <v>139.83235231303726</v>
      </c>
      <c r="AX479" s="376"/>
      <c r="AY479" s="376"/>
    </row>
    <row r="480" spans="1:51">
      <c r="A480" s="889">
        <v>501.2</v>
      </c>
      <c r="B480" s="890" t="s">
        <v>1029</v>
      </c>
      <c r="D480" s="13"/>
      <c r="E480" s="13"/>
      <c r="F480" s="13"/>
      <c r="G480" s="13"/>
      <c r="H480" s="13"/>
      <c r="I480" s="13"/>
      <c r="J480" s="13"/>
      <c r="K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88">
        <f t="shared" si="52"/>
        <v>0</v>
      </c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88">
        <f t="shared" si="50"/>
        <v>0</v>
      </c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28"/>
      <c r="AY480" s="28"/>
    </row>
    <row r="481" spans="1:51">
      <c r="A481" s="889">
        <v>501.1</v>
      </c>
      <c r="B481" s="886" t="s">
        <v>54</v>
      </c>
      <c r="D481" s="232">
        <f t="shared" ref="D481:H482" si="66">D43</f>
        <v>0</v>
      </c>
      <c r="E481" s="232">
        <f t="shared" si="66"/>
        <v>0</v>
      </c>
      <c r="F481" s="232">
        <f t="shared" si="66"/>
        <v>0</v>
      </c>
      <c r="G481" s="232">
        <f t="shared" si="66"/>
        <v>0</v>
      </c>
      <c r="H481" s="232">
        <f t="shared" si="66"/>
        <v>0</v>
      </c>
      <c r="I481" s="232"/>
      <c r="J481" s="232"/>
      <c r="K481" s="232"/>
      <c r="M481" s="232">
        <f t="shared" ref="M481:X481" si="67">M43</f>
        <v>3.8494805666666666E-2</v>
      </c>
      <c r="N481" s="232">
        <f t="shared" si="67"/>
        <v>3.8782639624088448E-2</v>
      </c>
      <c r="O481" s="232">
        <f t="shared" si="67"/>
        <v>3.8658103646786054E-2</v>
      </c>
      <c r="P481" s="232">
        <f t="shared" si="67"/>
        <v>3.8350896211610343E-2</v>
      </c>
      <c r="Q481" s="232">
        <f t="shared" si="67"/>
        <v>3.8734774673343117E-2</v>
      </c>
      <c r="R481" s="232">
        <f t="shared" si="67"/>
        <v>3.9156848145377558E-2</v>
      </c>
      <c r="S481" s="232">
        <f t="shared" si="67"/>
        <v>3.9578959023052099E-2</v>
      </c>
      <c r="T481" s="232">
        <f t="shared" si="67"/>
        <v>3.9799741418489763E-2</v>
      </c>
      <c r="U481" s="232">
        <f t="shared" si="67"/>
        <v>3.9818911690321229E-2</v>
      </c>
      <c r="V481" s="232">
        <f t="shared" si="67"/>
        <v>4.0154719478710889E-2</v>
      </c>
      <c r="W481" s="232">
        <f t="shared" si="67"/>
        <v>4.1066147993762105E-2</v>
      </c>
      <c r="X481" s="232">
        <f t="shared" si="67"/>
        <v>4.3023534395293217E-2</v>
      </c>
      <c r="Y481" s="88">
        <f t="shared" si="52"/>
        <v>0.47562008196750155</v>
      </c>
      <c r="Z481" s="232">
        <f t="shared" ref="Z481:AK481" si="68">Z43</f>
        <v>4.401186243613267E-2</v>
      </c>
      <c r="AA481" s="232">
        <f t="shared" si="68"/>
        <v>4.3896750521289114E-2</v>
      </c>
      <c r="AB481" s="232">
        <f t="shared" si="68"/>
        <v>4.336921401391116E-2</v>
      </c>
      <c r="AC481" s="232">
        <f t="shared" si="68"/>
        <v>4.2361466077378979E-2</v>
      </c>
      <c r="AD481" s="232">
        <f t="shared" si="68"/>
        <v>4.2457419577662518E-2</v>
      </c>
      <c r="AE481" s="232">
        <f t="shared" si="68"/>
        <v>4.2668601187955776E-2</v>
      </c>
      <c r="AF481" s="232">
        <f t="shared" si="68"/>
        <v>4.3042710649960354E-2</v>
      </c>
      <c r="AG481" s="232">
        <f t="shared" si="68"/>
        <v>4.3225092812044216E-2</v>
      </c>
      <c r="AH481" s="232">
        <f t="shared" si="68"/>
        <v>4.3253911418489763E-2</v>
      </c>
      <c r="AI481" s="232">
        <f t="shared" si="68"/>
        <v>4.3609189854753351E-2</v>
      </c>
      <c r="AJ481" s="232">
        <f t="shared" si="68"/>
        <v>4.4309246294839559E-2</v>
      </c>
      <c r="AK481" s="232">
        <f t="shared" si="68"/>
        <v>4.6045907143591976E-2</v>
      </c>
      <c r="AL481" s="88">
        <f t="shared" si="50"/>
        <v>0.52225137198800953</v>
      </c>
      <c r="AM481" s="232">
        <f t="shared" ref="AM481:AW481" si="69">AM43</f>
        <v>0.54636360303887788</v>
      </c>
      <c r="AN481" s="232">
        <f t="shared" si="69"/>
        <v>0.56765489800355207</v>
      </c>
      <c r="AO481" s="232">
        <f t="shared" si="69"/>
        <v>0.58468454494365862</v>
      </c>
      <c r="AP481" s="232">
        <f t="shared" si="69"/>
        <v>0.6022250812919685</v>
      </c>
      <c r="AQ481" s="232">
        <f t="shared" si="69"/>
        <v>0.62029183373072749</v>
      </c>
      <c r="AR481" s="232">
        <f t="shared" si="69"/>
        <v>0.63890058874264932</v>
      </c>
      <c r="AS481" s="232">
        <f t="shared" si="69"/>
        <v>0.65806760640492878</v>
      </c>
      <c r="AT481" s="232">
        <f t="shared" si="69"/>
        <v>0.67780963459707666</v>
      </c>
      <c r="AU481" s="232">
        <f t="shared" si="69"/>
        <v>0.69814392363498901</v>
      </c>
      <c r="AV481" s="232">
        <f t="shared" si="69"/>
        <v>0.7190882413440387</v>
      </c>
      <c r="AW481" s="232">
        <f t="shared" si="69"/>
        <v>0.74066088858435986</v>
      </c>
      <c r="AX481" s="376"/>
      <c r="AY481" s="376"/>
    </row>
    <row r="482" spans="1:51">
      <c r="A482" s="889">
        <v>501.1</v>
      </c>
      <c r="B482" s="886" t="s">
        <v>57</v>
      </c>
      <c r="D482" s="232">
        <f t="shared" si="66"/>
        <v>0</v>
      </c>
      <c r="E482" s="232">
        <f t="shared" si="66"/>
        <v>0</v>
      </c>
      <c r="F482" s="232">
        <f t="shared" si="66"/>
        <v>0</v>
      </c>
      <c r="G482" s="232">
        <f t="shared" si="66"/>
        <v>0</v>
      </c>
      <c r="H482" s="232">
        <f t="shared" si="66"/>
        <v>0</v>
      </c>
      <c r="I482" s="232"/>
      <c r="J482" s="232"/>
      <c r="K482" s="232"/>
      <c r="M482" s="232">
        <f t="shared" ref="M482:X482" si="70">M44</f>
        <v>7.1666781242057533</v>
      </c>
      <c r="N482" s="232">
        <f t="shared" si="70"/>
        <v>6.4943233386776429</v>
      </c>
      <c r="O482" s="232">
        <f t="shared" si="70"/>
        <v>6.9382561171338626</v>
      </c>
      <c r="P482" s="232">
        <f t="shared" si="70"/>
        <v>6.8092154045219804</v>
      </c>
      <c r="Q482" s="232">
        <f t="shared" si="70"/>
        <v>7.0815185877468032</v>
      </c>
      <c r="R482" s="232">
        <f t="shared" si="70"/>
        <v>6.7123125064816405</v>
      </c>
      <c r="S482" s="232">
        <f t="shared" si="70"/>
        <v>7.0611971583562516</v>
      </c>
      <c r="T482" s="232">
        <f t="shared" si="70"/>
        <v>7.0914526551672594</v>
      </c>
      <c r="U482" s="232">
        <f t="shared" si="70"/>
        <v>6.5990062185134173</v>
      </c>
      <c r="V482" s="232">
        <f t="shared" si="70"/>
        <v>7.0039741436030125</v>
      </c>
      <c r="W482" s="232">
        <f t="shared" si="70"/>
        <v>6.7803979755830168</v>
      </c>
      <c r="X482" s="232">
        <f t="shared" si="70"/>
        <v>7.0790265834218511</v>
      </c>
      <c r="Y482" s="88">
        <f t="shared" si="52"/>
        <v>82.817358813412483</v>
      </c>
      <c r="Z482" s="232">
        <f t="shared" ref="Z482:AK482" si="71">Z44</f>
        <v>7.3889854834066391</v>
      </c>
      <c r="AA482" s="232">
        <f t="shared" si="71"/>
        <v>6.6974306983623908</v>
      </c>
      <c r="AB482" s="232">
        <f t="shared" si="71"/>
        <v>5.1573102657114518</v>
      </c>
      <c r="AC482" s="232">
        <f t="shared" si="71"/>
        <v>6.1713486370450914</v>
      </c>
      <c r="AD482" s="232">
        <f t="shared" si="71"/>
        <v>7.3627014434753555</v>
      </c>
      <c r="AE482" s="232">
        <f t="shared" si="71"/>
        <v>7.0564079864063629</v>
      </c>
      <c r="AF482" s="232">
        <f t="shared" si="71"/>
        <v>7.3609250850654595</v>
      </c>
      <c r="AG482" s="232">
        <f t="shared" si="71"/>
        <v>7.3939800322528235</v>
      </c>
      <c r="AH482" s="232">
        <f t="shared" si="71"/>
        <v>6.9405267891423312</v>
      </c>
      <c r="AI482" s="232">
        <f t="shared" si="71"/>
        <v>7.2452639083416592</v>
      </c>
      <c r="AJ482" s="232">
        <f t="shared" si="71"/>
        <v>6.9922534474417537</v>
      </c>
      <c r="AK482" s="232">
        <f t="shared" si="71"/>
        <v>7.2591018887445475</v>
      </c>
      <c r="AL482" s="88">
        <f t="shared" si="50"/>
        <v>83.026235665395873</v>
      </c>
      <c r="AM482" s="232">
        <f t="shared" ref="AM482:AW482" si="72">AM44</f>
        <v>88.072318706569789</v>
      </c>
      <c r="AN482" s="232">
        <f t="shared" si="72"/>
        <v>86.534295748250358</v>
      </c>
      <c r="AO482" s="232">
        <f t="shared" si="72"/>
        <v>94.001797675124791</v>
      </c>
      <c r="AP482" s="232">
        <f t="shared" si="72"/>
        <v>99.467665584748673</v>
      </c>
      <c r="AQ482" s="232">
        <f t="shared" si="72"/>
        <v>102.137237355035</v>
      </c>
      <c r="AR482" s="232">
        <f t="shared" si="72"/>
        <v>114.09724690330744</v>
      </c>
      <c r="AS482" s="232">
        <f t="shared" si="72"/>
        <v>117.37013172676912</v>
      </c>
      <c r="AT482" s="232">
        <f t="shared" si="72"/>
        <v>121.98201158429326</v>
      </c>
      <c r="AU482" s="232">
        <f t="shared" si="72"/>
        <v>127.38376211271326</v>
      </c>
      <c r="AV482" s="232">
        <f t="shared" si="72"/>
        <v>124.55988708740047</v>
      </c>
      <c r="AW482" s="232">
        <f t="shared" si="72"/>
        <v>139.44513339963075</v>
      </c>
      <c r="AX482" s="376"/>
      <c r="AY482" s="376"/>
    </row>
    <row r="483" spans="1:51">
      <c r="A483" s="889">
        <v>501.3</v>
      </c>
      <c r="B483" s="890" t="s">
        <v>1030</v>
      </c>
      <c r="D483" s="13"/>
      <c r="E483" s="13"/>
      <c r="F483" s="13"/>
      <c r="G483" s="13"/>
      <c r="H483" s="13"/>
      <c r="I483" s="13"/>
      <c r="J483" s="13"/>
      <c r="K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88">
        <f t="shared" si="52"/>
        <v>0</v>
      </c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88">
        <f t="shared" si="50"/>
        <v>0</v>
      </c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28"/>
      <c r="AY483" s="28"/>
    </row>
    <row r="484" spans="1:51">
      <c r="A484" s="889">
        <v>501.1</v>
      </c>
      <c r="B484" s="886" t="s">
        <v>59</v>
      </c>
      <c r="D484" s="232">
        <f t="shared" ref="D484:H486" si="73">D45</f>
        <v>0</v>
      </c>
      <c r="E484" s="232">
        <f t="shared" si="73"/>
        <v>0</v>
      </c>
      <c r="F484" s="232">
        <f t="shared" si="73"/>
        <v>0</v>
      </c>
      <c r="G484" s="232">
        <f t="shared" si="73"/>
        <v>0</v>
      </c>
      <c r="H484" s="232">
        <f t="shared" si="73"/>
        <v>0</v>
      </c>
      <c r="I484" s="232"/>
      <c r="J484" s="232"/>
      <c r="K484" s="232"/>
      <c r="M484" s="232">
        <f t="shared" ref="M484:X484" si="74">M45</f>
        <v>0.16412071480078014</v>
      </c>
      <c r="N484" s="232">
        <f t="shared" si="74"/>
        <v>0.1631407348444231</v>
      </c>
      <c r="O484" s="232">
        <f t="shared" si="74"/>
        <v>0.16174109364391559</v>
      </c>
      <c r="P484" s="232">
        <f t="shared" si="74"/>
        <v>0.16013126876177031</v>
      </c>
      <c r="Q484" s="232">
        <f t="shared" si="74"/>
        <v>0.16069131052641472</v>
      </c>
      <c r="R484" s="232">
        <f t="shared" si="74"/>
        <v>0.15950162464858209</v>
      </c>
      <c r="S484" s="232">
        <f t="shared" si="74"/>
        <v>0.1588716328002229</v>
      </c>
      <c r="T484" s="232">
        <f t="shared" si="74"/>
        <v>0.15852169378536149</v>
      </c>
      <c r="U484" s="232">
        <f t="shared" si="74"/>
        <v>0.15824158910274888</v>
      </c>
      <c r="V484" s="232">
        <f t="shared" si="74"/>
        <v>0.15817164486367391</v>
      </c>
      <c r="W484" s="232">
        <f t="shared" si="74"/>
        <v>0.15810163936987934</v>
      </c>
      <c r="X484" s="232">
        <f t="shared" si="74"/>
        <v>0.15810184283783868</v>
      </c>
      <c r="Y484" s="88">
        <f t="shared" si="52"/>
        <v>1.9193367899856111</v>
      </c>
      <c r="Z484" s="232">
        <f t="shared" ref="Z484:AK484" si="75">Z45</f>
        <v>0.15803177499999999</v>
      </c>
      <c r="AA484" s="232">
        <f t="shared" si="75"/>
        <v>0.15768171474700066</v>
      </c>
      <c r="AB484" s="232">
        <f t="shared" si="75"/>
        <v>0.15670184274754601</v>
      </c>
      <c r="AC484" s="232">
        <f t="shared" si="75"/>
        <v>0.15537224999999999</v>
      </c>
      <c r="AD484" s="232">
        <f t="shared" si="75"/>
        <v>0.15425230518540173</v>
      </c>
      <c r="AE484" s="232">
        <f t="shared" si="75"/>
        <v>0.1535525498585541</v>
      </c>
      <c r="AF484" s="232">
        <f t="shared" si="75"/>
        <v>0.15348268587371547</v>
      </c>
      <c r="AG484" s="232">
        <f t="shared" si="75"/>
        <v>0.15341248843867622</v>
      </c>
      <c r="AH484" s="232">
        <f t="shared" si="75"/>
        <v>0.15334249992927712</v>
      </c>
      <c r="AI484" s="232">
        <f t="shared" si="75"/>
        <v>0.15327253924551751</v>
      </c>
      <c r="AJ484" s="232">
        <f t="shared" si="75"/>
        <v>0.15327248735070734</v>
      </c>
      <c r="AK484" s="232">
        <f t="shared" si="75"/>
        <v>0.15320263359988856</v>
      </c>
      <c r="AL484" s="88">
        <f t="shared" si="50"/>
        <v>1.8555777719762849</v>
      </c>
      <c r="AM484" s="232">
        <f t="shared" ref="AM484:AW484" si="76">AM45</f>
        <v>1.8207943642166997</v>
      </c>
      <c r="AN484" s="232">
        <f t="shared" si="76"/>
        <v>1.8604067116988201</v>
      </c>
      <c r="AO484" s="232">
        <f t="shared" si="76"/>
        <v>1.9162189130497849</v>
      </c>
      <c r="AP484" s="232">
        <f t="shared" si="76"/>
        <v>1.9737054804412784</v>
      </c>
      <c r="AQ484" s="232">
        <f t="shared" si="76"/>
        <v>2.0329166448545166</v>
      </c>
      <c r="AR484" s="232">
        <f t="shared" si="76"/>
        <v>2.093904144200152</v>
      </c>
      <c r="AS484" s="232">
        <f t="shared" si="76"/>
        <v>2.1567212685261565</v>
      </c>
      <c r="AT484" s="232">
        <f t="shared" si="76"/>
        <v>2.2214229065819411</v>
      </c>
      <c r="AU484" s="232">
        <f t="shared" si="76"/>
        <v>2.2880655937793994</v>
      </c>
      <c r="AV484" s="232">
        <f t="shared" si="76"/>
        <v>2.3567075615927813</v>
      </c>
      <c r="AW484" s="232">
        <f t="shared" si="76"/>
        <v>2.4274087884405646</v>
      </c>
      <c r="AX484" s="376"/>
      <c r="AY484" s="376"/>
    </row>
    <row r="485" spans="1:51">
      <c r="A485" s="889">
        <v>501.1</v>
      </c>
      <c r="B485" s="886" t="s">
        <v>61</v>
      </c>
      <c r="D485" s="232">
        <f t="shared" si="73"/>
        <v>0</v>
      </c>
      <c r="E485" s="232">
        <f t="shared" si="73"/>
        <v>0</v>
      </c>
      <c r="F485" s="232">
        <f t="shared" si="73"/>
        <v>0</v>
      </c>
      <c r="G485" s="232">
        <f t="shared" si="73"/>
        <v>0</v>
      </c>
      <c r="H485" s="232">
        <f t="shared" si="73"/>
        <v>0</v>
      </c>
      <c r="I485" s="232"/>
      <c r="J485" s="232"/>
      <c r="K485" s="232"/>
      <c r="M485" s="232">
        <f t="shared" ref="M485:X485" si="77">M46</f>
        <v>6.3848874120639207</v>
      </c>
      <c r="N485" s="232">
        <f t="shared" si="77"/>
        <v>5.7530913677165589</v>
      </c>
      <c r="O485" s="232">
        <f t="shared" si="77"/>
        <v>6.2395231475140589</v>
      </c>
      <c r="P485" s="232">
        <f t="shared" si="77"/>
        <v>5.9906972766824778</v>
      </c>
      <c r="Q485" s="232">
        <f t="shared" si="77"/>
        <v>6.1278968942077121</v>
      </c>
      <c r="R485" s="232">
        <f t="shared" si="77"/>
        <v>5.7607941303981685</v>
      </c>
      <c r="S485" s="232">
        <f t="shared" si="77"/>
        <v>6.0447363239725762</v>
      </c>
      <c r="T485" s="232">
        <f t="shared" si="77"/>
        <v>6.0355565719946096</v>
      </c>
      <c r="U485" s="232">
        <f t="shared" si="77"/>
        <v>0</v>
      </c>
      <c r="V485" s="232">
        <f t="shared" si="77"/>
        <v>0</v>
      </c>
      <c r="W485" s="232">
        <f t="shared" si="77"/>
        <v>0</v>
      </c>
      <c r="X485" s="232">
        <f t="shared" si="77"/>
        <v>0</v>
      </c>
      <c r="Y485" s="88">
        <f t="shared" si="52"/>
        <v>48.337183124550087</v>
      </c>
      <c r="Z485" s="232">
        <f t="shared" ref="Z485:AK485" si="78">Z46</f>
        <v>0</v>
      </c>
      <c r="AA485" s="232">
        <f t="shared" si="78"/>
        <v>0</v>
      </c>
      <c r="AB485" s="232">
        <f t="shared" si="78"/>
        <v>0</v>
      </c>
      <c r="AC485" s="232">
        <f t="shared" si="78"/>
        <v>0</v>
      </c>
      <c r="AD485" s="232">
        <f t="shared" si="78"/>
        <v>0</v>
      </c>
      <c r="AE485" s="232">
        <f t="shared" si="78"/>
        <v>0</v>
      </c>
      <c r="AF485" s="232">
        <f t="shared" si="78"/>
        <v>0</v>
      </c>
      <c r="AG485" s="232">
        <f t="shared" si="78"/>
        <v>0</v>
      </c>
      <c r="AH485" s="232">
        <f t="shared" si="78"/>
        <v>0</v>
      </c>
      <c r="AI485" s="232">
        <f t="shared" si="78"/>
        <v>0</v>
      </c>
      <c r="AJ485" s="232">
        <f t="shared" si="78"/>
        <v>0</v>
      </c>
      <c r="AK485" s="232">
        <f t="shared" si="78"/>
        <v>0</v>
      </c>
      <c r="AL485" s="88">
        <f t="shared" si="50"/>
        <v>0</v>
      </c>
      <c r="AM485" s="232">
        <f t="shared" ref="AM485:AW485" si="79">AM46</f>
        <v>0</v>
      </c>
      <c r="AN485" s="232">
        <f t="shared" si="79"/>
        <v>0</v>
      </c>
      <c r="AO485" s="232">
        <f t="shared" si="79"/>
        <v>0</v>
      </c>
      <c r="AP485" s="232">
        <f t="shared" si="79"/>
        <v>0</v>
      </c>
      <c r="AQ485" s="232">
        <f t="shared" si="79"/>
        <v>90.468622125005538</v>
      </c>
      <c r="AR485" s="232">
        <f t="shared" si="79"/>
        <v>101.88938391289365</v>
      </c>
      <c r="AS485" s="232">
        <f t="shared" si="79"/>
        <v>98.598522904443001</v>
      </c>
      <c r="AT485" s="232">
        <f t="shared" si="79"/>
        <v>108.71245328609614</v>
      </c>
      <c r="AU485" s="232">
        <f t="shared" si="79"/>
        <v>104.84030838096683</v>
      </c>
      <c r="AV485" s="232">
        <f t="shared" si="79"/>
        <v>116.70674557084428</v>
      </c>
      <c r="AW485" s="232">
        <f t="shared" si="79"/>
        <v>110.79180477130006</v>
      </c>
      <c r="AX485" s="376"/>
      <c r="AY485" s="376"/>
    </row>
    <row r="486" spans="1:51">
      <c r="A486" s="889">
        <v>501.1</v>
      </c>
      <c r="B486" s="886" t="s">
        <v>63</v>
      </c>
      <c r="D486" s="232">
        <f t="shared" si="73"/>
        <v>0</v>
      </c>
      <c r="E486" s="232">
        <f t="shared" si="73"/>
        <v>0</v>
      </c>
      <c r="F486" s="232">
        <f t="shared" si="73"/>
        <v>0</v>
      </c>
      <c r="G486" s="232">
        <f t="shared" si="73"/>
        <v>0</v>
      </c>
      <c r="H486" s="232">
        <f t="shared" si="73"/>
        <v>0</v>
      </c>
      <c r="I486" s="232"/>
      <c r="J486" s="232"/>
      <c r="K486" s="232"/>
      <c r="M486" s="232">
        <f t="shared" ref="M486:X486" si="80">M47</f>
        <v>0.15352533407410313</v>
      </c>
      <c r="N486" s="232">
        <f t="shared" si="80"/>
        <v>0.15260874489134221</v>
      </c>
      <c r="O486" s="232">
        <f t="shared" si="80"/>
        <v>0.15129924416666668</v>
      </c>
      <c r="P486" s="232">
        <f t="shared" si="80"/>
        <v>0.14979347347769228</v>
      </c>
      <c r="Q486" s="232">
        <f t="shared" si="80"/>
        <v>0.15031734747584424</v>
      </c>
      <c r="R486" s="232">
        <f t="shared" si="80"/>
        <v>0.14920423083333334</v>
      </c>
      <c r="S486" s="232">
        <f t="shared" si="80"/>
        <v>0.14861502847769231</v>
      </c>
      <c r="T486" s="232">
        <f t="shared" si="80"/>
        <v>0.14828777656752046</v>
      </c>
      <c r="U486" s="232">
        <f t="shared" si="80"/>
        <v>0</v>
      </c>
      <c r="V486" s="232">
        <f t="shared" si="80"/>
        <v>0</v>
      </c>
      <c r="W486" s="232">
        <f t="shared" si="80"/>
        <v>0</v>
      </c>
      <c r="X486" s="232">
        <f t="shared" si="80"/>
        <v>0</v>
      </c>
      <c r="Y486" s="88">
        <f t="shared" si="52"/>
        <v>1.2036511799641945</v>
      </c>
      <c r="Z486" s="232">
        <f t="shared" ref="Z486:AK486" si="81">Z47</f>
        <v>0</v>
      </c>
      <c r="AA486" s="232">
        <f t="shared" si="81"/>
        <v>0</v>
      </c>
      <c r="AB486" s="232">
        <f t="shared" si="81"/>
        <v>0</v>
      </c>
      <c r="AC486" s="232">
        <f t="shared" si="81"/>
        <v>0</v>
      </c>
      <c r="AD486" s="232">
        <f t="shared" si="81"/>
        <v>0</v>
      </c>
      <c r="AE486" s="232">
        <f t="shared" si="81"/>
        <v>0</v>
      </c>
      <c r="AF486" s="232">
        <f t="shared" si="81"/>
        <v>0</v>
      </c>
      <c r="AG486" s="232">
        <f t="shared" si="81"/>
        <v>0</v>
      </c>
      <c r="AH486" s="232">
        <f t="shared" si="81"/>
        <v>0</v>
      </c>
      <c r="AI486" s="232">
        <f t="shared" si="81"/>
        <v>0</v>
      </c>
      <c r="AJ486" s="232">
        <f t="shared" si="81"/>
        <v>0</v>
      </c>
      <c r="AK486" s="232">
        <f t="shared" si="81"/>
        <v>0</v>
      </c>
      <c r="AL486" s="88">
        <f t="shared" si="50"/>
        <v>0</v>
      </c>
      <c r="AM486" s="232">
        <f t="shared" ref="AM486:AW486" si="82">AM47</f>
        <v>0</v>
      </c>
      <c r="AN486" s="232">
        <f t="shared" si="82"/>
        <v>0</v>
      </c>
      <c r="AO486" s="232">
        <f t="shared" si="82"/>
        <v>0</v>
      </c>
      <c r="AP486" s="232">
        <f t="shared" si="82"/>
        <v>0</v>
      </c>
      <c r="AQ486" s="232">
        <f t="shared" si="82"/>
        <v>1.5513749699999999</v>
      </c>
      <c r="AR486" s="232">
        <f t="shared" si="82"/>
        <v>1.6424316800000001</v>
      </c>
      <c r="AS486" s="232">
        <f t="shared" si="82"/>
        <v>1.63998497</v>
      </c>
      <c r="AT486" s="232">
        <f t="shared" si="82"/>
        <v>1.68798669</v>
      </c>
      <c r="AU486" s="232">
        <f t="shared" si="82"/>
        <v>1.6776200999999999</v>
      </c>
      <c r="AV486" s="232">
        <f t="shared" si="82"/>
        <v>1.9697617000000001</v>
      </c>
      <c r="AW486" s="232">
        <f t="shared" si="82"/>
        <v>1.7157350699999998</v>
      </c>
      <c r="AX486" s="376"/>
      <c r="AY486" s="376"/>
    </row>
    <row r="487" spans="1:51">
      <c r="A487" s="889" t="s">
        <v>725</v>
      </c>
      <c r="B487" s="887" t="s">
        <v>1022</v>
      </c>
      <c r="D487" s="13"/>
      <c r="E487" s="13"/>
      <c r="F487" s="13"/>
      <c r="G487" s="13"/>
      <c r="H487" s="13"/>
      <c r="I487" s="13"/>
      <c r="J487" s="13"/>
      <c r="K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88">
        <f t="shared" si="52"/>
        <v>0</v>
      </c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88">
        <f t="shared" si="50"/>
        <v>0</v>
      </c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28"/>
      <c r="AY487" s="28"/>
    </row>
    <row r="488" spans="1:51">
      <c r="A488" s="889" t="s">
        <v>537</v>
      </c>
      <c r="B488" s="887" t="s">
        <v>1022</v>
      </c>
      <c r="D488" s="13"/>
      <c r="E488" s="13"/>
      <c r="F488" s="13"/>
      <c r="G488" s="13"/>
      <c r="H488" s="13"/>
      <c r="I488" s="13"/>
      <c r="J488" s="13"/>
      <c r="K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88">
        <f t="shared" si="52"/>
        <v>0</v>
      </c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88">
        <f t="shared" si="50"/>
        <v>0</v>
      </c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28"/>
      <c r="AY488" s="28"/>
    </row>
    <row r="489" spans="1:51">
      <c r="A489" s="889">
        <v>502.1</v>
      </c>
      <c r="B489" s="887" t="s">
        <v>1022</v>
      </c>
      <c r="D489" s="13"/>
      <c r="E489" s="13"/>
      <c r="F489" s="13"/>
      <c r="G489" s="13"/>
      <c r="H489" s="13"/>
      <c r="I489" s="13"/>
      <c r="J489" s="13"/>
      <c r="K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88">
        <f t="shared" si="52"/>
        <v>0</v>
      </c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88">
        <f t="shared" si="50"/>
        <v>0</v>
      </c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28"/>
      <c r="AY489" s="28"/>
    </row>
    <row r="490" spans="1:51">
      <c r="A490" s="889">
        <v>502.11</v>
      </c>
      <c r="B490" s="887" t="s">
        <v>1022</v>
      </c>
      <c r="D490" s="13"/>
      <c r="E490" s="13"/>
      <c r="F490" s="13"/>
      <c r="G490" s="13"/>
      <c r="H490" s="13"/>
      <c r="I490" s="13"/>
      <c r="J490" s="13"/>
      <c r="K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88">
        <f t="shared" si="52"/>
        <v>0</v>
      </c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88">
        <f t="shared" si="50"/>
        <v>0</v>
      </c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28"/>
      <c r="AY490" s="28"/>
    </row>
    <row r="491" spans="1:51">
      <c r="A491" s="889">
        <v>502.11</v>
      </c>
      <c r="B491" s="887" t="s">
        <v>1022</v>
      </c>
      <c r="D491" s="13"/>
      <c r="E491" s="13"/>
      <c r="F491" s="13"/>
      <c r="G491" s="13"/>
      <c r="H491" s="13"/>
      <c r="I491" s="13"/>
      <c r="J491" s="13"/>
      <c r="K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88">
        <f t="shared" si="52"/>
        <v>0</v>
      </c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88">
        <f t="shared" si="50"/>
        <v>0</v>
      </c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28"/>
      <c r="AY491" s="28"/>
    </row>
    <row r="492" spans="1:51">
      <c r="A492" s="889" t="s">
        <v>729</v>
      </c>
      <c r="B492" s="887" t="s">
        <v>1022</v>
      </c>
      <c r="D492" s="13"/>
      <c r="E492" s="13"/>
      <c r="F492" s="13"/>
      <c r="G492" s="13"/>
      <c r="H492" s="13"/>
      <c r="I492" s="13"/>
      <c r="J492" s="13"/>
      <c r="K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88">
        <f t="shared" si="52"/>
        <v>0</v>
      </c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88">
        <f t="shared" si="50"/>
        <v>0</v>
      </c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28"/>
      <c r="AY492" s="28"/>
    </row>
    <row r="493" spans="1:51">
      <c r="A493" s="889">
        <v>502.1</v>
      </c>
      <c r="B493" s="887" t="s">
        <v>1022</v>
      </c>
      <c r="D493" s="13"/>
      <c r="E493" s="13"/>
      <c r="F493" s="13"/>
      <c r="G493" s="13"/>
      <c r="H493" s="13"/>
      <c r="I493" s="13"/>
      <c r="J493" s="13"/>
      <c r="K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88">
        <f t="shared" si="52"/>
        <v>0</v>
      </c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88">
        <f t="shared" si="50"/>
        <v>0</v>
      </c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28"/>
      <c r="AY493" s="28"/>
    </row>
    <row r="494" spans="1:51">
      <c r="A494" s="889" t="s">
        <v>730</v>
      </c>
      <c r="B494" s="886" t="s">
        <v>972</v>
      </c>
      <c r="D494" s="13"/>
      <c r="E494" s="13"/>
      <c r="F494" s="13"/>
      <c r="G494" s="13"/>
      <c r="H494" s="13"/>
      <c r="I494" s="13"/>
      <c r="J494" s="13"/>
      <c r="K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88">
        <f t="shared" ref="Y494:Y508" si="83">SUM(M494:X494)</f>
        <v>0</v>
      </c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88">
        <f t="shared" si="50"/>
        <v>0</v>
      </c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28"/>
      <c r="AY494" s="28"/>
    </row>
    <row r="495" spans="1:51">
      <c r="A495" s="889" t="s">
        <v>730</v>
      </c>
      <c r="B495" s="886" t="s">
        <v>972</v>
      </c>
      <c r="D495" s="13"/>
      <c r="E495" s="13"/>
      <c r="F495" s="13"/>
      <c r="G495" s="13"/>
      <c r="H495" s="13"/>
      <c r="I495" s="13"/>
      <c r="J495" s="13"/>
      <c r="K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88">
        <f t="shared" si="83"/>
        <v>0</v>
      </c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88">
        <f t="shared" si="50"/>
        <v>0</v>
      </c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28"/>
      <c r="AY495" s="28"/>
    </row>
    <row r="496" spans="1:51">
      <c r="A496" s="889" t="s">
        <v>730</v>
      </c>
      <c r="B496" s="886" t="s">
        <v>972</v>
      </c>
      <c r="D496" s="13"/>
      <c r="E496" s="13"/>
      <c r="F496" s="13"/>
      <c r="G496" s="13"/>
      <c r="H496" s="13"/>
      <c r="I496" s="13"/>
      <c r="J496" s="13"/>
      <c r="K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88">
        <f t="shared" si="83"/>
        <v>0</v>
      </c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88">
        <f t="shared" ref="AL496:AL559" si="84">SUM(Z496:AK496)</f>
        <v>0</v>
      </c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28"/>
      <c r="AY496" s="28"/>
    </row>
    <row r="497" spans="1:51">
      <c r="A497" s="889" t="s">
        <v>730</v>
      </c>
      <c r="B497" s="886" t="s">
        <v>972</v>
      </c>
      <c r="D497" s="13"/>
      <c r="E497" s="13"/>
      <c r="F497" s="13"/>
      <c r="G497" s="13"/>
      <c r="H497" s="13"/>
      <c r="I497" s="13"/>
      <c r="J497" s="13"/>
      <c r="K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88">
        <f t="shared" si="83"/>
        <v>0</v>
      </c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88">
        <f t="shared" si="84"/>
        <v>0</v>
      </c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28"/>
      <c r="AY497" s="28"/>
    </row>
    <row r="498" spans="1:51">
      <c r="A498" s="889" t="s">
        <v>732</v>
      </c>
      <c r="B498" s="886" t="s">
        <v>973</v>
      </c>
      <c r="D498" s="13"/>
      <c r="E498" s="13"/>
      <c r="F498" s="13"/>
      <c r="G498" s="13"/>
      <c r="H498" s="13"/>
      <c r="I498" s="13"/>
      <c r="J498" s="13"/>
      <c r="K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88">
        <f t="shared" si="83"/>
        <v>0</v>
      </c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88">
        <f t="shared" si="84"/>
        <v>0</v>
      </c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28"/>
      <c r="AY498" s="28"/>
    </row>
    <row r="499" spans="1:51">
      <c r="A499" s="889">
        <v>506.1</v>
      </c>
      <c r="B499" s="886" t="s">
        <v>973</v>
      </c>
      <c r="D499" s="13"/>
      <c r="E499" s="13"/>
      <c r="F499" s="13"/>
      <c r="G499" s="13"/>
      <c r="H499" s="13"/>
      <c r="I499" s="13"/>
      <c r="J499" s="13"/>
      <c r="K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88">
        <f t="shared" si="83"/>
        <v>0</v>
      </c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88">
        <f t="shared" si="84"/>
        <v>0</v>
      </c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28"/>
      <c r="AY499" s="28"/>
    </row>
    <row r="500" spans="1:51">
      <c r="A500" s="889" t="s">
        <v>734</v>
      </c>
      <c r="B500" s="886" t="s">
        <v>973</v>
      </c>
      <c r="D500" s="13"/>
      <c r="E500" s="13"/>
      <c r="F500" s="13"/>
      <c r="G500" s="13"/>
      <c r="H500" s="13"/>
      <c r="I500" s="13"/>
      <c r="J500" s="13"/>
      <c r="K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88">
        <f t="shared" si="83"/>
        <v>0</v>
      </c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88">
        <f t="shared" si="84"/>
        <v>0</v>
      </c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28"/>
      <c r="AY500" s="28"/>
    </row>
    <row r="501" spans="1:51">
      <c r="A501" s="889" t="s">
        <v>70</v>
      </c>
      <c r="B501" s="886" t="s">
        <v>974</v>
      </c>
      <c r="D501" s="13"/>
      <c r="E501" s="13"/>
      <c r="F501" s="13"/>
      <c r="G501" s="13"/>
      <c r="H501" s="13"/>
      <c r="I501" s="13"/>
      <c r="J501" s="13"/>
      <c r="K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88">
        <f t="shared" si="83"/>
        <v>0</v>
      </c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88">
        <f t="shared" si="84"/>
        <v>0</v>
      </c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28"/>
      <c r="AY501" s="28"/>
    </row>
    <row r="502" spans="1:51">
      <c r="A502" s="889">
        <v>510</v>
      </c>
      <c r="B502" s="886" t="s">
        <v>975</v>
      </c>
      <c r="D502" s="13"/>
      <c r="E502" s="13"/>
      <c r="F502" s="13"/>
      <c r="G502" s="13"/>
      <c r="H502" s="13"/>
      <c r="I502" s="13"/>
      <c r="J502" s="13"/>
      <c r="K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88">
        <f t="shared" si="83"/>
        <v>0</v>
      </c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88">
        <f t="shared" si="84"/>
        <v>0</v>
      </c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28"/>
      <c r="AY502" s="28"/>
    </row>
    <row r="503" spans="1:51">
      <c r="A503" s="889">
        <v>511.1</v>
      </c>
      <c r="B503" s="886" t="s">
        <v>103</v>
      </c>
      <c r="D503" s="13"/>
      <c r="E503" s="13"/>
      <c r="F503" s="13"/>
      <c r="G503" s="13"/>
      <c r="H503" s="13"/>
      <c r="I503" s="13"/>
      <c r="J503" s="13"/>
      <c r="K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88">
        <f t="shared" si="83"/>
        <v>0</v>
      </c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88">
        <f t="shared" si="84"/>
        <v>0</v>
      </c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28"/>
      <c r="AY503" s="28"/>
    </row>
    <row r="504" spans="1:51">
      <c r="A504" s="889">
        <v>511.1</v>
      </c>
      <c r="B504" s="886" t="s">
        <v>104</v>
      </c>
      <c r="D504" s="13"/>
      <c r="E504" s="13"/>
      <c r="F504" s="13"/>
      <c r="G504" s="13"/>
      <c r="H504" s="13"/>
      <c r="I504" s="13"/>
      <c r="J504" s="13"/>
      <c r="K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88">
        <f t="shared" si="83"/>
        <v>0</v>
      </c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88">
        <f t="shared" si="84"/>
        <v>0</v>
      </c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28"/>
      <c r="AY504" s="28"/>
    </row>
    <row r="505" spans="1:51">
      <c r="A505" s="889" t="s">
        <v>737</v>
      </c>
      <c r="B505" s="886" t="s">
        <v>976</v>
      </c>
      <c r="D505" s="13"/>
      <c r="E505" s="13"/>
      <c r="F505" s="13"/>
      <c r="G505" s="13"/>
      <c r="H505" s="13"/>
      <c r="I505" s="13"/>
      <c r="J505" s="13"/>
      <c r="K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88">
        <f t="shared" si="83"/>
        <v>0</v>
      </c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88">
        <f t="shared" si="84"/>
        <v>0</v>
      </c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28"/>
      <c r="AY505" s="28"/>
    </row>
    <row r="506" spans="1:51">
      <c r="A506" s="889" t="s">
        <v>737</v>
      </c>
      <c r="B506" s="886" t="s">
        <v>976</v>
      </c>
      <c r="D506" s="13"/>
      <c r="E506" s="13"/>
      <c r="F506" s="13"/>
      <c r="G506" s="13"/>
      <c r="H506" s="13"/>
      <c r="I506" s="13"/>
      <c r="J506" s="13"/>
      <c r="K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88">
        <f t="shared" si="83"/>
        <v>0</v>
      </c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88">
        <f t="shared" si="84"/>
        <v>0</v>
      </c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28"/>
      <c r="AY506" s="28"/>
    </row>
    <row r="507" spans="1:51">
      <c r="A507" s="889" t="s">
        <v>737</v>
      </c>
      <c r="B507" s="886" t="s">
        <v>976</v>
      </c>
      <c r="D507" s="13"/>
      <c r="E507" s="13"/>
      <c r="F507" s="13"/>
      <c r="G507" s="13"/>
      <c r="H507" s="13"/>
      <c r="I507" s="13"/>
      <c r="J507" s="13"/>
      <c r="K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88">
        <f t="shared" si="83"/>
        <v>0</v>
      </c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88">
        <f t="shared" si="84"/>
        <v>0</v>
      </c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28"/>
      <c r="AY507" s="28"/>
    </row>
    <row r="508" spans="1:51">
      <c r="A508" s="889">
        <v>512.11</v>
      </c>
      <c r="B508" s="887" t="s">
        <v>976</v>
      </c>
      <c r="D508" s="13"/>
      <c r="E508" s="13"/>
      <c r="F508" s="13"/>
      <c r="G508" s="13"/>
      <c r="H508" s="13"/>
      <c r="I508" s="13"/>
      <c r="J508" s="13"/>
      <c r="K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88">
        <f t="shared" si="83"/>
        <v>0</v>
      </c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88">
        <f t="shared" si="84"/>
        <v>0</v>
      </c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28"/>
      <c r="AY508" s="28"/>
    </row>
    <row r="509" spans="1:51">
      <c r="A509" s="889" t="s">
        <v>741</v>
      </c>
      <c r="B509" s="886" t="s">
        <v>977</v>
      </c>
      <c r="D509" s="13"/>
      <c r="E509" s="13"/>
      <c r="F509" s="13"/>
      <c r="G509" s="13"/>
      <c r="H509" s="13"/>
      <c r="I509" s="13"/>
      <c r="J509" s="13"/>
      <c r="K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88">
        <f t="shared" ref="Y509:Y569" si="85">SUM(M509:X509)</f>
        <v>0</v>
      </c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88">
        <f t="shared" si="84"/>
        <v>0</v>
      </c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28"/>
      <c r="AY509" s="28"/>
    </row>
    <row r="510" spans="1:51">
      <c r="A510" s="889">
        <v>513.1</v>
      </c>
      <c r="B510" s="886" t="s">
        <v>977</v>
      </c>
      <c r="D510" s="13"/>
      <c r="E510" s="13"/>
      <c r="F510" s="13"/>
      <c r="G510" s="13"/>
      <c r="H510" s="13"/>
      <c r="I510" s="13"/>
      <c r="J510" s="13"/>
      <c r="K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88">
        <f t="shared" si="85"/>
        <v>0</v>
      </c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88">
        <f t="shared" si="84"/>
        <v>0</v>
      </c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28"/>
      <c r="AY510" s="28"/>
    </row>
    <row r="511" spans="1:51">
      <c r="A511" s="889">
        <v>514.1</v>
      </c>
      <c r="B511" s="886" t="s">
        <v>978</v>
      </c>
      <c r="D511" s="13"/>
      <c r="E511" s="13"/>
      <c r="F511" s="13"/>
      <c r="G511" s="13"/>
      <c r="H511" s="13"/>
      <c r="I511" s="13"/>
      <c r="J511" s="13"/>
      <c r="K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88">
        <f t="shared" si="85"/>
        <v>0</v>
      </c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88">
        <f t="shared" si="84"/>
        <v>0</v>
      </c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28"/>
      <c r="AY511" s="28"/>
    </row>
    <row r="512" spans="1:51">
      <c r="A512" s="889">
        <v>514.1</v>
      </c>
      <c r="B512" s="886" t="s">
        <v>978</v>
      </c>
      <c r="D512" s="13"/>
      <c r="E512" s="13"/>
      <c r="F512" s="13"/>
      <c r="G512" s="13"/>
      <c r="H512" s="13"/>
      <c r="I512" s="13"/>
      <c r="J512" s="13"/>
      <c r="K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88">
        <f t="shared" si="85"/>
        <v>0</v>
      </c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88">
        <f t="shared" si="84"/>
        <v>0</v>
      </c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28"/>
      <c r="AY512" s="28"/>
    </row>
    <row r="513" spans="1:51">
      <c r="A513" s="889">
        <v>514.1</v>
      </c>
      <c r="B513" s="886" t="s">
        <v>978</v>
      </c>
      <c r="D513" s="13"/>
      <c r="E513" s="13"/>
      <c r="F513" s="13"/>
      <c r="G513" s="13"/>
      <c r="H513" s="13"/>
      <c r="I513" s="13"/>
      <c r="J513" s="13"/>
      <c r="K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88">
        <f t="shared" si="85"/>
        <v>0</v>
      </c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88">
        <f t="shared" si="84"/>
        <v>0</v>
      </c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28"/>
      <c r="AY513" s="28"/>
    </row>
    <row r="514" spans="1:51">
      <c r="A514" s="889">
        <v>548.1</v>
      </c>
      <c r="B514" s="886" t="s">
        <v>979</v>
      </c>
      <c r="D514" s="13"/>
      <c r="E514" s="13"/>
      <c r="F514" s="13"/>
      <c r="G514" s="13"/>
      <c r="H514" s="13"/>
      <c r="I514" s="13"/>
      <c r="J514" s="13"/>
      <c r="K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88">
        <f t="shared" si="85"/>
        <v>0</v>
      </c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88">
        <f t="shared" si="84"/>
        <v>0</v>
      </c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28"/>
      <c r="AY514" s="28"/>
    </row>
    <row r="515" spans="1:51">
      <c r="A515" s="889" t="s">
        <v>83</v>
      </c>
      <c r="B515" s="886" t="s">
        <v>84</v>
      </c>
      <c r="D515" s="13"/>
      <c r="E515" s="13"/>
      <c r="F515" s="13"/>
      <c r="G515" s="13"/>
      <c r="H515" s="13"/>
      <c r="I515" s="13"/>
      <c r="J515" s="13"/>
      <c r="K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88">
        <f t="shared" si="85"/>
        <v>0</v>
      </c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88">
        <f t="shared" si="84"/>
        <v>0</v>
      </c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28"/>
      <c r="AY515" s="28"/>
    </row>
    <row r="516" spans="1:51">
      <c r="A516" s="889" t="s">
        <v>546</v>
      </c>
      <c r="B516" s="886" t="s">
        <v>89</v>
      </c>
      <c r="D516" s="232">
        <f>D48+D49</f>
        <v>0</v>
      </c>
      <c r="E516" s="232">
        <f>E48+E49</f>
        <v>0</v>
      </c>
      <c r="F516" s="232">
        <f>F48+F49</f>
        <v>0</v>
      </c>
      <c r="G516" s="232">
        <f>G48+G49</f>
        <v>0</v>
      </c>
      <c r="H516" s="232">
        <f>H48+H49</f>
        <v>0</v>
      </c>
      <c r="I516" s="232"/>
      <c r="J516" s="232"/>
      <c r="K516" s="232"/>
      <c r="M516" s="232">
        <f t="shared" ref="M516:X516" si="86">M48+M49</f>
        <v>3.8727877852551429</v>
      </c>
      <c r="N516" s="232">
        <f t="shared" si="86"/>
        <v>3.4909667155437432</v>
      </c>
      <c r="O516" s="232">
        <f t="shared" si="86"/>
        <v>3.8031821993325585</v>
      </c>
      <c r="P516" s="232">
        <f t="shared" si="86"/>
        <v>1.4429524991244074</v>
      </c>
      <c r="Q516" s="232">
        <f t="shared" si="86"/>
        <v>2.5900935056949481</v>
      </c>
      <c r="R516" s="232">
        <f t="shared" si="86"/>
        <v>3.5856488775097728</v>
      </c>
      <c r="S516" s="232">
        <f t="shared" si="86"/>
        <v>3.7588196850767241</v>
      </c>
      <c r="T516" s="232">
        <f t="shared" si="86"/>
        <v>3.6772008833428718</v>
      </c>
      <c r="U516" s="232">
        <f t="shared" si="86"/>
        <v>3.6253485370675151</v>
      </c>
      <c r="V516" s="232">
        <f t="shared" si="86"/>
        <v>3.9685718328071582</v>
      </c>
      <c r="W516" s="232">
        <f t="shared" si="86"/>
        <v>3.8490678976655106</v>
      </c>
      <c r="X516" s="232">
        <f t="shared" si="86"/>
        <v>3.9081770682938712</v>
      </c>
      <c r="Y516" s="88">
        <f t="shared" si="85"/>
        <v>41.572817486714229</v>
      </c>
      <c r="Z516" s="232">
        <f t="shared" ref="Z516:AK516" si="87">Z48+Z49</f>
        <v>3.8067941647946864</v>
      </c>
      <c r="AA516" s="232">
        <f t="shared" si="87"/>
        <v>3.4667418096771065</v>
      </c>
      <c r="AB516" s="232">
        <f t="shared" si="87"/>
        <v>3.8768479414083101</v>
      </c>
      <c r="AC516" s="232">
        <f t="shared" si="87"/>
        <v>3.4745280659210409</v>
      </c>
      <c r="AD516" s="232">
        <f t="shared" si="87"/>
        <v>2.6157731462914384</v>
      </c>
      <c r="AE516" s="232">
        <f t="shared" si="87"/>
        <v>3.5651067780198411</v>
      </c>
      <c r="AF516" s="232">
        <f t="shared" si="87"/>
        <v>3.7303556115400065</v>
      </c>
      <c r="AG516" s="232">
        <f t="shared" si="87"/>
        <v>3.648059726571582</v>
      </c>
      <c r="AH516" s="232">
        <f t="shared" si="87"/>
        <v>3.6337794117537547</v>
      </c>
      <c r="AI516" s="232">
        <f t="shared" si="87"/>
        <v>4.0139815997710286</v>
      </c>
      <c r="AJ516" s="232">
        <f t="shared" si="87"/>
        <v>3.8266595332818385</v>
      </c>
      <c r="AK516" s="232">
        <f t="shared" si="87"/>
        <v>3.8756462473803075</v>
      </c>
      <c r="AL516" s="88">
        <f t="shared" si="84"/>
        <v>43.534274036410942</v>
      </c>
      <c r="AM516" s="232">
        <f t="shared" ref="AM516:AW516" si="88">AM48+AM49</f>
        <v>45.813472073081982</v>
      </c>
      <c r="AN516" s="232">
        <f t="shared" si="88"/>
        <v>46.606771865026374</v>
      </c>
      <c r="AO516" s="232">
        <f t="shared" si="88"/>
        <v>48.738192741525481</v>
      </c>
      <c r="AP516" s="232">
        <f t="shared" si="88"/>
        <v>48.32826345265417</v>
      </c>
      <c r="AQ516" s="232">
        <f t="shared" si="88"/>
        <v>53.602509994867354</v>
      </c>
      <c r="AR516" s="232">
        <f t="shared" si="88"/>
        <v>58.096914977998985</v>
      </c>
      <c r="AS516" s="232">
        <f t="shared" si="88"/>
        <v>53.469452625096949</v>
      </c>
      <c r="AT516" s="232">
        <f t="shared" si="88"/>
        <v>61.595599640282479</v>
      </c>
      <c r="AU516" s="232">
        <f t="shared" si="88"/>
        <v>64.334351124912388</v>
      </c>
      <c r="AV516" s="232">
        <f t="shared" si="88"/>
        <v>66.219927800397343</v>
      </c>
      <c r="AW516" s="232">
        <f t="shared" si="88"/>
        <v>70.710211165725781</v>
      </c>
      <c r="AX516" s="376"/>
      <c r="AY516" s="376"/>
    </row>
    <row r="517" spans="1:51">
      <c r="A517" s="889" t="s">
        <v>548</v>
      </c>
      <c r="B517" s="886" t="s">
        <v>90</v>
      </c>
      <c r="D517" s="13"/>
      <c r="E517" s="13"/>
      <c r="F517" s="13"/>
      <c r="G517" s="13"/>
      <c r="H517" s="13"/>
      <c r="I517" s="13"/>
      <c r="J517" s="13"/>
      <c r="K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88">
        <f t="shared" si="85"/>
        <v>0</v>
      </c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88">
        <f t="shared" si="84"/>
        <v>0</v>
      </c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28"/>
      <c r="AY517" s="28"/>
    </row>
    <row r="518" spans="1:51">
      <c r="A518" s="889" t="s">
        <v>646</v>
      </c>
      <c r="B518" s="886" t="s">
        <v>91</v>
      </c>
      <c r="D518" s="13"/>
      <c r="E518" s="13"/>
      <c r="F518" s="13"/>
      <c r="G518" s="13"/>
      <c r="H518" s="13"/>
      <c r="I518" s="13"/>
      <c r="J518" s="13"/>
      <c r="K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88">
        <f t="shared" si="85"/>
        <v>0</v>
      </c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88">
        <f t="shared" si="84"/>
        <v>0</v>
      </c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28"/>
      <c r="AY518" s="28"/>
    </row>
    <row r="519" spans="1:51">
      <c r="A519" s="889" t="s">
        <v>92</v>
      </c>
      <c r="B519" s="886" t="s">
        <v>93</v>
      </c>
      <c r="D519" s="13"/>
      <c r="E519" s="13"/>
      <c r="F519" s="13"/>
      <c r="G519" s="13"/>
      <c r="H519" s="13"/>
      <c r="I519" s="13"/>
      <c r="J519" s="13"/>
      <c r="K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88">
        <f t="shared" si="85"/>
        <v>0</v>
      </c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88">
        <f t="shared" si="84"/>
        <v>0</v>
      </c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28"/>
      <c r="AY519" s="28"/>
    </row>
    <row r="520" spans="1:51">
      <c r="A520" s="889" t="s">
        <v>647</v>
      </c>
      <c r="B520" s="886" t="s">
        <v>94</v>
      </c>
      <c r="D520" s="13"/>
      <c r="E520" s="13"/>
      <c r="F520" s="13"/>
      <c r="G520" s="13"/>
      <c r="H520" s="13"/>
      <c r="I520" s="13"/>
      <c r="J520" s="13"/>
      <c r="K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88">
        <f t="shared" si="85"/>
        <v>0</v>
      </c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88">
        <f t="shared" si="84"/>
        <v>0</v>
      </c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28"/>
      <c r="AY520" s="28"/>
    </row>
    <row r="521" spans="1:51" s="569" customFormat="1">
      <c r="A521" s="889">
        <v>557.35</v>
      </c>
      <c r="B521" s="886" t="s">
        <v>1010</v>
      </c>
      <c r="C521" s="165"/>
      <c r="D521" s="13"/>
      <c r="E521" s="13"/>
      <c r="F521" s="13"/>
      <c r="G521" s="13"/>
      <c r="H521" s="13"/>
      <c r="I521" s="13"/>
      <c r="J521" s="13"/>
      <c r="K521" s="13"/>
      <c r="L521" s="88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88">
        <f t="shared" si="85"/>
        <v>0</v>
      </c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88">
        <f t="shared" si="84"/>
        <v>0</v>
      </c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28"/>
      <c r="AY521" s="28"/>
    </row>
    <row r="522" spans="1:51">
      <c r="A522" s="889" t="s">
        <v>744</v>
      </c>
      <c r="B522" s="886" t="s">
        <v>980</v>
      </c>
      <c r="D522" s="13"/>
      <c r="E522" s="13"/>
      <c r="F522" s="13"/>
      <c r="G522" s="13"/>
      <c r="H522" s="13"/>
      <c r="I522" s="13"/>
      <c r="J522" s="13"/>
      <c r="K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88">
        <f t="shared" si="85"/>
        <v>0</v>
      </c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88">
        <f t="shared" si="84"/>
        <v>0</v>
      </c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28"/>
      <c r="AY522" s="28"/>
    </row>
    <row r="523" spans="1:51">
      <c r="A523" s="889">
        <v>560.1</v>
      </c>
      <c r="B523" s="886" t="s">
        <v>980</v>
      </c>
      <c r="D523" s="13"/>
      <c r="E523" s="13"/>
      <c r="F523" s="13"/>
      <c r="G523" s="13"/>
      <c r="H523" s="13"/>
      <c r="I523" s="13"/>
      <c r="J523" s="13"/>
      <c r="K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88">
        <f t="shared" si="85"/>
        <v>0</v>
      </c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88">
        <f t="shared" si="84"/>
        <v>0</v>
      </c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28"/>
      <c r="AY523" s="28"/>
    </row>
    <row r="524" spans="1:51">
      <c r="A524" s="889" t="s">
        <v>746</v>
      </c>
      <c r="B524" s="886" t="s">
        <v>981</v>
      </c>
      <c r="D524" s="13"/>
      <c r="E524" s="13"/>
      <c r="F524" s="13"/>
      <c r="G524" s="13"/>
      <c r="H524" s="13"/>
      <c r="I524" s="13"/>
      <c r="J524" s="13"/>
      <c r="K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88">
        <f t="shared" si="85"/>
        <v>0</v>
      </c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88">
        <f t="shared" si="84"/>
        <v>0</v>
      </c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28"/>
      <c r="AY524" s="28"/>
    </row>
    <row r="525" spans="1:51">
      <c r="A525" s="889" t="s">
        <v>751</v>
      </c>
      <c r="B525" s="886" t="s">
        <v>982</v>
      </c>
      <c r="D525" s="13"/>
      <c r="E525" s="13"/>
      <c r="F525" s="13"/>
      <c r="G525" s="13"/>
      <c r="H525" s="13"/>
      <c r="I525" s="13"/>
      <c r="J525" s="13"/>
      <c r="K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88">
        <f t="shared" si="85"/>
        <v>0</v>
      </c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88">
        <f t="shared" si="84"/>
        <v>0</v>
      </c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28"/>
      <c r="AY525" s="28"/>
    </row>
    <row r="526" spans="1:51">
      <c r="A526" s="889">
        <v>561.1</v>
      </c>
      <c r="B526" s="886" t="s">
        <v>982</v>
      </c>
      <c r="D526" s="13"/>
      <c r="E526" s="13"/>
      <c r="F526" s="13"/>
      <c r="G526" s="13"/>
      <c r="H526" s="13"/>
      <c r="I526" s="13"/>
      <c r="J526" s="13"/>
      <c r="K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88">
        <f t="shared" si="85"/>
        <v>0</v>
      </c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88">
        <f t="shared" si="84"/>
        <v>0</v>
      </c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28"/>
      <c r="AY526" s="28"/>
    </row>
    <row r="527" spans="1:51">
      <c r="A527" s="889">
        <v>561.4</v>
      </c>
      <c r="B527" s="886" t="s">
        <v>869</v>
      </c>
      <c r="D527" s="13"/>
      <c r="E527" s="13"/>
      <c r="F527" s="13"/>
      <c r="G527" s="13"/>
      <c r="H527" s="13"/>
      <c r="I527" s="13"/>
      <c r="J527" s="13"/>
      <c r="K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88">
        <f t="shared" si="85"/>
        <v>0</v>
      </c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88">
        <f t="shared" si="84"/>
        <v>0</v>
      </c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28"/>
      <c r="AY527" s="28"/>
    </row>
    <row r="528" spans="1:51">
      <c r="A528" s="889">
        <v>561.79999999999995</v>
      </c>
      <c r="B528" s="886" t="s">
        <v>869</v>
      </c>
      <c r="D528" s="13"/>
      <c r="E528" s="13"/>
      <c r="F528" s="13"/>
      <c r="G528" s="13"/>
      <c r="H528" s="13"/>
      <c r="I528" s="13"/>
      <c r="J528" s="13"/>
      <c r="K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88">
        <f t="shared" si="85"/>
        <v>0</v>
      </c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88">
        <f t="shared" si="84"/>
        <v>0</v>
      </c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28"/>
      <c r="AY528" s="28"/>
    </row>
    <row r="529" spans="1:51">
      <c r="A529" s="889" t="s">
        <v>753</v>
      </c>
      <c r="B529" s="886" t="s">
        <v>983</v>
      </c>
      <c r="D529" s="13"/>
      <c r="E529" s="13"/>
      <c r="F529" s="13"/>
      <c r="G529" s="13"/>
      <c r="H529" s="13"/>
      <c r="I529" s="13"/>
      <c r="J529" s="13"/>
      <c r="K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88">
        <f t="shared" si="85"/>
        <v>0</v>
      </c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88">
        <f t="shared" si="84"/>
        <v>0</v>
      </c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28"/>
      <c r="AY529" s="28"/>
    </row>
    <row r="530" spans="1:51">
      <c r="A530" s="889">
        <v>562.1</v>
      </c>
      <c r="B530" s="886" t="s">
        <v>983</v>
      </c>
      <c r="D530" s="13"/>
      <c r="E530" s="13"/>
      <c r="F530" s="13"/>
      <c r="G530" s="13"/>
      <c r="H530" s="13"/>
      <c r="I530" s="13"/>
      <c r="J530" s="13"/>
      <c r="K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88">
        <f t="shared" si="85"/>
        <v>0</v>
      </c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88">
        <f t="shared" si="84"/>
        <v>0</v>
      </c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28"/>
      <c r="AY530" s="28"/>
    </row>
    <row r="531" spans="1:51">
      <c r="A531" s="889" t="s">
        <v>755</v>
      </c>
      <c r="B531" s="886" t="s">
        <v>984</v>
      </c>
      <c r="D531" s="13"/>
      <c r="E531" s="13"/>
      <c r="F531" s="13"/>
      <c r="G531" s="13"/>
      <c r="H531" s="13"/>
      <c r="I531" s="13"/>
      <c r="J531" s="13"/>
      <c r="K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88">
        <f t="shared" si="85"/>
        <v>0</v>
      </c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88">
        <f t="shared" si="84"/>
        <v>0</v>
      </c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28"/>
      <c r="AY531" s="28"/>
    </row>
    <row r="532" spans="1:51">
      <c r="A532" s="889">
        <v>563.1</v>
      </c>
      <c r="B532" s="886" t="s">
        <v>984</v>
      </c>
      <c r="D532" s="13"/>
      <c r="E532" s="13"/>
      <c r="F532" s="13"/>
      <c r="G532" s="13"/>
      <c r="H532" s="13"/>
      <c r="I532" s="13"/>
      <c r="J532" s="13"/>
      <c r="K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88">
        <f t="shared" si="85"/>
        <v>0</v>
      </c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88">
        <f t="shared" si="84"/>
        <v>0</v>
      </c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28"/>
      <c r="AY532" s="28"/>
    </row>
    <row r="533" spans="1:51">
      <c r="A533" s="889" t="s">
        <v>649</v>
      </c>
      <c r="B533" s="886" t="s">
        <v>99</v>
      </c>
      <c r="D533" s="13"/>
      <c r="E533" s="13"/>
      <c r="F533" s="13"/>
      <c r="G533" s="13"/>
      <c r="H533" s="13"/>
      <c r="I533" s="13"/>
      <c r="J533" s="13"/>
      <c r="K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88">
        <f t="shared" si="85"/>
        <v>0</v>
      </c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88">
        <f t="shared" si="84"/>
        <v>0</v>
      </c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28"/>
      <c r="AY533" s="28"/>
    </row>
    <row r="534" spans="1:51">
      <c r="A534" s="889" t="s">
        <v>757</v>
      </c>
      <c r="B534" s="886" t="s">
        <v>985</v>
      </c>
      <c r="D534" s="13"/>
      <c r="E534" s="13"/>
      <c r="F534" s="13"/>
      <c r="G534" s="13"/>
      <c r="H534" s="13"/>
      <c r="I534" s="13"/>
      <c r="J534" s="13"/>
      <c r="K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88">
        <f t="shared" si="85"/>
        <v>0</v>
      </c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88">
        <f t="shared" si="84"/>
        <v>0</v>
      </c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28"/>
      <c r="AY534" s="28"/>
    </row>
    <row r="535" spans="1:51">
      <c r="A535" s="889">
        <v>566.1</v>
      </c>
      <c r="B535" s="886" t="s">
        <v>985</v>
      </c>
      <c r="D535" s="13"/>
      <c r="E535" s="13"/>
      <c r="F535" s="13"/>
      <c r="G535" s="13"/>
      <c r="H535" s="13"/>
      <c r="I535" s="13"/>
      <c r="J535" s="13"/>
      <c r="K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88">
        <f t="shared" si="85"/>
        <v>0</v>
      </c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88">
        <f t="shared" si="84"/>
        <v>0</v>
      </c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28"/>
      <c r="AY535" s="28"/>
    </row>
    <row r="536" spans="1:51">
      <c r="A536" s="889" t="s">
        <v>794</v>
      </c>
      <c r="B536" s="886" t="s">
        <v>986</v>
      </c>
      <c r="D536" s="13"/>
      <c r="E536" s="13"/>
      <c r="F536" s="13"/>
      <c r="G536" s="13"/>
      <c r="H536" s="13"/>
      <c r="I536" s="13"/>
      <c r="J536" s="13"/>
      <c r="K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88">
        <f t="shared" si="85"/>
        <v>0</v>
      </c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88">
        <f t="shared" si="84"/>
        <v>0</v>
      </c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28"/>
      <c r="AY536" s="28"/>
    </row>
    <row r="537" spans="1:51">
      <c r="A537" s="889">
        <v>566.20000000000005</v>
      </c>
      <c r="B537" s="886" t="s">
        <v>986</v>
      </c>
      <c r="D537" s="13"/>
      <c r="E537" s="13"/>
      <c r="F537" s="13"/>
      <c r="G537" s="13"/>
      <c r="H537" s="13"/>
      <c r="I537" s="13"/>
      <c r="J537" s="13"/>
      <c r="K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88">
        <f t="shared" si="85"/>
        <v>0</v>
      </c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88">
        <f t="shared" si="84"/>
        <v>0</v>
      </c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28"/>
      <c r="AY537" s="28"/>
    </row>
    <row r="538" spans="1:51">
      <c r="A538" s="889" t="s">
        <v>100</v>
      </c>
      <c r="B538" s="886" t="s">
        <v>101</v>
      </c>
      <c r="D538" s="13"/>
      <c r="E538" s="13"/>
      <c r="F538" s="13"/>
      <c r="G538" s="13"/>
      <c r="H538" s="13"/>
      <c r="I538" s="13"/>
      <c r="J538" s="13"/>
      <c r="K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88">
        <f t="shared" si="85"/>
        <v>0</v>
      </c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88">
        <f t="shared" si="84"/>
        <v>0</v>
      </c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28"/>
      <c r="AY538" s="28"/>
    </row>
    <row r="539" spans="1:51">
      <c r="A539" s="889" t="s">
        <v>796</v>
      </c>
      <c r="B539" s="886" t="s">
        <v>987</v>
      </c>
      <c r="D539" s="13"/>
      <c r="E539" s="13"/>
      <c r="F539" s="13"/>
      <c r="G539" s="13"/>
      <c r="H539" s="13"/>
      <c r="I539" s="13"/>
      <c r="J539" s="13"/>
      <c r="K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88">
        <f t="shared" si="85"/>
        <v>0</v>
      </c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88">
        <f t="shared" si="84"/>
        <v>0</v>
      </c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28"/>
      <c r="AY539" s="28"/>
    </row>
    <row r="540" spans="1:51">
      <c r="A540" s="889">
        <v>568.1</v>
      </c>
      <c r="B540" s="886" t="s">
        <v>987</v>
      </c>
      <c r="D540" s="13"/>
      <c r="E540" s="13"/>
      <c r="F540" s="13"/>
      <c r="G540" s="13"/>
      <c r="H540" s="13"/>
      <c r="I540" s="13"/>
      <c r="J540" s="13"/>
      <c r="K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88">
        <f t="shared" si="85"/>
        <v>0</v>
      </c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88">
        <f t="shared" si="84"/>
        <v>0</v>
      </c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28"/>
      <c r="AY540" s="28"/>
    </row>
    <row r="541" spans="1:51">
      <c r="A541" s="889" t="s">
        <v>798</v>
      </c>
      <c r="B541" s="886" t="s">
        <v>988</v>
      </c>
      <c r="D541" s="13"/>
      <c r="E541" s="13"/>
      <c r="F541" s="13"/>
      <c r="G541" s="13"/>
      <c r="H541" s="13"/>
      <c r="I541" s="13"/>
      <c r="J541" s="13"/>
      <c r="K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88">
        <f t="shared" si="85"/>
        <v>0</v>
      </c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88">
        <f t="shared" si="84"/>
        <v>0</v>
      </c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28"/>
      <c r="AY541" s="28"/>
    </row>
    <row r="542" spans="1:51">
      <c r="A542" s="889" t="s">
        <v>102</v>
      </c>
      <c r="B542" s="886" t="s">
        <v>989</v>
      </c>
      <c r="D542" s="13"/>
      <c r="E542" s="13"/>
      <c r="F542" s="13"/>
      <c r="G542" s="13"/>
      <c r="H542" s="13"/>
      <c r="I542" s="13"/>
      <c r="J542" s="13"/>
      <c r="K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88">
        <f t="shared" si="85"/>
        <v>0</v>
      </c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88">
        <f t="shared" si="84"/>
        <v>0</v>
      </c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28"/>
      <c r="AY542" s="28"/>
    </row>
    <row r="543" spans="1:51">
      <c r="A543" s="889">
        <v>569.1</v>
      </c>
      <c r="B543" s="886" t="s">
        <v>989</v>
      </c>
      <c r="D543" s="13"/>
      <c r="E543" s="13"/>
      <c r="F543" s="13"/>
      <c r="G543" s="13"/>
      <c r="H543" s="13"/>
      <c r="I543" s="13"/>
      <c r="J543" s="13"/>
      <c r="K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88">
        <f t="shared" si="85"/>
        <v>0</v>
      </c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88">
        <f t="shared" si="84"/>
        <v>0</v>
      </c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28"/>
      <c r="AY543" s="28"/>
    </row>
    <row r="544" spans="1:51">
      <c r="A544" s="889" t="s">
        <v>800</v>
      </c>
      <c r="B544" s="886" t="s">
        <v>990</v>
      </c>
      <c r="D544" s="13"/>
      <c r="E544" s="13"/>
      <c r="F544" s="13"/>
      <c r="G544" s="13"/>
      <c r="H544" s="13"/>
      <c r="I544" s="13"/>
      <c r="J544" s="13"/>
      <c r="K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88">
        <f t="shared" si="85"/>
        <v>0</v>
      </c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88">
        <f t="shared" si="84"/>
        <v>0</v>
      </c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28"/>
      <c r="AY544" s="28"/>
    </row>
    <row r="545" spans="1:51">
      <c r="A545" s="889">
        <v>570.1</v>
      </c>
      <c r="B545" s="886" t="s">
        <v>990</v>
      </c>
      <c r="D545" s="13"/>
      <c r="E545" s="13"/>
      <c r="F545" s="13"/>
      <c r="G545" s="13"/>
      <c r="H545" s="13"/>
      <c r="I545" s="13"/>
      <c r="J545" s="13"/>
      <c r="K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88">
        <f t="shared" si="85"/>
        <v>0</v>
      </c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88">
        <f t="shared" si="84"/>
        <v>0</v>
      </c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28"/>
      <c r="AY545" s="28"/>
    </row>
    <row r="546" spans="1:51">
      <c r="A546" s="889" t="s">
        <v>802</v>
      </c>
      <c r="B546" s="886" t="s">
        <v>991</v>
      </c>
      <c r="D546" s="13"/>
      <c r="E546" s="13"/>
      <c r="F546" s="13"/>
      <c r="G546" s="13"/>
      <c r="H546" s="13"/>
      <c r="I546" s="13"/>
      <c r="J546" s="13"/>
      <c r="K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88">
        <f t="shared" si="85"/>
        <v>0</v>
      </c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88">
        <f t="shared" si="84"/>
        <v>0</v>
      </c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28"/>
      <c r="AY546" s="28"/>
    </row>
    <row r="547" spans="1:51">
      <c r="A547" s="889">
        <v>571.1</v>
      </c>
      <c r="B547" s="886" t="s">
        <v>991</v>
      </c>
      <c r="D547" s="13"/>
      <c r="E547" s="13"/>
      <c r="F547" s="13"/>
      <c r="G547" s="13"/>
      <c r="H547" s="13"/>
      <c r="I547" s="13"/>
      <c r="J547" s="13"/>
      <c r="K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88">
        <f t="shared" si="85"/>
        <v>0</v>
      </c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88">
        <f t="shared" si="84"/>
        <v>0</v>
      </c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28"/>
      <c r="AY547" s="28"/>
    </row>
    <row r="548" spans="1:51">
      <c r="A548" s="889" t="s">
        <v>804</v>
      </c>
      <c r="B548" s="886" t="s">
        <v>992</v>
      </c>
      <c r="D548" s="13"/>
      <c r="E548" s="13"/>
      <c r="F548" s="13"/>
      <c r="G548" s="13"/>
      <c r="H548" s="13"/>
      <c r="I548" s="13"/>
      <c r="J548" s="13"/>
      <c r="K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88">
        <f t="shared" si="85"/>
        <v>0</v>
      </c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88">
        <f t="shared" si="84"/>
        <v>0</v>
      </c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28"/>
      <c r="AY548" s="28"/>
    </row>
    <row r="549" spans="1:51">
      <c r="A549" s="889">
        <v>573.1</v>
      </c>
      <c r="B549" s="886" t="s">
        <v>992</v>
      </c>
      <c r="D549" s="13"/>
      <c r="E549" s="13"/>
      <c r="F549" s="13"/>
      <c r="G549" s="13"/>
      <c r="H549" s="13"/>
      <c r="I549" s="13"/>
      <c r="J549" s="13"/>
      <c r="K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88">
        <f t="shared" si="85"/>
        <v>0</v>
      </c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88">
        <f t="shared" si="84"/>
        <v>0</v>
      </c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28"/>
      <c r="AY549" s="28"/>
    </row>
    <row r="550" spans="1:51">
      <c r="A550" s="889" t="s">
        <v>806</v>
      </c>
      <c r="B550" s="886" t="s">
        <v>993</v>
      </c>
      <c r="D550" s="13"/>
      <c r="E550" s="13"/>
      <c r="F550" s="13"/>
      <c r="G550" s="13"/>
      <c r="H550" s="13"/>
      <c r="I550" s="13"/>
      <c r="J550" s="13"/>
      <c r="K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88">
        <f t="shared" si="85"/>
        <v>0</v>
      </c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88">
        <f t="shared" si="84"/>
        <v>0</v>
      </c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28"/>
      <c r="AY550" s="28"/>
    </row>
    <row r="551" spans="1:51">
      <c r="A551" s="889">
        <v>575.70000000000005</v>
      </c>
      <c r="B551" s="886" t="s">
        <v>870</v>
      </c>
      <c r="D551" s="13"/>
      <c r="E551" s="13"/>
      <c r="F551" s="13"/>
      <c r="G551" s="13"/>
      <c r="H551" s="13"/>
      <c r="I551" s="13"/>
      <c r="J551" s="13"/>
      <c r="K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88">
        <f t="shared" si="85"/>
        <v>0</v>
      </c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88">
        <f t="shared" si="84"/>
        <v>0</v>
      </c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28"/>
      <c r="AY551" s="28"/>
    </row>
    <row r="552" spans="1:51">
      <c r="A552" s="889" t="s">
        <v>808</v>
      </c>
      <c r="B552" s="886" t="s">
        <v>994</v>
      </c>
      <c r="D552" s="13"/>
      <c r="E552" s="13"/>
      <c r="F552" s="13"/>
      <c r="G552" s="13"/>
      <c r="H552" s="13"/>
      <c r="I552" s="13"/>
      <c r="J552" s="13"/>
      <c r="K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88">
        <f t="shared" si="85"/>
        <v>0</v>
      </c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88">
        <f t="shared" si="84"/>
        <v>0</v>
      </c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28"/>
      <c r="AY552" s="28"/>
    </row>
    <row r="553" spans="1:51">
      <c r="A553" s="889">
        <v>908.1</v>
      </c>
      <c r="B553" s="886" t="s">
        <v>994</v>
      </c>
      <c r="D553" s="13"/>
      <c r="E553" s="13"/>
      <c r="F553" s="13"/>
      <c r="G553" s="13"/>
      <c r="H553" s="13"/>
      <c r="I553" s="13"/>
      <c r="J553" s="13"/>
      <c r="K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88">
        <f t="shared" si="85"/>
        <v>0</v>
      </c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88">
        <f t="shared" si="84"/>
        <v>0</v>
      </c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28"/>
      <c r="AY553" s="28"/>
    </row>
    <row r="554" spans="1:51">
      <c r="A554" s="889">
        <v>909.1</v>
      </c>
      <c r="B554" s="886" t="s">
        <v>105</v>
      </c>
      <c r="D554" s="13"/>
      <c r="E554" s="13"/>
      <c r="F554" s="13"/>
      <c r="G554" s="13"/>
      <c r="H554" s="13"/>
      <c r="I554" s="13"/>
      <c r="J554" s="13"/>
      <c r="K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88">
        <f t="shared" si="85"/>
        <v>0</v>
      </c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88">
        <f t="shared" si="84"/>
        <v>0</v>
      </c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28"/>
      <c r="AY554" s="28"/>
    </row>
    <row r="555" spans="1:51">
      <c r="A555" s="889">
        <v>913.1</v>
      </c>
      <c r="B555" s="886" t="s">
        <v>106</v>
      </c>
      <c r="D555" s="13"/>
      <c r="E555" s="13"/>
      <c r="F555" s="13"/>
      <c r="G555" s="13"/>
      <c r="H555" s="13"/>
      <c r="I555" s="13"/>
      <c r="J555" s="13"/>
      <c r="K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88">
        <f t="shared" si="85"/>
        <v>0</v>
      </c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88">
        <f t="shared" si="84"/>
        <v>0</v>
      </c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28"/>
      <c r="AY555" s="28"/>
    </row>
    <row r="556" spans="1:51">
      <c r="A556" s="889" t="s">
        <v>810</v>
      </c>
      <c r="B556" s="886" t="s">
        <v>107</v>
      </c>
      <c r="D556" s="13"/>
      <c r="E556" s="13"/>
      <c r="F556" s="13"/>
      <c r="G556" s="13"/>
      <c r="H556" s="13"/>
      <c r="I556" s="13"/>
      <c r="J556" s="13"/>
      <c r="K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88">
        <f t="shared" si="85"/>
        <v>0</v>
      </c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88">
        <f t="shared" si="84"/>
        <v>0</v>
      </c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28"/>
      <c r="AY556" s="28"/>
    </row>
    <row r="557" spans="1:51">
      <c r="A557" s="889" t="s">
        <v>626</v>
      </c>
      <c r="B557" s="886" t="s">
        <v>108</v>
      </c>
      <c r="D557" s="13"/>
      <c r="E557" s="13"/>
      <c r="F557" s="13"/>
      <c r="G557" s="13"/>
      <c r="H557" s="13"/>
      <c r="I557" s="13"/>
      <c r="J557" s="13"/>
      <c r="K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88">
        <f t="shared" si="85"/>
        <v>0</v>
      </c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88">
        <f t="shared" si="84"/>
        <v>0</v>
      </c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28"/>
      <c r="AY557" s="28"/>
    </row>
    <row r="558" spans="1:51">
      <c r="A558" s="889" t="s">
        <v>628</v>
      </c>
      <c r="B558" s="886" t="s">
        <v>109</v>
      </c>
      <c r="D558" s="13"/>
      <c r="E558" s="13"/>
      <c r="F558" s="13"/>
      <c r="G558" s="13"/>
      <c r="H558" s="13"/>
      <c r="I558" s="13"/>
      <c r="J558" s="13"/>
      <c r="K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88">
        <f t="shared" si="85"/>
        <v>0</v>
      </c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88">
        <f t="shared" si="84"/>
        <v>0</v>
      </c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28"/>
      <c r="AY558" s="28"/>
    </row>
    <row r="559" spans="1:51">
      <c r="A559" s="889">
        <v>921.10500000000002</v>
      </c>
      <c r="B559" s="888" t="s">
        <v>995</v>
      </c>
      <c r="D559" s="13"/>
      <c r="E559" s="13"/>
      <c r="F559" s="13"/>
      <c r="G559" s="13"/>
      <c r="H559" s="13"/>
      <c r="I559" s="13"/>
      <c r="J559" s="13"/>
      <c r="K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88">
        <f t="shared" si="85"/>
        <v>0</v>
      </c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88">
        <f t="shared" si="84"/>
        <v>0</v>
      </c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28"/>
      <c r="AY559" s="28"/>
    </row>
    <row r="560" spans="1:51">
      <c r="A560" s="889" t="s">
        <v>637</v>
      </c>
      <c r="B560" s="886" t="s">
        <v>113</v>
      </c>
      <c r="D560" s="13"/>
      <c r="E560" s="13"/>
      <c r="F560" s="13"/>
      <c r="G560" s="13"/>
      <c r="H560" s="13"/>
      <c r="I560" s="13"/>
      <c r="J560" s="13"/>
      <c r="K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88">
        <f t="shared" si="85"/>
        <v>0</v>
      </c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88">
        <f t="shared" ref="AL560:AL571" si="89">SUM(Z560:AK560)</f>
        <v>0</v>
      </c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28"/>
      <c r="AY560" s="28"/>
    </row>
    <row r="561" spans="1:51">
      <c r="A561" s="889">
        <v>923.1</v>
      </c>
      <c r="B561" s="886" t="s">
        <v>113</v>
      </c>
      <c r="D561" s="13"/>
      <c r="E561" s="13"/>
      <c r="F561" s="13"/>
      <c r="G561" s="13"/>
      <c r="H561" s="13"/>
      <c r="I561" s="13"/>
      <c r="J561" s="13"/>
      <c r="K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88">
        <f t="shared" si="85"/>
        <v>0</v>
      </c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88">
        <f t="shared" si="89"/>
        <v>0</v>
      </c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28"/>
      <c r="AY561" s="28"/>
    </row>
    <row r="562" spans="1:51">
      <c r="A562" s="889" t="s">
        <v>114</v>
      </c>
      <c r="B562" s="886" t="s">
        <v>996</v>
      </c>
      <c r="D562" s="13"/>
      <c r="E562" s="13"/>
      <c r="F562" s="13"/>
      <c r="G562" s="13"/>
      <c r="H562" s="13"/>
      <c r="I562" s="13"/>
      <c r="J562" s="13"/>
      <c r="K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88">
        <f t="shared" si="85"/>
        <v>0</v>
      </c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88">
        <f t="shared" si="89"/>
        <v>0</v>
      </c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28"/>
      <c r="AY562" s="28"/>
    </row>
    <row r="563" spans="1:51">
      <c r="A563" s="889" t="s">
        <v>115</v>
      </c>
      <c r="B563" s="886" t="s">
        <v>997</v>
      </c>
      <c r="D563" s="13"/>
      <c r="E563" s="13"/>
      <c r="F563" s="13"/>
      <c r="G563" s="13"/>
      <c r="H563" s="13"/>
      <c r="I563" s="13"/>
      <c r="J563" s="13"/>
      <c r="K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88">
        <f t="shared" si="85"/>
        <v>0</v>
      </c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88">
        <f t="shared" si="89"/>
        <v>0</v>
      </c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28"/>
      <c r="AY563" s="28"/>
    </row>
    <row r="564" spans="1:51">
      <c r="A564" s="889">
        <v>926.1</v>
      </c>
      <c r="B564" s="886" t="s">
        <v>998</v>
      </c>
      <c r="D564" s="13"/>
      <c r="E564" s="13"/>
      <c r="F564" s="13"/>
      <c r="G564" s="13"/>
      <c r="H564" s="13"/>
      <c r="I564" s="13"/>
      <c r="J564" s="13"/>
      <c r="K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88">
        <f t="shared" si="85"/>
        <v>0</v>
      </c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88">
        <f t="shared" si="89"/>
        <v>0</v>
      </c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28"/>
      <c r="AY564" s="28"/>
    </row>
    <row r="565" spans="1:51">
      <c r="A565" s="889" t="s">
        <v>630</v>
      </c>
      <c r="B565" s="886" t="s">
        <v>120</v>
      </c>
      <c r="D565" s="13"/>
      <c r="E565" s="13"/>
      <c r="F565" s="13"/>
      <c r="G565" s="13"/>
      <c r="H565" s="13"/>
      <c r="I565" s="13"/>
      <c r="J565" s="13"/>
      <c r="K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88">
        <f t="shared" si="85"/>
        <v>0</v>
      </c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88">
        <f t="shared" si="89"/>
        <v>0</v>
      </c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28"/>
      <c r="AY565" s="28"/>
    </row>
    <row r="566" spans="1:51">
      <c r="A566" s="889">
        <v>930.2</v>
      </c>
      <c r="B566" s="886" t="s">
        <v>999</v>
      </c>
      <c r="D566" s="13"/>
      <c r="E566" s="13"/>
      <c r="F566" s="13"/>
      <c r="G566" s="13"/>
      <c r="H566" s="13"/>
      <c r="I566" s="13"/>
      <c r="J566" s="13"/>
      <c r="K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88">
        <f t="shared" si="85"/>
        <v>0</v>
      </c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88">
        <f t="shared" si="89"/>
        <v>0</v>
      </c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28"/>
      <c r="AY566" s="28"/>
    </row>
    <row r="567" spans="1:51">
      <c r="A567" s="889" t="s">
        <v>122</v>
      </c>
      <c r="B567" s="886" t="s">
        <v>123</v>
      </c>
      <c r="D567" s="13"/>
      <c r="E567" s="13"/>
      <c r="F567" s="13"/>
      <c r="G567" s="13"/>
      <c r="H567" s="13"/>
      <c r="I567" s="13"/>
      <c r="J567" s="13"/>
      <c r="K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88">
        <f t="shared" si="85"/>
        <v>0</v>
      </c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88">
        <f t="shared" si="89"/>
        <v>0</v>
      </c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28"/>
      <c r="AY567" s="28"/>
    </row>
    <row r="568" spans="1:51">
      <c r="A568" s="889">
        <v>935.1</v>
      </c>
      <c r="B568" s="886" t="s">
        <v>1000</v>
      </c>
      <c r="D568" s="13"/>
      <c r="E568" s="13"/>
      <c r="F568" s="13"/>
      <c r="G568" s="13"/>
      <c r="H568" s="13"/>
      <c r="I568" s="13"/>
      <c r="J568" s="13"/>
      <c r="K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88">
        <f t="shared" si="85"/>
        <v>0</v>
      </c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88">
        <f t="shared" si="89"/>
        <v>0</v>
      </c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28"/>
      <c r="AY568" s="28"/>
    </row>
    <row r="569" spans="1:51">
      <c r="A569" s="889">
        <v>935.1</v>
      </c>
      <c r="B569" s="886" t="s">
        <v>1000</v>
      </c>
      <c r="D569" s="13"/>
      <c r="E569" s="13"/>
      <c r="F569" s="13"/>
      <c r="G569" s="13"/>
      <c r="H569" s="13"/>
      <c r="I569" s="13"/>
      <c r="J569" s="13"/>
      <c r="K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88">
        <f t="shared" si="85"/>
        <v>0</v>
      </c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88">
        <f t="shared" si="89"/>
        <v>0</v>
      </c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28"/>
      <c r="AY569" s="28"/>
    </row>
    <row r="570" spans="1:51">
      <c r="D570" s="13"/>
      <c r="E570" s="13"/>
      <c r="F570" s="13"/>
      <c r="G570" s="13"/>
      <c r="H570" s="13"/>
      <c r="I570" s="13"/>
      <c r="J570" s="13"/>
      <c r="K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88">
        <f t="shared" si="89"/>
        <v>0</v>
      </c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28"/>
      <c r="AY570" s="28"/>
    </row>
    <row r="571" spans="1:51">
      <c r="D571" s="13">
        <f>SUM(D433:D570)</f>
        <v>0</v>
      </c>
      <c r="E571" s="13">
        <f>SUM(E433:E570)</f>
        <v>0</v>
      </c>
      <c r="F571" s="13">
        <f>SUM(F433:F570)</f>
        <v>0</v>
      </c>
      <c r="G571" s="13">
        <f>SUM(G433:G570)</f>
        <v>0</v>
      </c>
      <c r="H571" s="13">
        <f>SUM(H433:H570)</f>
        <v>0</v>
      </c>
      <c r="I571" s="13"/>
      <c r="J571" s="13"/>
      <c r="K571" s="13"/>
      <c r="M571" s="13">
        <f t="shared" ref="M571:X571" si="90">SUM(M433:M570)</f>
        <v>25.071054637954557</v>
      </c>
      <c r="N571" s="13">
        <f t="shared" si="90"/>
        <v>22.578276690372064</v>
      </c>
      <c r="O571" s="13">
        <f t="shared" si="90"/>
        <v>24.357794901757458</v>
      </c>
      <c r="P571" s="13">
        <f t="shared" si="90"/>
        <v>21.25966423958187</v>
      </c>
      <c r="Q571" s="13">
        <f t="shared" si="90"/>
        <v>21.516952876833152</v>
      </c>
      <c r="R571" s="13">
        <f t="shared" si="90"/>
        <v>23.106266760439507</v>
      </c>
      <c r="S571" s="13">
        <f t="shared" si="90"/>
        <v>25.23256694014788</v>
      </c>
      <c r="T571" s="13">
        <f t="shared" si="90"/>
        <v>24.217122757277245</v>
      </c>
      <c r="U571" s="13">
        <f t="shared" si="90"/>
        <v>17.149150316984056</v>
      </c>
      <c r="V571" s="13">
        <f t="shared" si="90"/>
        <v>18.287380492089561</v>
      </c>
      <c r="W571" s="13">
        <f t="shared" si="90"/>
        <v>17.784226314980359</v>
      </c>
      <c r="X571" s="13">
        <f t="shared" si="90"/>
        <v>18.283931160391614</v>
      </c>
      <c r="Y571" s="88">
        <f t="shared" ref="Y571" si="91">SUM(M571:X571)</f>
        <v>258.8443880888093</v>
      </c>
      <c r="Z571" s="13">
        <f t="shared" ref="Z571:AK571" si="92">SUM(Z433:Z570)</f>
        <v>18.925085397128164</v>
      </c>
      <c r="AA571" s="13">
        <f t="shared" si="92"/>
        <v>17.126014830258853</v>
      </c>
      <c r="AB571" s="13">
        <f t="shared" si="92"/>
        <v>16.340833106669688</v>
      </c>
      <c r="AC571" s="13">
        <f t="shared" si="92"/>
        <v>14.839066040829445</v>
      </c>
      <c r="AD571" s="13">
        <f t="shared" si="92"/>
        <v>15.546458300511006</v>
      </c>
      <c r="AE571" s="13">
        <f t="shared" si="92"/>
        <v>17.836389106895975</v>
      </c>
      <c r="AF571" s="13">
        <f t="shared" si="92"/>
        <v>18.566662217349847</v>
      </c>
      <c r="AG571" s="13">
        <f t="shared" si="92"/>
        <v>18.522731962899961</v>
      </c>
      <c r="AH571" s="13">
        <f t="shared" si="92"/>
        <v>17.806588066382545</v>
      </c>
      <c r="AI571" s="13">
        <f t="shared" si="92"/>
        <v>18.850010921179759</v>
      </c>
      <c r="AJ571" s="13">
        <f t="shared" si="92"/>
        <v>18.202616093167233</v>
      </c>
      <c r="AK571" s="13">
        <f t="shared" si="92"/>
        <v>18.58417620389196</v>
      </c>
      <c r="AL571" s="88">
        <f t="shared" si="89"/>
        <v>211.14663224716443</v>
      </c>
      <c r="AM571" s="13">
        <f t="shared" ref="AM571:AW571" si="93">SUM(AM433:AM570)</f>
        <v>223.78467828392914</v>
      </c>
      <c r="AN571" s="13">
        <f t="shared" si="93"/>
        <v>226.34365782559803</v>
      </c>
      <c r="AO571" s="13">
        <f t="shared" si="93"/>
        <v>234.62069089561112</v>
      </c>
      <c r="AP571" s="13">
        <f t="shared" si="93"/>
        <v>244.49152134911753</v>
      </c>
      <c r="AQ571" s="13">
        <f t="shared" si="93"/>
        <v>356.83549749477589</v>
      </c>
      <c r="AR571" s="13">
        <f t="shared" si="93"/>
        <v>398.61687419956644</v>
      </c>
      <c r="AS571" s="13">
        <f t="shared" si="93"/>
        <v>404.74095158971198</v>
      </c>
      <c r="AT571" s="13">
        <f t="shared" si="93"/>
        <v>431.26915714897399</v>
      </c>
      <c r="AU571" s="13">
        <f t="shared" si="93"/>
        <v>436.3209111147155</v>
      </c>
      <c r="AV571" s="13">
        <f t="shared" si="93"/>
        <v>451.55943627513204</v>
      </c>
      <c r="AW571" s="13">
        <f t="shared" si="93"/>
        <v>474.11621810671875</v>
      </c>
      <c r="AX571" s="28"/>
      <c r="AY571" s="28"/>
    </row>
    <row r="572" spans="1:51">
      <c r="D572" s="13"/>
      <c r="E572" s="13"/>
      <c r="F572" s="13"/>
      <c r="G572" s="13"/>
      <c r="H572" s="13"/>
      <c r="I572" s="13"/>
      <c r="J572" s="13"/>
      <c r="K572" s="13"/>
    </row>
    <row r="573" spans="1:51">
      <c r="D573" s="13"/>
      <c r="E573" s="13"/>
      <c r="F573" s="13"/>
      <c r="G573" s="13"/>
      <c r="H573" s="13"/>
      <c r="I573" s="13"/>
      <c r="J573" s="13"/>
      <c r="K573" s="13"/>
    </row>
    <row r="574" spans="1:51">
      <c r="D574" s="13"/>
      <c r="E574" s="13"/>
      <c r="F574" s="13"/>
      <c r="G574" s="13"/>
      <c r="H574" s="13"/>
      <c r="I574" s="13"/>
      <c r="J574" s="13"/>
      <c r="K574" s="13"/>
    </row>
    <row r="575" spans="1:51">
      <c r="D575" s="232">
        <f>D50</f>
        <v>0</v>
      </c>
      <c r="E575" s="232">
        <f>E50</f>
        <v>0</v>
      </c>
      <c r="F575" s="232">
        <f>F50</f>
        <v>0</v>
      </c>
      <c r="G575" s="232">
        <f>G50</f>
        <v>0</v>
      </c>
      <c r="H575" s="232">
        <f>H50</f>
        <v>0</v>
      </c>
      <c r="I575" s="232"/>
      <c r="J575" s="232"/>
      <c r="K575" s="232"/>
      <c r="L575" s="206"/>
      <c r="M575" s="232">
        <f t="shared" ref="M575:AW575" si="94">M50</f>
        <v>25.071054637954557</v>
      </c>
      <c r="N575" s="232">
        <f t="shared" si="94"/>
        <v>22.578276690372064</v>
      </c>
      <c r="O575" s="232">
        <f t="shared" si="94"/>
        <v>24.357794901757458</v>
      </c>
      <c r="P575" s="232">
        <f t="shared" si="94"/>
        <v>21.25966423958187</v>
      </c>
      <c r="Q575" s="232">
        <f t="shared" si="94"/>
        <v>21.516952876833152</v>
      </c>
      <c r="R575" s="232">
        <f t="shared" si="94"/>
        <v>23.106266760439507</v>
      </c>
      <c r="S575" s="232">
        <f t="shared" si="94"/>
        <v>25.232566940147883</v>
      </c>
      <c r="T575" s="232">
        <f t="shared" si="94"/>
        <v>24.217122757277245</v>
      </c>
      <c r="U575" s="232">
        <f t="shared" si="94"/>
        <v>17.149150316984056</v>
      </c>
      <c r="V575" s="232">
        <f t="shared" si="94"/>
        <v>18.287380492089561</v>
      </c>
      <c r="W575" s="232">
        <f t="shared" si="94"/>
        <v>17.784226314980362</v>
      </c>
      <c r="X575" s="232">
        <f t="shared" si="94"/>
        <v>18.283931160391614</v>
      </c>
      <c r="Y575" s="206">
        <f t="shared" si="94"/>
        <v>258.84438808880935</v>
      </c>
      <c r="Z575" s="232">
        <f t="shared" si="94"/>
        <v>18.925085397128164</v>
      </c>
      <c r="AA575" s="232">
        <f t="shared" si="94"/>
        <v>17.126014830258853</v>
      </c>
      <c r="AB575" s="232">
        <f t="shared" si="94"/>
        <v>16.340833106669688</v>
      </c>
      <c r="AC575" s="232">
        <f t="shared" si="94"/>
        <v>14.839066040829445</v>
      </c>
      <c r="AD575" s="232">
        <f t="shared" si="94"/>
        <v>15.546458300511006</v>
      </c>
      <c r="AE575" s="232">
        <f t="shared" si="94"/>
        <v>17.836389106895979</v>
      </c>
      <c r="AF575" s="232">
        <f t="shared" si="94"/>
        <v>18.566662217349847</v>
      </c>
      <c r="AG575" s="232">
        <f t="shared" si="94"/>
        <v>18.522731962899961</v>
      </c>
      <c r="AH575" s="232">
        <f t="shared" si="94"/>
        <v>17.806588066382545</v>
      </c>
      <c r="AI575" s="232">
        <f t="shared" si="94"/>
        <v>18.850010921179759</v>
      </c>
      <c r="AJ575" s="232">
        <f t="shared" si="94"/>
        <v>18.202616093167233</v>
      </c>
      <c r="AK575" s="232">
        <f t="shared" si="94"/>
        <v>18.584176203891964</v>
      </c>
      <c r="AL575" s="206">
        <f t="shared" si="94"/>
        <v>211.14663224716443</v>
      </c>
      <c r="AM575" s="232">
        <f t="shared" si="94"/>
        <v>223.78467828392914</v>
      </c>
      <c r="AN575" s="232">
        <f t="shared" si="94"/>
        <v>226.34365782559803</v>
      </c>
      <c r="AO575" s="232">
        <f t="shared" si="94"/>
        <v>234.62069089561109</v>
      </c>
      <c r="AP575" s="232">
        <f t="shared" si="94"/>
        <v>244.49152134911753</v>
      </c>
      <c r="AQ575" s="232">
        <f t="shared" si="94"/>
        <v>356.83549749477584</v>
      </c>
      <c r="AR575" s="232">
        <f t="shared" si="94"/>
        <v>398.61687419956644</v>
      </c>
      <c r="AS575" s="232">
        <f t="shared" si="94"/>
        <v>404.74095158971198</v>
      </c>
      <c r="AT575" s="232">
        <f t="shared" si="94"/>
        <v>431.26915714897399</v>
      </c>
      <c r="AU575" s="232">
        <f t="shared" si="94"/>
        <v>436.32091111471556</v>
      </c>
      <c r="AV575" s="232">
        <f t="shared" si="94"/>
        <v>451.55943627513204</v>
      </c>
      <c r="AW575" s="232">
        <f t="shared" si="94"/>
        <v>474.1162181067188</v>
      </c>
      <c r="AX575" s="376"/>
      <c r="AY575" s="376"/>
    </row>
    <row r="576" spans="1:51">
      <c r="D576" s="232">
        <f>D571-D575</f>
        <v>0</v>
      </c>
      <c r="E576" s="232">
        <f t="shared" ref="E576:H576" si="95">E571-E575</f>
        <v>0</v>
      </c>
      <c r="F576" s="232">
        <f t="shared" si="95"/>
        <v>0</v>
      </c>
      <c r="G576" s="232">
        <f t="shared" si="95"/>
        <v>0</v>
      </c>
      <c r="H576" s="232">
        <f t="shared" si="95"/>
        <v>0</v>
      </c>
      <c r="I576" s="232"/>
      <c r="J576" s="232"/>
      <c r="K576" s="232"/>
      <c r="L576" s="206"/>
      <c r="M576" s="232">
        <f t="shared" ref="M576:Y576" si="96">M571-M575</f>
        <v>0</v>
      </c>
      <c r="N576" s="232">
        <f t="shared" si="96"/>
        <v>0</v>
      </c>
      <c r="O576" s="232">
        <f t="shared" si="96"/>
        <v>0</v>
      </c>
      <c r="P576" s="232">
        <f t="shared" si="96"/>
        <v>0</v>
      </c>
      <c r="Q576" s="232">
        <f t="shared" si="96"/>
        <v>0</v>
      </c>
      <c r="R576" s="232">
        <f t="shared" si="96"/>
        <v>0</v>
      </c>
      <c r="S576" s="232">
        <f t="shared" si="96"/>
        <v>0</v>
      </c>
      <c r="T576" s="232">
        <f t="shared" si="96"/>
        <v>0</v>
      </c>
      <c r="U576" s="232">
        <f t="shared" si="96"/>
        <v>0</v>
      </c>
      <c r="V576" s="232">
        <f t="shared" si="96"/>
        <v>0</v>
      </c>
      <c r="W576" s="232">
        <f t="shared" si="96"/>
        <v>0</v>
      </c>
      <c r="X576" s="232">
        <f t="shared" si="96"/>
        <v>0</v>
      </c>
      <c r="Y576" s="206">
        <f t="shared" si="96"/>
        <v>0</v>
      </c>
      <c r="Z576" s="232">
        <f t="shared" ref="Z576:AL576" si="97">Z571-Z575</f>
        <v>0</v>
      </c>
      <c r="AA576" s="232">
        <f t="shared" si="97"/>
        <v>0</v>
      </c>
      <c r="AB576" s="232">
        <f t="shared" si="97"/>
        <v>0</v>
      </c>
      <c r="AC576" s="232">
        <f t="shared" si="97"/>
        <v>0</v>
      </c>
      <c r="AD576" s="232">
        <f t="shared" si="97"/>
        <v>0</v>
      </c>
      <c r="AE576" s="232">
        <f t="shared" si="97"/>
        <v>0</v>
      </c>
      <c r="AF576" s="232">
        <f t="shared" si="97"/>
        <v>0</v>
      </c>
      <c r="AG576" s="232">
        <f t="shared" si="97"/>
        <v>0</v>
      </c>
      <c r="AH576" s="232">
        <f t="shared" si="97"/>
        <v>0</v>
      </c>
      <c r="AI576" s="232">
        <f t="shared" si="97"/>
        <v>0</v>
      </c>
      <c r="AJ576" s="232">
        <f t="shared" si="97"/>
        <v>0</v>
      </c>
      <c r="AK576" s="232">
        <f t="shared" si="97"/>
        <v>0</v>
      </c>
      <c r="AL576" s="206">
        <f t="shared" si="97"/>
        <v>0</v>
      </c>
      <c r="AM576" s="232">
        <f t="shared" ref="AM576:AW576" si="98">AM571-AM575</f>
        <v>0</v>
      </c>
      <c r="AN576" s="232">
        <f t="shared" si="98"/>
        <v>0</v>
      </c>
      <c r="AO576" s="232">
        <f t="shared" si="98"/>
        <v>0</v>
      </c>
      <c r="AP576" s="232">
        <f t="shared" si="98"/>
        <v>0</v>
      </c>
      <c r="AQ576" s="232">
        <f t="shared" si="98"/>
        <v>0</v>
      </c>
      <c r="AR576" s="232">
        <f t="shared" si="98"/>
        <v>0</v>
      </c>
      <c r="AS576" s="232">
        <f t="shared" si="98"/>
        <v>0</v>
      </c>
      <c r="AT576" s="232">
        <f t="shared" si="98"/>
        <v>0</v>
      </c>
      <c r="AU576" s="232">
        <f t="shared" si="98"/>
        <v>0</v>
      </c>
      <c r="AV576" s="232">
        <f t="shared" si="98"/>
        <v>0</v>
      </c>
      <c r="AW576" s="232">
        <f t="shared" si="98"/>
        <v>0</v>
      </c>
      <c r="AX576" s="376"/>
      <c r="AY576" s="376"/>
    </row>
    <row r="577" spans="4:5">
      <c r="D577" s="13"/>
      <c r="E577" s="13"/>
    </row>
    <row r="578" spans="4:5">
      <c r="D578" s="13"/>
      <c r="E578" s="13"/>
    </row>
    <row r="579" spans="4:5">
      <c r="D579" s="13"/>
      <c r="E579" s="13"/>
    </row>
    <row r="580" spans="4:5">
      <c r="D580" s="13"/>
      <c r="E580" s="13"/>
    </row>
    <row r="581" spans="4:5">
      <c r="D581" s="13"/>
      <c r="E581" s="13"/>
    </row>
    <row r="582" spans="4:5">
      <c r="D582" s="13"/>
      <c r="E582" s="13"/>
    </row>
    <row r="583" spans="4:5">
      <c r="D583" s="13"/>
      <c r="E583" s="13"/>
    </row>
    <row r="584" spans="4:5">
      <c r="D584" s="13"/>
      <c r="E584" s="13"/>
    </row>
    <row r="585" spans="4:5">
      <c r="D585" s="13"/>
      <c r="E585" s="13"/>
    </row>
    <row r="586" spans="4:5">
      <c r="D586" s="13"/>
      <c r="E586" s="13"/>
    </row>
    <row r="587" spans="4:5">
      <c r="D587" s="13"/>
      <c r="E587" s="13"/>
    </row>
    <row r="588" spans="4:5">
      <c r="D588" s="13"/>
      <c r="E588" s="13"/>
    </row>
    <row r="589" spans="4:5">
      <c r="D589" s="13"/>
      <c r="E589" s="13"/>
    </row>
    <row r="590" spans="4:5">
      <c r="D590" s="13"/>
      <c r="E590" s="13"/>
    </row>
    <row r="591" spans="4:5">
      <c r="D591" s="13"/>
      <c r="E591" s="13"/>
    </row>
    <row r="592" spans="4:5">
      <c r="D592" s="13"/>
      <c r="E592" s="13"/>
    </row>
    <row r="593" spans="4:5">
      <c r="D593" s="13"/>
      <c r="E593" s="13"/>
    </row>
    <row r="594" spans="4:5">
      <c r="D594" s="13"/>
      <c r="E594" s="13"/>
    </row>
    <row r="595" spans="4:5">
      <c r="D595" s="13"/>
      <c r="E595" s="13"/>
    </row>
    <row r="596" spans="4:5">
      <c r="D596" s="13"/>
      <c r="E596" s="13"/>
    </row>
    <row r="597" spans="4:5">
      <c r="D597" s="13"/>
      <c r="E597" s="13"/>
    </row>
    <row r="598" spans="4:5">
      <c r="D598" s="13"/>
      <c r="E598" s="13"/>
    </row>
    <row r="599" spans="4:5">
      <c r="D599" s="13"/>
      <c r="E599" s="13"/>
    </row>
    <row r="600" spans="4:5">
      <c r="D600" s="13"/>
      <c r="E600" s="13"/>
    </row>
    <row r="601" spans="4:5">
      <c r="D601" s="13"/>
      <c r="E601" s="13"/>
    </row>
    <row r="602" spans="4:5">
      <c r="D602" s="13"/>
      <c r="E602" s="13"/>
    </row>
    <row r="603" spans="4:5">
      <c r="D603" s="13"/>
      <c r="E603" s="13"/>
    </row>
    <row r="604" spans="4:5">
      <c r="D604" s="13"/>
      <c r="E604" s="13"/>
    </row>
    <row r="605" spans="4:5">
      <c r="D605" s="13"/>
      <c r="E605" s="13"/>
    </row>
    <row r="606" spans="4:5">
      <c r="D606" s="13"/>
      <c r="E606" s="13"/>
    </row>
    <row r="607" spans="4:5">
      <c r="D607" s="13"/>
      <c r="E607" s="13"/>
    </row>
    <row r="608" spans="4:5">
      <c r="D608" s="13"/>
      <c r="E608" s="13"/>
    </row>
    <row r="609" spans="4:5">
      <c r="D609" s="13"/>
      <c r="E609" s="13"/>
    </row>
    <row r="610" spans="4:5">
      <c r="D610" s="13"/>
      <c r="E610" s="13"/>
    </row>
    <row r="611" spans="4:5">
      <c r="D611" s="13"/>
      <c r="E611" s="13"/>
    </row>
    <row r="612" spans="4:5">
      <c r="D612" s="13"/>
      <c r="E612" s="13"/>
    </row>
    <row r="613" spans="4:5">
      <c r="D613" s="13"/>
      <c r="E613" s="13"/>
    </row>
    <row r="614" spans="4:5">
      <c r="D614" s="13"/>
      <c r="E614" s="13"/>
    </row>
    <row r="615" spans="4:5">
      <c r="D615" s="13"/>
      <c r="E615" s="13"/>
    </row>
    <row r="616" spans="4:5">
      <c r="D616" s="13"/>
      <c r="E616" s="13"/>
    </row>
    <row r="617" spans="4:5">
      <c r="D617" s="13"/>
      <c r="E617" s="13"/>
    </row>
    <row r="618" spans="4:5">
      <c r="D618" s="13"/>
      <c r="E618" s="13"/>
    </row>
    <row r="619" spans="4:5">
      <c r="D619" s="13"/>
      <c r="E619" s="13"/>
    </row>
    <row r="620" spans="4:5">
      <c r="D620" s="13"/>
      <c r="E620" s="13"/>
    </row>
    <row r="621" spans="4:5">
      <c r="D621" s="13"/>
      <c r="E621" s="13"/>
    </row>
    <row r="622" spans="4:5">
      <c r="D622" s="13"/>
      <c r="E622" s="13"/>
    </row>
    <row r="623" spans="4:5">
      <c r="D623" s="13"/>
      <c r="E623" s="13"/>
    </row>
    <row r="624" spans="4:5">
      <c r="D624" s="13"/>
      <c r="E624" s="13"/>
    </row>
    <row r="625" spans="4:5">
      <c r="D625" s="13"/>
      <c r="E625" s="13"/>
    </row>
    <row r="626" spans="4:5">
      <c r="D626" s="13"/>
      <c r="E626" s="13"/>
    </row>
    <row r="627" spans="4:5">
      <c r="D627" s="13"/>
      <c r="E627" s="13"/>
    </row>
    <row r="628" spans="4:5">
      <c r="D628" s="13"/>
      <c r="E628" s="13"/>
    </row>
    <row r="629" spans="4:5">
      <c r="D629" s="13"/>
      <c r="E629" s="13"/>
    </row>
    <row r="630" spans="4:5">
      <c r="D630" s="13"/>
      <c r="E630" s="13"/>
    </row>
    <row r="631" spans="4:5">
      <c r="D631" s="13"/>
      <c r="E631" s="13"/>
    </row>
    <row r="632" spans="4:5">
      <c r="D632" s="13"/>
      <c r="E632" s="13"/>
    </row>
    <row r="633" spans="4:5">
      <c r="D633" s="13"/>
      <c r="E633" s="13"/>
    </row>
    <row r="634" spans="4:5">
      <c r="D634" s="13"/>
      <c r="E634" s="13"/>
    </row>
    <row r="635" spans="4:5">
      <c r="D635" s="13"/>
      <c r="E635" s="13"/>
    </row>
    <row r="636" spans="4:5">
      <c r="D636" s="13"/>
      <c r="E636" s="13"/>
    </row>
    <row r="637" spans="4:5">
      <c r="D637" s="13"/>
      <c r="E637" s="13"/>
    </row>
    <row r="638" spans="4:5">
      <c r="D638" s="13"/>
      <c r="E638" s="13"/>
    </row>
    <row r="639" spans="4:5">
      <c r="D639" s="13"/>
      <c r="E639" s="13"/>
    </row>
    <row r="640" spans="4:5">
      <c r="D640" s="13"/>
      <c r="E640" s="13"/>
    </row>
    <row r="641" spans="4:5">
      <c r="D641" s="13"/>
      <c r="E641" s="13"/>
    </row>
    <row r="642" spans="4:5">
      <c r="D642" s="13"/>
      <c r="E642" s="13"/>
    </row>
    <row r="643" spans="4:5">
      <c r="D643" s="13"/>
      <c r="E643" s="13"/>
    </row>
    <row r="644" spans="4:5">
      <c r="D644" s="13"/>
      <c r="E644" s="13"/>
    </row>
    <row r="645" spans="4:5">
      <c r="D645" s="13"/>
      <c r="E645" s="13"/>
    </row>
    <row r="646" spans="4:5">
      <c r="D646" s="13"/>
      <c r="E646" s="13"/>
    </row>
    <row r="647" spans="4:5">
      <c r="D647" s="13"/>
      <c r="E647" s="13"/>
    </row>
    <row r="648" spans="4:5">
      <c r="D648" s="13"/>
      <c r="E648" s="13"/>
    </row>
    <row r="649" spans="4:5">
      <c r="D649" s="13"/>
      <c r="E649" s="13"/>
    </row>
    <row r="650" spans="4:5">
      <c r="D650" s="13"/>
      <c r="E650" s="13"/>
    </row>
    <row r="651" spans="4:5">
      <c r="D651" s="13"/>
      <c r="E651" s="13"/>
    </row>
    <row r="652" spans="4:5">
      <c r="D652" s="13"/>
      <c r="E652" s="13"/>
    </row>
    <row r="653" spans="4:5">
      <c r="D653" s="13"/>
      <c r="E653" s="13"/>
    </row>
    <row r="654" spans="4:5">
      <c r="D654" s="13"/>
      <c r="E654" s="13"/>
    </row>
    <row r="655" spans="4:5">
      <c r="D655" s="13"/>
      <c r="E655" s="13"/>
    </row>
    <row r="656" spans="4:5">
      <c r="D656" s="13"/>
      <c r="E656" s="13"/>
    </row>
    <row r="657" spans="4:5">
      <c r="D657" s="13"/>
      <c r="E657" s="13"/>
    </row>
    <row r="658" spans="4:5">
      <c r="D658" s="13"/>
      <c r="E658" s="13"/>
    </row>
    <row r="659" spans="4:5">
      <c r="D659" s="13"/>
      <c r="E659" s="13"/>
    </row>
    <row r="660" spans="4:5">
      <c r="D660" s="13"/>
      <c r="E660" s="13"/>
    </row>
    <row r="661" spans="4:5">
      <c r="D661" s="13"/>
      <c r="E661" s="13"/>
    </row>
    <row r="662" spans="4:5">
      <c r="D662" s="13"/>
      <c r="E662" s="13"/>
    </row>
    <row r="663" spans="4:5">
      <c r="D663" s="13"/>
      <c r="E663" s="13"/>
    </row>
    <row r="664" spans="4:5">
      <c r="D664" s="13"/>
      <c r="E664" s="13"/>
    </row>
    <row r="665" spans="4:5">
      <c r="D665" s="13"/>
      <c r="E665" s="13"/>
    </row>
    <row r="666" spans="4:5">
      <c r="D666" s="13"/>
      <c r="E666" s="13"/>
    </row>
    <row r="667" spans="4:5">
      <c r="D667" s="13"/>
      <c r="E667" s="13"/>
    </row>
    <row r="668" spans="4:5">
      <c r="D668" s="13"/>
      <c r="E668" s="13"/>
    </row>
    <row r="669" spans="4:5">
      <c r="D669" s="13"/>
      <c r="E669" s="13"/>
    </row>
    <row r="670" spans="4:5">
      <c r="D670" s="13"/>
      <c r="E670" s="13"/>
    </row>
    <row r="671" spans="4:5">
      <c r="D671" s="13"/>
      <c r="E671" s="13"/>
    </row>
    <row r="672" spans="4:5">
      <c r="D672" s="13"/>
      <c r="E672" s="13"/>
    </row>
    <row r="673" spans="4:5">
      <c r="D673" s="13"/>
      <c r="E673" s="13"/>
    </row>
    <row r="674" spans="4:5">
      <c r="D674" s="13"/>
      <c r="E674" s="13"/>
    </row>
    <row r="675" spans="4:5">
      <c r="D675" s="13"/>
      <c r="E675" s="13"/>
    </row>
    <row r="676" spans="4:5">
      <c r="D676" s="13"/>
      <c r="E676" s="13"/>
    </row>
    <row r="677" spans="4:5">
      <c r="D677" s="13"/>
      <c r="E677" s="13"/>
    </row>
    <row r="678" spans="4:5">
      <c r="D678" s="13"/>
      <c r="E678" s="13"/>
    </row>
    <row r="679" spans="4:5">
      <c r="D679" s="13"/>
      <c r="E679" s="13"/>
    </row>
    <row r="680" spans="4:5">
      <c r="D680" s="13"/>
      <c r="E680" s="13"/>
    </row>
    <row r="681" spans="4:5">
      <c r="D681" s="13"/>
      <c r="E681" s="13"/>
    </row>
    <row r="682" spans="4:5">
      <c r="D682" s="13"/>
      <c r="E682" s="13"/>
    </row>
    <row r="683" spans="4:5">
      <c r="D683" s="13"/>
      <c r="E683" s="13"/>
    </row>
    <row r="684" spans="4:5">
      <c r="D684" s="13"/>
      <c r="E684" s="13"/>
    </row>
    <row r="685" spans="4:5">
      <c r="D685" s="13"/>
      <c r="E685" s="13"/>
    </row>
    <row r="686" spans="4:5">
      <c r="D686" s="13"/>
      <c r="E686" s="13"/>
    </row>
    <row r="687" spans="4:5">
      <c r="D687" s="13"/>
      <c r="E687" s="13"/>
    </row>
    <row r="688" spans="4:5">
      <c r="D688" s="13"/>
      <c r="E688" s="13"/>
    </row>
    <row r="689" spans="4:5">
      <c r="D689" s="13"/>
      <c r="E689" s="13"/>
    </row>
    <row r="690" spans="4:5">
      <c r="D690" s="13"/>
      <c r="E690" s="13"/>
    </row>
    <row r="691" spans="4:5">
      <c r="D691" s="13"/>
      <c r="E691" s="13"/>
    </row>
    <row r="692" spans="4:5">
      <c r="D692" s="13"/>
      <c r="E692" s="13"/>
    </row>
    <row r="693" spans="4:5">
      <c r="D693" s="13"/>
      <c r="E693" s="13"/>
    </row>
    <row r="694" spans="4:5">
      <c r="D694" s="13"/>
      <c r="E694" s="13"/>
    </row>
    <row r="695" spans="4:5">
      <c r="D695" s="13"/>
      <c r="E695" s="13"/>
    </row>
    <row r="696" spans="4:5">
      <c r="D696" s="13"/>
      <c r="E696" s="13"/>
    </row>
    <row r="697" spans="4:5">
      <c r="D697" s="13"/>
      <c r="E697" s="13"/>
    </row>
    <row r="698" spans="4:5">
      <c r="D698" s="13"/>
      <c r="E698" s="13"/>
    </row>
    <row r="699" spans="4:5">
      <c r="D699" s="13"/>
      <c r="E699" s="13"/>
    </row>
    <row r="700" spans="4:5">
      <c r="D700" s="13"/>
      <c r="E700" s="13"/>
    </row>
    <row r="701" spans="4:5">
      <c r="D701" s="13"/>
      <c r="E701" s="13"/>
    </row>
    <row r="702" spans="4:5">
      <c r="D702" s="13"/>
      <c r="E702" s="13"/>
    </row>
    <row r="703" spans="4:5">
      <c r="D703" s="13"/>
      <c r="E703" s="13"/>
    </row>
    <row r="704" spans="4:5">
      <c r="D704" s="13"/>
      <c r="E704" s="13"/>
    </row>
    <row r="705" spans="4:5">
      <c r="D705" s="13"/>
      <c r="E705" s="13"/>
    </row>
    <row r="706" spans="4:5">
      <c r="D706" s="13"/>
      <c r="E706" s="13"/>
    </row>
    <row r="707" spans="4:5">
      <c r="D707" s="13"/>
      <c r="E707" s="13"/>
    </row>
    <row r="708" spans="4:5">
      <c r="D708" s="13"/>
      <c r="E708" s="13"/>
    </row>
    <row r="709" spans="4:5">
      <c r="D709" s="13"/>
      <c r="E709" s="13"/>
    </row>
    <row r="710" spans="4:5">
      <c r="D710" s="13"/>
      <c r="E710" s="13"/>
    </row>
    <row r="711" spans="4:5">
      <c r="D711" s="13"/>
      <c r="E711" s="13"/>
    </row>
    <row r="712" spans="4:5">
      <c r="D712" s="13"/>
      <c r="E712" s="13"/>
    </row>
    <row r="713" spans="4:5">
      <c r="D713" s="13"/>
      <c r="E713" s="13"/>
    </row>
    <row r="714" spans="4:5">
      <c r="D714" s="13"/>
      <c r="E714" s="13"/>
    </row>
    <row r="715" spans="4:5">
      <c r="D715" s="13"/>
      <c r="E715" s="13"/>
    </row>
    <row r="716" spans="4:5">
      <c r="D716" s="13"/>
      <c r="E716" s="13"/>
    </row>
    <row r="717" spans="4:5">
      <c r="D717" s="13"/>
      <c r="E717" s="13"/>
    </row>
    <row r="718" spans="4:5">
      <c r="D718" s="13"/>
      <c r="E718" s="13"/>
    </row>
    <row r="719" spans="4:5">
      <c r="D719" s="13"/>
      <c r="E719" s="13"/>
    </row>
    <row r="720" spans="4:5">
      <c r="D720" s="13"/>
      <c r="E720" s="13"/>
    </row>
  </sheetData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BB576"/>
  <sheetViews>
    <sheetView zoomScale="70" workbookViewId="0">
      <pane xSplit="2" ySplit="4" topLeftCell="Y38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AA77" sqref="AA77"/>
    </sheetView>
  </sheetViews>
  <sheetFormatPr defaultRowHeight="12.75"/>
  <cols>
    <col min="2" max="2" width="38.5703125" customWidth="1"/>
    <col min="3" max="3" width="4.28515625" customWidth="1"/>
    <col min="4" max="4" width="9.5703125" style="165" hidden="1" customWidth="1"/>
    <col min="5" max="5" width="10.7109375" hidden="1" customWidth="1"/>
    <col min="6" max="6" width="10.42578125" hidden="1" customWidth="1"/>
    <col min="7" max="7" width="10.85546875" hidden="1" customWidth="1"/>
    <col min="8" max="8" width="10.42578125" hidden="1" customWidth="1"/>
    <col min="9" max="9" width="11" hidden="1" customWidth="1"/>
    <col min="10" max="10" width="10.85546875" hidden="1" customWidth="1"/>
    <col min="11" max="11" width="10.28515625" hidden="1" customWidth="1"/>
    <col min="12" max="12" width="10.140625" customWidth="1"/>
    <col min="13" max="13" width="10.42578125" style="88" customWidth="1"/>
    <col min="14" max="25" width="12.85546875" customWidth="1"/>
    <col min="26" max="26" width="12.85546875" style="88" customWidth="1"/>
    <col min="27" max="38" width="14" customWidth="1"/>
    <col min="39" max="39" width="14" style="88" customWidth="1"/>
    <col min="40" max="50" width="14.140625" bestFit="1" customWidth="1"/>
    <col min="51" max="52" width="14.140625" style="547" bestFit="1" customWidth="1"/>
    <col min="53" max="54" width="11.5703125" bestFit="1" customWidth="1"/>
  </cols>
  <sheetData>
    <row r="1" spans="1:52" s="1" customFormat="1">
      <c r="C1" s="180"/>
      <c r="D1" s="187"/>
      <c r="E1" s="180"/>
      <c r="F1" s="180"/>
      <c r="G1" s="180"/>
      <c r="H1" s="180"/>
      <c r="I1" s="180"/>
      <c r="J1" s="180"/>
      <c r="K1" s="180"/>
      <c r="L1" s="180"/>
      <c r="M1" s="181"/>
      <c r="N1" s="180">
        <f>'Stmts RUS'!G1</f>
        <v>2013</v>
      </c>
      <c r="O1" s="180">
        <f>'Stmts RUS'!H1</f>
        <v>2013</v>
      </c>
      <c r="P1" s="180">
        <f>'Stmts RUS'!I1</f>
        <v>2013</v>
      </c>
      <c r="Q1" s="180">
        <f>'Stmts RUS'!J1</f>
        <v>2013</v>
      </c>
      <c r="R1" s="180">
        <f>'Stmts RUS'!K1</f>
        <v>2013</v>
      </c>
      <c r="S1" s="180">
        <f>'Stmts RUS'!L1</f>
        <v>2013</v>
      </c>
      <c r="T1" s="180">
        <f>'Stmts RUS'!M1</f>
        <v>2013</v>
      </c>
      <c r="U1" s="180">
        <f>'Stmts RUS'!N1</f>
        <v>2013</v>
      </c>
      <c r="V1" s="180">
        <f>'Stmts RUS'!O1</f>
        <v>2013</v>
      </c>
      <c r="W1" s="180">
        <f>'Stmts RUS'!P1</f>
        <v>2013</v>
      </c>
      <c r="X1" s="180">
        <f>'Stmts RUS'!Q1</f>
        <v>2013</v>
      </c>
      <c r="Y1" s="180">
        <f>'Stmts RUS'!R1</f>
        <v>2013</v>
      </c>
      <c r="Z1" s="181">
        <f>'Stmts RUS'!S1</f>
        <v>0</v>
      </c>
      <c r="AA1" s="180">
        <f>'Stmts RUS'!T1</f>
        <v>2014</v>
      </c>
      <c r="AB1" s="180">
        <f>'Stmts RUS'!U1</f>
        <v>2014</v>
      </c>
      <c r="AC1" s="180">
        <f>'Stmts RUS'!V1</f>
        <v>2014</v>
      </c>
      <c r="AD1" s="180">
        <f>'Stmts RUS'!W1</f>
        <v>2014</v>
      </c>
      <c r="AE1" s="180">
        <f>'Stmts RUS'!X1</f>
        <v>2014</v>
      </c>
      <c r="AF1" s="180">
        <f>'Stmts RUS'!Y1</f>
        <v>2014</v>
      </c>
      <c r="AG1" s="180">
        <f>'Stmts RUS'!Z1</f>
        <v>2014</v>
      </c>
      <c r="AH1" s="180">
        <f>'Stmts RUS'!AA1</f>
        <v>2014</v>
      </c>
      <c r="AI1" s="180">
        <f>'Stmts RUS'!AB1</f>
        <v>2014</v>
      </c>
      <c r="AJ1" s="180">
        <f>'Stmts RUS'!AC1</f>
        <v>2014</v>
      </c>
      <c r="AK1" s="180">
        <f>'Stmts RUS'!AD1</f>
        <v>2014</v>
      </c>
      <c r="AL1" s="180">
        <f>'Stmts RUS'!AE1</f>
        <v>2014</v>
      </c>
      <c r="AM1" s="181">
        <f>'Stmts RUS'!AF1</f>
        <v>0</v>
      </c>
      <c r="AY1" s="904"/>
      <c r="AZ1" s="904"/>
    </row>
    <row r="2" spans="1:52" s="1" customFormat="1">
      <c r="C2" s="180"/>
      <c r="D2" s="187"/>
      <c r="E2" s="180"/>
      <c r="F2" s="180"/>
      <c r="G2" s="180"/>
      <c r="H2" s="180"/>
      <c r="I2" s="180"/>
      <c r="J2" s="180"/>
      <c r="K2" s="180"/>
      <c r="L2" s="180"/>
      <c r="M2" s="181"/>
      <c r="N2" s="180" t="str">
        <f>'Stmts RUS'!G2</f>
        <v>January</v>
      </c>
      <c r="O2" s="180" t="str">
        <f>'Stmts RUS'!H2</f>
        <v>February</v>
      </c>
      <c r="P2" s="180" t="str">
        <f>'Stmts RUS'!I2</f>
        <v>March</v>
      </c>
      <c r="Q2" s="180" t="str">
        <f>'Stmts RUS'!J2</f>
        <v>April</v>
      </c>
      <c r="R2" s="180" t="str">
        <f>'Stmts RUS'!K2</f>
        <v>May</v>
      </c>
      <c r="S2" s="180" t="str">
        <f>'Stmts RUS'!L2</f>
        <v>June</v>
      </c>
      <c r="T2" s="180" t="str">
        <f>'Stmts RUS'!M2</f>
        <v>July</v>
      </c>
      <c r="U2" s="180" t="str">
        <f>'Stmts RUS'!N2</f>
        <v>August</v>
      </c>
      <c r="V2" s="180" t="str">
        <f>'Stmts RUS'!O2</f>
        <v>September</v>
      </c>
      <c r="W2" s="180" t="str">
        <f>'Stmts RUS'!P2</f>
        <v>October</v>
      </c>
      <c r="X2" s="180" t="str">
        <f>'Stmts RUS'!Q2</f>
        <v>November</v>
      </c>
      <c r="Y2" s="180" t="str">
        <f>'Stmts RUS'!R2</f>
        <v>December</v>
      </c>
      <c r="Z2" s="181">
        <f>'Stmts RUS'!S2</f>
        <v>2013</v>
      </c>
      <c r="AA2" s="180" t="str">
        <f>'Stmts RUS'!T2</f>
        <v>January</v>
      </c>
      <c r="AB2" s="180" t="str">
        <f>'Stmts RUS'!U2</f>
        <v>February</v>
      </c>
      <c r="AC2" s="180" t="str">
        <f>'Stmts RUS'!V2</f>
        <v>March</v>
      </c>
      <c r="AD2" s="180" t="str">
        <f>'Stmts RUS'!W2</f>
        <v>April</v>
      </c>
      <c r="AE2" s="180" t="str">
        <f>'Stmts RUS'!X2</f>
        <v>May</v>
      </c>
      <c r="AF2" s="180" t="str">
        <f>'Stmts RUS'!Y2</f>
        <v>June</v>
      </c>
      <c r="AG2" s="180" t="str">
        <f>'Stmts RUS'!Z2</f>
        <v>July</v>
      </c>
      <c r="AH2" s="180" t="str">
        <f>'Stmts RUS'!AA2</f>
        <v>August</v>
      </c>
      <c r="AI2" s="180" t="str">
        <f>'Stmts RUS'!AB2</f>
        <v>September</v>
      </c>
      <c r="AJ2" s="180" t="str">
        <f>'Stmts RUS'!AC2</f>
        <v>October</v>
      </c>
      <c r="AK2" s="180" t="str">
        <f>'Stmts RUS'!AD2</f>
        <v>November</v>
      </c>
      <c r="AL2" s="180" t="str">
        <f>'Stmts RUS'!AE2</f>
        <v>December</v>
      </c>
      <c r="AM2" s="181">
        <f>'Stmts RUS'!AF2</f>
        <v>2014</v>
      </c>
      <c r="AN2" s="208">
        <f>'Stmts RUS'!AG2</f>
        <v>2015</v>
      </c>
      <c r="AO2" s="208">
        <f>'Stmts RUS'!AH2</f>
        <v>2016</v>
      </c>
      <c r="AP2" s="208">
        <f>'Stmts RUS'!AI2</f>
        <v>2017</v>
      </c>
      <c r="AQ2" s="208">
        <f>'Stmts RUS'!AJ2</f>
        <v>2018</v>
      </c>
      <c r="AR2" s="208">
        <f>'Stmts RUS'!AK2</f>
        <v>2019</v>
      </c>
      <c r="AS2" s="208">
        <f>'Stmts RUS'!AL2</f>
        <v>2020</v>
      </c>
      <c r="AT2" s="208">
        <f>'Stmts RUS'!AM2</f>
        <v>2021</v>
      </c>
      <c r="AU2" s="208">
        <f>'Stmts RUS'!AN2</f>
        <v>2022</v>
      </c>
      <c r="AV2" s="208">
        <f>'Stmts RUS'!AO2</f>
        <v>2023</v>
      </c>
      <c r="AW2" s="208">
        <f>'Stmts RUS'!AP2</f>
        <v>2024</v>
      </c>
      <c r="AX2" s="208">
        <f>'Stmts RUS'!AQ2</f>
        <v>2025</v>
      </c>
      <c r="AY2" s="905"/>
      <c r="AZ2" s="905"/>
    </row>
    <row r="3" spans="1:52" s="1" customFormat="1">
      <c r="D3" s="168"/>
      <c r="M3" s="181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1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1"/>
      <c r="AY3" s="904"/>
      <c r="AZ3" s="904"/>
    </row>
    <row r="4" spans="1:52">
      <c r="B4" s="231" t="s">
        <v>534</v>
      </c>
      <c r="C4" s="180"/>
      <c r="D4" s="187"/>
      <c r="E4" s="180"/>
      <c r="F4" s="180"/>
      <c r="G4" s="180"/>
      <c r="H4" s="180"/>
      <c r="I4" s="180"/>
      <c r="J4" s="180"/>
      <c r="K4" s="180"/>
      <c r="L4" s="180"/>
      <c r="M4" s="298"/>
      <c r="N4" s="180">
        <v>31</v>
      </c>
      <c r="O4" s="180">
        <v>28</v>
      </c>
      <c r="P4" s="180">
        <v>31</v>
      </c>
      <c r="Q4" s="180">
        <v>30</v>
      </c>
      <c r="R4" s="180">
        <v>31</v>
      </c>
      <c r="S4" s="180">
        <v>30</v>
      </c>
      <c r="T4" s="180">
        <v>31</v>
      </c>
      <c r="U4" s="180">
        <v>31</v>
      </c>
      <c r="V4" s="180">
        <v>30</v>
      </c>
      <c r="W4" s="180">
        <v>31</v>
      </c>
      <c r="X4" s="180">
        <v>30</v>
      </c>
      <c r="Y4" s="180">
        <v>31</v>
      </c>
      <c r="Z4" s="298">
        <f>SUM(N4:Y4)</f>
        <v>365</v>
      </c>
      <c r="AA4" s="180">
        <v>31</v>
      </c>
      <c r="AB4" s="180">
        <v>28</v>
      </c>
      <c r="AC4" s="180">
        <v>31</v>
      </c>
      <c r="AD4" s="180">
        <v>30</v>
      </c>
      <c r="AE4" s="180">
        <v>31</v>
      </c>
      <c r="AF4" s="180">
        <v>30</v>
      </c>
      <c r="AG4" s="180">
        <v>31</v>
      </c>
      <c r="AH4" s="180">
        <v>31</v>
      </c>
      <c r="AI4" s="180">
        <v>30</v>
      </c>
      <c r="AJ4" s="180">
        <v>31</v>
      </c>
      <c r="AK4" s="180">
        <v>30</v>
      </c>
      <c r="AL4" s="180">
        <v>31</v>
      </c>
      <c r="AM4" s="298">
        <f>SUM(AA4:AL4)</f>
        <v>365</v>
      </c>
      <c r="AN4">
        <v>365</v>
      </c>
      <c r="AO4">
        <v>366</v>
      </c>
      <c r="AP4">
        <v>365</v>
      </c>
      <c r="AQ4">
        <v>365</v>
      </c>
      <c r="AR4">
        <v>365</v>
      </c>
      <c r="AS4">
        <v>366</v>
      </c>
      <c r="AT4">
        <v>365</v>
      </c>
      <c r="AU4">
        <v>365</v>
      </c>
      <c r="AV4">
        <v>365</v>
      </c>
      <c r="AW4">
        <v>366</v>
      </c>
      <c r="AX4">
        <v>365</v>
      </c>
    </row>
    <row r="5" spans="1:52">
      <c r="A5" s="6"/>
      <c r="B5" t="s">
        <v>568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89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89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837"/>
      <c r="AZ5" s="837"/>
    </row>
    <row r="6" spans="1:52" s="13" customFormat="1">
      <c r="A6" s="56"/>
      <c r="B6" s="478" t="s">
        <v>133</v>
      </c>
      <c r="D6" s="165"/>
      <c r="E6" s="230"/>
      <c r="F6" s="230"/>
      <c r="G6" s="330"/>
      <c r="H6" s="330"/>
      <c r="I6" s="330"/>
      <c r="J6" s="330"/>
      <c r="K6" s="330"/>
      <c r="L6" s="330"/>
      <c r="M6" s="171"/>
      <c r="N6" s="568">
        <v>0.24920700000000001</v>
      </c>
      <c r="O6" s="568">
        <v>0.20802899999999999</v>
      </c>
      <c r="P6" s="568">
        <v>0.18765899999999999</v>
      </c>
      <c r="Q6" s="568">
        <v>0.14787700000000001</v>
      </c>
      <c r="R6" s="568">
        <v>0.165188</v>
      </c>
      <c r="S6" s="568">
        <v>0.21676000000000001</v>
      </c>
      <c r="T6" s="568">
        <v>0.24324599999999999</v>
      </c>
      <c r="U6" s="568">
        <v>0.23417299999999999</v>
      </c>
      <c r="V6" s="568">
        <v>0.178893</v>
      </c>
      <c r="W6" s="568">
        <v>0.153974</v>
      </c>
      <c r="X6" s="568">
        <v>0.17926300000000001</v>
      </c>
      <c r="Y6" s="568">
        <v>0.245561</v>
      </c>
      <c r="Z6" s="679">
        <f>SUM(N6:Y6)</f>
        <v>2.4098299999999999</v>
      </c>
      <c r="AA6" s="568">
        <v>0.253218</v>
      </c>
      <c r="AB6" s="568">
        <v>0.21137600000000001</v>
      </c>
      <c r="AC6" s="568">
        <v>0.190689</v>
      </c>
      <c r="AD6" s="568">
        <v>0.15026999999999999</v>
      </c>
      <c r="AE6" s="568">
        <v>0.16786699999999999</v>
      </c>
      <c r="AF6" s="568">
        <v>0.220279</v>
      </c>
      <c r="AG6" s="568">
        <v>0.247192</v>
      </c>
      <c r="AH6" s="568">
        <v>0.23797499999999999</v>
      </c>
      <c r="AI6" s="568">
        <v>0.18179500000000001</v>
      </c>
      <c r="AJ6" s="568">
        <v>0.15646599999999999</v>
      </c>
      <c r="AK6" s="568">
        <v>0.18215799999999999</v>
      </c>
      <c r="AL6" s="568">
        <v>0.24950900000000001</v>
      </c>
      <c r="AM6" s="679">
        <f>SUM(AA6:AL6)</f>
        <v>2.4487940000000004</v>
      </c>
      <c r="AN6" s="576">
        <v>2.4796559999999999</v>
      </c>
      <c r="AO6" s="576">
        <v>2.5194369999999999</v>
      </c>
      <c r="AP6" s="540">
        <v>2.55653560136389</v>
      </c>
      <c r="AQ6" s="540">
        <v>2.5840164926056484</v>
      </c>
      <c r="AR6" s="540">
        <v>2.6114033762574791</v>
      </c>
      <c r="AS6" s="540">
        <v>2.6456058149199584</v>
      </c>
      <c r="AT6" s="540">
        <v>2.6807658009380657</v>
      </c>
      <c r="AU6" s="540">
        <v>2.7170675413719576</v>
      </c>
      <c r="AV6" s="540">
        <v>2.7541360305730471</v>
      </c>
      <c r="AW6" s="540">
        <v>2.7921748894342926</v>
      </c>
      <c r="AX6" s="540">
        <v>2.8299003046090974</v>
      </c>
      <c r="AY6" s="685"/>
      <c r="AZ6" s="685"/>
    </row>
    <row r="7" spans="1:52" s="13" customFormat="1">
      <c r="A7" s="56"/>
      <c r="B7" s="478" t="s">
        <v>134</v>
      </c>
      <c r="D7" s="165"/>
      <c r="E7" s="230"/>
      <c r="F7" s="230"/>
      <c r="G7" s="330"/>
      <c r="H7" s="330"/>
      <c r="I7" s="330"/>
      <c r="J7" s="330"/>
      <c r="K7" s="330"/>
      <c r="L7" s="330"/>
      <c r="M7" s="171"/>
      <c r="N7" s="568">
        <v>7.8513283399999981E-2</v>
      </c>
      <c r="O7" s="568">
        <v>7.4303305599999994E-2</v>
      </c>
      <c r="P7" s="568">
        <v>8.0396085200000023E-2</v>
      </c>
      <c r="Q7" s="568">
        <v>7.7222507999999981E-2</v>
      </c>
      <c r="R7" s="568">
        <v>7.9017435200000014E-2</v>
      </c>
      <c r="S7" s="568">
        <v>7.6864135999999986E-2</v>
      </c>
      <c r="T7" s="568">
        <v>8.2963563200000021E-2</v>
      </c>
      <c r="U7" s="568">
        <v>8.2164623199999981E-2</v>
      </c>
      <c r="V7" s="568">
        <v>7.6809088999999997E-2</v>
      </c>
      <c r="W7" s="568">
        <v>7.8868982199999993E-2</v>
      </c>
      <c r="X7" s="568">
        <v>7.6925885999999999E-2</v>
      </c>
      <c r="Y7" s="568">
        <v>7.89785452E-2</v>
      </c>
      <c r="Z7" s="679">
        <f>SUM(N7:Y7)</f>
        <v>0.94302744219999979</v>
      </c>
      <c r="AA7" s="568">
        <v>7.9184520199999997E-2</v>
      </c>
      <c r="AB7" s="568">
        <v>7.4303305599999994E-2</v>
      </c>
      <c r="AC7" s="568">
        <v>8.0396085200000023E-2</v>
      </c>
      <c r="AD7" s="568">
        <v>7.7222507999999981E-2</v>
      </c>
      <c r="AE7" s="568">
        <v>7.9017435200000014E-2</v>
      </c>
      <c r="AF7" s="568">
        <v>7.6864135999999986E-2</v>
      </c>
      <c r="AG7" s="568">
        <v>8.2963563200000021E-2</v>
      </c>
      <c r="AH7" s="568">
        <v>8.2164623199999981E-2</v>
      </c>
      <c r="AI7" s="568">
        <v>7.6809088999999997E-2</v>
      </c>
      <c r="AJ7" s="568">
        <v>7.8868982199999993E-2</v>
      </c>
      <c r="AK7" s="568">
        <v>7.6925885999999999E-2</v>
      </c>
      <c r="AL7" s="568">
        <v>7.89785452E-2</v>
      </c>
      <c r="AM7" s="679">
        <f>SUM(AA7:AL7)</f>
        <v>0.94369867899999971</v>
      </c>
      <c r="AN7" s="576">
        <v>0.94369867900000004</v>
      </c>
      <c r="AO7" s="576">
        <v>0.9441065782000001</v>
      </c>
      <c r="AP7" s="540">
        <v>0.94369867900000015</v>
      </c>
      <c r="AQ7" s="540">
        <v>0.94369867900000015</v>
      </c>
      <c r="AR7" s="540">
        <v>0.94369867900000015</v>
      </c>
      <c r="AS7" s="540">
        <v>0.9441065782000001</v>
      </c>
      <c r="AT7" s="540">
        <v>0.94369867900000015</v>
      </c>
      <c r="AU7" s="540">
        <v>0.94369867900000015</v>
      </c>
      <c r="AV7" s="540">
        <v>0.94369867900000015</v>
      </c>
      <c r="AW7" s="540">
        <v>0.9441065782000001</v>
      </c>
      <c r="AX7" s="540">
        <v>0.94369867900000015</v>
      </c>
      <c r="AY7" s="685"/>
      <c r="AZ7" s="685"/>
    </row>
    <row r="8" spans="1:52" s="13" customFormat="1">
      <c r="A8" s="56"/>
      <c r="B8" s="478" t="s">
        <v>135</v>
      </c>
      <c r="D8" s="165"/>
      <c r="E8" s="230"/>
      <c r="F8" s="230"/>
      <c r="G8" s="330"/>
      <c r="H8" s="330"/>
      <c r="I8" s="330"/>
      <c r="J8" s="330"/>
      <c r="K8" s="330"/>
      <c r="L8" s="330"/>
      <c r="M8" s="171"/>
      <c r="N8" s="568">
        <v>0.35143583999999994</v>
      </c>
      <c r="O8" s="568">
        <v>0.31742591999999997</v>
      </c>
      <c r="P8" s="568">
        <v>0.35143583999999994</v>
      </c>
      <c r="Q8" s="568">
        <v>0.34009919999999999</v>
      </c>
      <c r="R8" s="568">
        <v>0.35143583999999994</v>
      </c>
      <c r="S8" s="568">
        <v>0.34009919999999999</v>
      </c>
      <c r="T8" s="568">
        <v>0.35143583999999994</v>
      </c>
      <c r="U8" s="568">
        <v>0.21539615999999998</v>
      </c>
      <c r="V8" s="568">
        <v>0</v>
      </c>
      <c r="W8" s="568">
        <v>0</v>
      </c>
      <c r="X8" s="568">
        <v>0</v>
      </c>
      <c r="Y8" s="568">
        <v>0</v>
      </c>
      <c r="Z8" s="679">
        <f>SUM(N8:Y8)</f>
        <v>2.6187638399999997</v>
      </c>
      <c r="AA8" s="568">
        <v>0</v>
      </c>
      <c r="AB8" s="568">
        <v>0</v>
      </c>
      <c r="AC8" s="568">
        <v>0</v>
      </c>
      <c r="AD8" s="568">
        <v>0</v>
      </c>
      <c r="AE8" s="568">
        <v>0</v>
      </c>
      <c r="AF8" s="568">
        <v>0</v>
      </c>
      <c r="AG8" s="568">
        <v>0</v>
      </c>
      <c r="AH8" s="568">
        <v>0</v>
      </c>
      <c r="AI8" s="568">
        <v>0</v>
      </c>
      <c r="AJ8" s="568">
        <v>0</v>
      </c>
      <c r="AK8" s="568">
        <v>0</v>
      </c>
      <c r="AL8" s="568">
        <v>0</v>
      </c>
      <c r="AM8" s="679">
        <f>SUM(AA8:AL8)</f>
        <v>0</v>
      </c>
      <c r="AN8" s="576">
        <v>0</v>
      </c>
      <c r="AO8" s="576">
        <v>0</v>
      </c>
      <c r="AP8" s="540">
        <v>0</v>
      </c>
      <c r="AQ8" s="540">
        <v>0</v>
      </c>
      <c r="AR8" s="540">
        <v>0</v>
      </c>
      <c r="AS8" s="540">
        <v>0</v>
      </c>
      <c r="AT8" s="540">
        <v>0</v>
      </c>
      <c r="AU8" s="540">
        <v>0</v>
      </c>
      <c r="AV8" s="540">
        <v>0</v>
      </c>
      <c r="AW8" s="540">
        <v>0</v>
      </c>
      <c r="AX8" s="540">
        <v>0</v>
      </c>
      <c r="AY8" s="685"/>
      <c r="AZ8" s="685"/>
    </row>
    <row r="9" spans="1:52" s="13" customFormat="1">
      <c r="A9" s="56"/>
      <c r="B9" s="478" t="s">
        <v>136</v>
      </c>
      <c r="D9" s="165"/>
      <c r="E9" s="230"/>
      <c r="F9" s="230"/>
      <c r="G9" s="330"/>
      <c r="H9" s="330"/>
      <c r="I9" s="330"/>
      <c r="J9" s="330"/>
      <c r="K9" s="330"/>
      <c r="L9" s="330"/>
      <c r="M9" s="171"/>
      <c r="N9" s="568">
        <v>0.27560735999999997</v>
      </c>
      <c r="O9" s="568">
        <v>0.24893567999999999</v>
      </c>
      <c r="P9" s="568">
        <v>0.27560735999999997</v>
      </c>
      <c r="Q9" s="568">
        <v>0.26671679999999998</v>
      </c>
      <c r="R9" s="568">
        <v>0.27560735999999997</v>
      </c>
      <c r="S9" s="568">
        <v>0.26671679999999998</v>
      </c>
      <c r="T9" s="568">
        <v>0.26831615999999997</v>
      </c>
      <c r="U9" s="568">
        <v>0.26831615999999997</v>
      </c>
      <c r="V9" s="568">
        <v>0.25966079999999997</v>
      </c>
      <c r="W9" s="568">
        <v>0.26831615999999997</v>
      </c>
      <c r="X9" s="568">
        <v>0.25966079999999997</v>
      </c>
      <c r="Y9" s="568">
        <v>0.26831615999999997</v>
      </c>
      <c r="Z9" s="679">
        <f>SUM(N9:Y9)</f>
        <v>3.2017775999999993</v>
      </c>
      <c r="AA9" s="568">
        <v>0.26831615999999997</v>
      </c>
      <c r="AB9" s="568">
        <v>0.24235008</v>
      </c>
      <c r="AC9" s="568">
        <v>0.26831615999999997</v>
      </c>
      <c r="AD9" s="568">
        <v>0.25966079999999997</v>
      </c>
      <c r="AE9" s="568">
        <v>0.26831615999999997</v>
      </c>
      <c r="AF9" s="568">
        <v>0.25966079999999997</v>
      </c>
      <c r="AG9" s="568">
        <v>0.26831615999999997</v>
      </c>
      <c r="AH9" s="568">
        <v>0.26831615999999997</v>
      </c>
      <c r="AI9" s="568">
        <v>0.25966079999999997</v>
      </c>
      <c r="AJ9" s="568">
        <v>0.26831615999999997</v>
      </c>
      <c r="AK9" s="568">
        <v>0.25966079999999997</v>
      </c>
      <c r="AL9" s="568">
        <v>0.26831615999999997</v>
      </c>
      <c r="AM9" s="679">
        <f>SUM(AA9:AL9)</f>
        <v>3.1592063999999991</v>
      </c>
      <c r="AN9" s="576">
        <v>3.1592064</v>
      </c>
      <c r="AO9" s="576">
        <v>3.1678617599999996</v>
      </c>
      <c r="AP9" s="540">
        <v>3.1592064</v>
      </c>
      <c r="AQ9" s="540">
        <v>3.1592064</v>
      </c>
      <c r="AR9" s="540">
        <v>3.1592064</v>
      </c>
      <c r="AS9" s="540">
        <v>3.1678617599999996</v>
      </c>
      <c r="AT9" s="540">
        <v>3.1592064</v>
      </c>
      <c r="AU9" s="540">
        <v>3.1592064</v>
      </c>
      <c r="AV9" s="540">
        <v>3.1592064</v>
      </c>
      <c r="AW9" s="540">
        <v>3.1678617599999996</v>
      </c>
      <c r="AX9" s="540">
        <v>3.1592064</v>
      </c>
      <c r="AY9" s="685"/>
      <c r="AZ9" s="685"/>
    </row>
    <row r="10" spans="1:52" s="13" customFormat="1">
      <c r="A10" s="56"/>
      <c r="B10" s="478" t="s">
        <v>137</v>
      </c>
      <c r="C10" s="28"/>
      <c r="D10" s="366"/>
      <c r="E10" s="370"/>
      <c r="F10" s="370"/>
      <c r="G10" s="330"/>
      <c r="H10" s="330"/>
      <c r="I10" s="330"/>
      <c r="J10" s="330"/>
      <c r="K10" s="330"/>
      <c r="L10" s="330"/>
      <c r="M10" s="171"/>
      <c r="N10" s="568">
        <v>0.11071121660000027</v>
      </c>
      <c r="O10" s="568">
        <v>0.10718904440000013</v>
      </c>
      <c r="P10" s="568">
        <v>0.12990992480000016</v>
      </c>
      <c r="Q10" s="568">
        <v>7.7903891999999988E-2</v>
      </c>
      <c r="R10" s="568">
        <v>6.6624264799999888E-2</v>
      </c>
      <c r="S10" s="568">
        <v>6.0655164000000109E-2</v>
      </c>
      <c r="T10" s="568">
        <v>8.284092680000002E-2</v>
      </c>
      <c r="U10" s="568">
        <v>0.19666989680000022</v>
      </c>
      <c r="V10" s="568">
        <v>0.16425139099999994</v>
      </c>
      <c r="W10" s="568">
        <v>0.24548239780000014</v>
      </c>
      <c r="X10" s="568">
        <v>0.20776578399999998</v>
      </c>
      <c r="Y10" s="568">
        <v>0.15332464480000002</v>
      </c>
      <c r="Z10" s="679">
        <f>SUM(N10:Y10)</f>
        <v>1.603328547800001</v>
      </c>
      <c r="AA10" s="568">
        <v>0.16635548979999987</v>
      </c>
      <c r="AB10" s="568">
        <v>0.15724794440000026</v>
      </c>
      <c r="AC10" s="568">
        <v>0.12020039480000001</v>
      </c>
      <c r="AD10" s="568">
        <v>0.11222153200000001</v>
      </c>
      <c r="AE10" s="568">
        <v>0.11080214479999989</v>
      </c>
      <c r="AF10" s="568">
        <v>0.12743137399999996</v>
      </c>
      <c r="AG10" s="568">
        <v>0.11323928679999988</v>
      </c>
      <c r="AH10" s="568">
        <v>0.12200746680000005</v>
      </c>
      <c r="AI10" s="568">
        <v>0.15862671099999989</v>
      </c>
      <c r="AJ10" s="568">
        <v>0.23872363780000003</v>
      </c>
      <c r="AK10" s="568">
        <v>0.19809810399999994</v>
      </c>
      <c r="AL10" s="568">
        <v>0.14185676480000001</v>
      </c>
      <c r="AM10" s="679">
        <f>SUM(AA10:AL10)</f>
        <v>1.7668108509999993</v>
      </c>
      <c r="AN10" s="576">
        <v>1.708235921</v>
      </c>
      <c r="AO10" s="576">
        <v>1.6273758318000002</v>
      </c>
      <c r="AP10" s="540">
        <v>1.5553636296361089</v>
      </c>
      <c r="AQ10" s="540">
        <v>1.6007648783943504</v>
      </c>
      <c r="AR10" s="540">
        <v>4.9791122247425204</v>
      </c>
      <c r="AS10" s="540">
        <v>5.6497035268800397</v>
      </c>
      <c r="AT10" s="540">
        <v>5.2678324900619309</v>
      </c>
      <c r="AU10" s="540">
        <v>5.55767198962804</v>
      </c>
      <c r="AV10" s="540">
        <v>5.1099997804269526</v>
      </c>
      <c r="AW10" s="540">
        <v>5.2419056023657102</v>
      </c>
      <c r="AX10" s="540">
        <v>4.8589635963909013</v>
      </c>
      <c r="AY10" s="685"/>
      <c r="AZ10" s="685"/>
    </row>
    <row r="11" spans="1:52" s="13" customFormat="1" ht="13.5" thickBot="1">
      <c r="A11" s="56"/>
      <c r="B11" s="478" t="s">
        <v>569</v>
      </c>
      <c r="C11" s="32"/>
      <c r="D11" s="371"/>
      <c r="E11" s="32"/>
      <c r="F11" s="32"/>
      <c r="G11" s="63"/>
      <c r="H11" s="63"/>
      <c r="I11" s="63"/>
      <c r="J11" s="63"/>
      <c r="K11" s="63"/>
      <c r="L11" s="63"/>
      <c r="M11" s="188"/>
      <c r="N11" s="680">
        <f t="shared" ref="N11:AO11" si="0">SUM(N6:N10)</f>
        <v>1.0654747000000002</v>
      </c>
      <c r="O11" s="680">
        <f t="shared" si="0"/>
        <v>0.95588295000000012</v>
      </c>
      <c r="P11" s="680">
        <f t="shared" si="0"/>
        <v>1.02500821</v>
      </c>
      <c r="Q11" s="680">
        <f t="shared" si="0"/>
        <v>0.90981940000000006</v>
      </c>
      <c r="R11" s="680">
        <f t="shared" si="0"/>
        <v>0.9378728999999999</v>
      </c>
      <c r="S11" s="680">
        <f t="shared" si="0"/>
        <v>0.9610953000000001</v>
      </c>
      <c r="T11" s="680">
        <f t="shared" si="0"/>
        <v>1.0288024899999999</v>
      </c>
      <c r="U11" s="680">
        <f t="shared" si="0"/>
        <v>0.99671984000000013</v>
      </c>
      <c r="V11" s="680">
        <f t="shared" si="0"/>
        <v>0.6796142799999999</v>
      </c>
      <c r="W11" s="680">
        <f t="shared" si="0"/>
        <v>0.74664154000000005</v>
      </c>
      <c r="X11" s="680">
        <f t="shared" si="0"/>
        <v>0.72361546999999993</v>
      </c>
      <c r="Y11" s="680">
        <f t="shared" si="0"/>
        <v>0.74618034999999994</v>
      </c>
      <c r="Z11" s="681">
        <f t="shared" si="0"/>
        <v>10.776727429999999</v>
      </c>
      <c r="AA11" s="680">
        <f t="shared" si="0"/>
        <v>0.76707416999999989</v>
      </c>
      <c r="AB11" s="680">
        <f t="shared" si="0"/>
        <v>0.68527733000000024</v>
      </c>
      <c r="AC11" s="680">
        <f t="shared" si="0"/>
        <v>0.65960163999999999</v>
      </c>
      <c r="AD11" s="680">
        <f t="shared" si="0"/>
        <v>0.59937483999999996</v>
      </c>
      <c r="AE11" s="680">
        <f t="shared" si="0"/>
        <v>0.62600273999999989</v>
      </c>
      <c r="AF11" s="680">
        <f t="shared" si="0"/>
        <v>0.68423530999999982</v>
      </c>
      <c r="AG11" s="680">
        <f t="shared" si="0"/>
        <v>0.71171100999999981</v>
      </c>
      <c r="AH11" s="680">
        <f t="shared" si="0"/>
        <v>0.71046324999999999</v>
      </c>
      <c r="AI11" s="680">
        <f t="shared" si="0"/>
        <v>0.67689159999999982</v>
      </c>
      <c r="AJ11" s="680">
        <f t="shared" si="0"/>
        <v>0.74237478000000001</v>
      </c>
      <c r="AK11" s="680">
        <f t="shared" si="0"/>
        <v>0.71684278999999995</v>
      </c>
      <c r="AL11" s="680">
        <f t="shared" si="0"/>
        <v>0.7386604699999999</v>
      </c>
      <c r="AM11" s="681">
        <f t="shared" si="0"/>
        <v>8.3185099299999976</v>
      </c>
      <c r="AN11" s="680">
        <f t="shared" si="0"/>
        <v>8.2907969999999995</v>
      </c>
      <c r="AO11" s="680">
        <f t="shared" si="0"/>
        <v>8.2587811699999989</v>
      </c>
      <c r="AP11" s="680">
        <f t="shared" ref="AP11:AX11" si="1">SUM(AP6:AP10)</f>
        <v>8.2148043099999981</v>
      </c>
      <c r="AQ11" s="680">
        <f t="shared" si="1"/>
        <v>8.2876864499999989</v>
      </c>
      <c r="AR11" s="680">
        <f t="shared" si="1"/>
        <v>11.693420679999999</v>
      </c>
      <c r="AS11" s="680">
        <f t="shared" si="1"/>
        <v>12.407277679999996</v>
      </c>
      <c r="AT11" s="680">
        <f t="shared" si="1"/>
        <v>12.051503369999997</v>
      </c>
      <c r="AU11" s="680">
        <f t="shared" si="1"/>
        <v>12.377644609999997</v>
      </c>
      <c r="AV11" s="680">
        <f t="shared" si="1"/>
        <v>11.96704089</v>
      </c>
      <c r="AW11" s="680">
        <f t="shared" si="1"/>
        <v>12.146048830000002</v>
      </c>
      <c r="AX11" s="680">
        <f t="shared" si="1"/>
        <v>11.791768979999999</v>
      </c>
      <c r="AY11" s="682"/>
      <c r="AZ11" s="682"/>
    </row>
    <row r="12" spans="1:52" s="13" customFormat="1" ht="13.5" thickTop="1">
      <c r="A12" s="56"/>
      <c r="C12" s="32"/>
      <c r="D12" s="371"/>
      <c r="E12" s="32"/>
      <c r="F12" s="32"/>
      <c r="G12" s="32"/>
      <c r="H12" s="32"/>
      <c r="I12" s="32"/>
      <c r="J12" s="32"/>
      <c r="K12" s="32"/>
      <c r="L12" s="32"/>
      <c r="M12" s="175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3"/>
      <c r="AA12" s="682"/>
      <c r="AB12" s="682"/>
      <c r="AC12" s="682"/>
      <c r="AD12" s="682"/>
      <c r="AE12" s="682"/>
      <c r="AF12" s="682"/>
      <c r="AG12" s="682"/>
      <c r="AH12" s="682"/>
      <c r="AI12" s="682"/>
      <c r="AJ12" s="682"/>
      <c r="AK12" s="682"/>
      <c r="AL12" s="682"/>
      <c r="AM12" s="683"/>
      <c r="AN12" s="682"/>
      <c r="AO12" s="682"/>
      <c r="AP12" s="682"/>
      <c r="AQ12" s="682"/>
      <c r="AR12" s="682"/>
      <c r="AS12" s="682"/>
      <c r="AT12" s="682"/>
      <c r="AU12" s="682"/>
      <c r="AV12" s="682"/>
      <c r="AW12" s="682"/>
      <c r="AX12" s="682"/>
      <c r="AY12" s="682"/>
      <c r="AZ12" s="682"/>
    </row>
    <row r="13" spans="1:52" s="13" customFormat="1">
      <c r="A13" s="56"/>
      <c r="B13" s="324" t="s">
        <v>570</v>
      </c>
      <c r="C13" s="32"/>
      <c r="D13" s="371"/>
      <c r="E13" s="32"/>
      <c r="F13" s="32"/>
      <c r="G13" s="32"/>
      <c r="H13" s="32"/>
      <c r="I13" s="32"/>
      <c r="J13" s="32"/>
      <c r="K13" s="32"/>
      <c r="L13" s="32"/>
      <c r="M13" s="175"/>
      <c r="N13" s="682"/>
      <c r="O13" s="682"/>
      <c r="P13" s="682"/>
      <c r="Q13" s="682"/>
      <c r="R13" s="682"/>
      <c r="S13" s="682"/>
      <c r="T13" s="682"/>
      <c r="U13" s="682"/>
      <c r="V13" s="682"/>
      <c r="W13" s="682"/>
      <c r="X13" s="682"/>
      <c r="Y13" s="682"/>
      <c r="Z13" s="683"/>
      <c r="AA13" s="682"/>
      <c r="AB13" s="682"/>
      <c r="AC13" s="682"/>
      <c r="AD13" s="682"/>
      <c r="AE13" s="682"/>
      <c r="AF13" s="682"/>
      <c r="AG13" s="682"/>
      <c r="AH13" s="682"/>
      <c r="AI13" s="682"/>
      <c r="AJ13" s="682"/>
      <c r="AK13" s="682"/>
      <c r="AL13" s="682"/>
      <c r="AM13" s="683"/>
      <c r="AN13" s="682"/>
      <c r="AO13" s="682"/>
      <c r="AP13" s="682"/>
      <c r="AQ13" s="682"/>
      <c r="AR13" s="682"/>
      <c r="AS13" s="682"/>
      <c r="AT13" s="682"/>
      <c r="AU13" s="682"/>
      <c r="AV13" s="682"/>
      <c r="AW13" s="682"/>
      <c r="AX13" s="682"/>
      <c r="AY13" s="682"/>
      <c r="AZ13" s="682"/>
    </row>
    <row r="14" spans="1:52" s="13" customFormat="1">
      <c r="A14" s="56"/>
      <c r="B14" s="478" t="s">
        <v>133</v>
      </c>
      <c r="C14" s="32"/>
      <c r="D14" s="371"/>
      <c r="E14" s="32"/>
      <c r="F14" s="32"/>
      <c r="G14" s="32"/>
      <c r="H14" s="32"/>
      <c r="I14" s="32"/>
      <c r="J14" s="32"/>
      <c r="K14" s="32"/>
      <c r="L14" s="32"/>
      <c r="M14" s="175"/>
      <c r="N14" s="684">
        <v>540.18379758393633</v>
      </c>
      <c r="O14" s="684">
        <v>482.11110316505574</v>
      </c>
      <c r="P14" s="684">
        <v>418.8091915883416</v>
      </c>
      <c r="Q14" s="684">
        <v>328.15284849641893</v>
      </c>
      <c r="R14" s="684">
        <v>374.54943506848412</v>
      </c>
      <c r="S14" s="684">
        <v>472.17387995004088</v>
      </c>
      <c r="T14" s="684">
        <v>493.51298431943826</v>
      </c>
      <c r="U14" s="684">
        <v>533.47760923493445</v>
      </c>
      <c r="V14" s="684">
        <v>416.26091057680179</v>
      </c>
      <c r="W14" s="684">
        <v>336.40905340911473</v>
      </c>
      <c r="X14" s="684">
        <v>377.16825728284357</v>
      </c>
      <c r="Y14" s="684">
        <v>494.38129788223404</v>
      </c>
      <c r="Z14" s="683">
        <f>SUM(N14:Y14)</f>
        <v>5267.1903685576444</v>
      </c>
      <c r="AA14" s="684">
        <v>548.56241299857913</v>
      </c>
      <c r="AB14" s="684">
        <v>489.59701333226968</v>
      </c>
      <c r="AC14" s="684">
        <v>425.32392228478767</v>
      </c>
      <c r="AD14" s="684">
        <v>333.26684508975012</v>
      </c>
      <c r="AE14" s="684">
        <v>380.07221055024843</v>
      </c>
      <c r="AF14" s="684">
        <v>479.13352411736156</v>
      </c>
      <c r="AG14" s="684">
        <v>500.78690408520919</v>
      </c>
      <c r="AH14" s="684">
        <v>541.33449919618909</v>
      </c>
      <c r="AI14" s="684">
        <v>422.41288528817722</v>
      </c>
      <c r="AJ14" s="684">
        <v>341.34280563543973</v>
      </c>
      <c r="AK14" s="684">
        <v>383.0593849815703</v>
      </c>
      <c r="AL14" s="684">
        <v>502.05660288026729</v>
      </c>
      <c r="AM14" s="683">
        <f>SUM(AA14:AL14)</f>
        <v>5346.9490104398483</v>
      </c>
      <c r="AN14" s="684">
        <v>5410.4289682932076</v>
      </c>
      <c r="AO14" s="684">
        <v>5491.8591983965698</v>
      </c>
      <c r="AP14" s="685">
        <v>5567.856575417527</v>
      </c>
      <c r="AQ14" s="685">
        <v>5624.5912478893533</v>
      </c>
      <c r="AR14" s="685">
        <v>5681.152551670566</v>
      </c>
      <c r="AS14" s="685">
        <v>5751.297665740085</v>
      </c>
      <c r="AT14" s="685">
        <v>5823.3590934616495</v>
      </c>
      <c r="AU14" s="685">
        <v>5897.7628031303275</v>
      </c>
      <c r="AV14" s="685">
        <v>5973.7284759417334</v>
      </c>
      <c r="AW14" s="685">
        <v>6051.6713337058372</v>
      </c>
      <c r="AX14" s="685">
        <v>6128.9470988251414</v>
      </c>
      <c r="AY14" s="685"/>
      <c r="AZ14" s="685"/>
    </row>
    <row r="15" spans="1:52" s="13" customFormat="1">
      <c r="A15" s="56"/>
      <c r="B15" s="478" t="s">
        <v>134</v>
      </c>
      <c r="C15" s="32"/>
      <c r="D15" s="371"/>
      <c r="E15" s="32"/>
      <c r="F15" s="32"/>
      <c r="G15" s="32"/>
      <c r="H15" s="32"/>
      <c r="I15" s="32"/>
      <c r="J15" s="32"/>
      <c r="K15" s="32"/>
      <c r="L15" s="32"/>
      <c r="M15" s="175"/>
      <c r="N15" s="684">
        <v>139.274</v>
      </c>
      <c r="O15" s="684">
        <v>139.89700000000002</v>
      </c>
      <c r="P15" s="684">
        <v>139.11200000000005</v>
      </c>
      <c r="Q15" s="684">
        <v>139.40100000000004</v>
      </c>
      <c r="R15" s="684">
        <v>138.43100000000001</v>
      </c>
      <c r="S15" s="684">
        <v>138.52900000000002</v>
      </c>
      <c r="T15" s="684">
        <v>143.18800000000002</v>
      </c>
      <c r="U15" s="684">
        <v>143.54300000000003</v>
      </c>
      <c r="V15" s="684">
        <v>136.42100000000002</v>
      </c>
      <c r="W15" s="684">
        <v>138.47200000000004</v>
      </c>
      <c r="X15" s="684">
        <v>138.43100000000001</v>
      </c>
      <c r="Y15" s="684">
        <v>138.59500000000003</v>
      </c>
      <c r="Z15" s="683">
        <f>SUM(N15:Y15)</f>
        <v>1673.2940000000003</v>
      </c>
      <c r="AA15" s="684">
        <v>140.57400000000001</v>
      </c>
      <c r="AB15" s="684">
        <v>139.89700000000002</v>
      </c>
      <c r="AC15" s="684">
        <v>139.11200000000005</v>
      </c>
      <c r="AD15" s="684">
        <v>139.40100000000004</v>
      </c>
      <c r="AE15" s="684">
        <v>138.43100000000001</v>
      </c>
      <c r="AF15" s="684">
        <v>138.52900000000002</v>
      </c>
      <c r="AG15" s="684">
        <v>143.18800000000002</v>
      </c>
      <c r="AH15" s="684">
        <v>143.54300000000003</v>
      </c>
      <c r="AI15" s="684">
        <v>136.42100000000002</v>
      </c>
      <c r="AJ15" s="684">
        <v>138.47200000000004</v>
      </c>
      <c r="AK15" s="684">
        <v>138.43100000000001</v>
      </c>
      <c r="AL15" s="684">
        <v>138.59500000000003</v>
      </c>
      <c r="AM15" s="683">
        <f>SUM(AA15:AL15)</f>
        <v>1674.5940000000003</v>
      </c>
      <c r="AN15" s="684">
        <v>1674.5940000000003</v>
      </c>
      <c r="AO15" s="684">
        <v>1674.5940000000003</v>
      </c>
      <c r="AP15" s="685">
        <v>1674.5940000000001</v>
      </c>
      <c r="AQ15" s="685">
        <v>1674.5940000000001</v>
      </c>
      <c r="AR15" s="685">
        <v>1674.5940000000001</v>
      </c>
      <c r="AS15" s="685">
        <v>1674.5940000000001</v>
      </c>
      <c r="AT15" s="685">
        <v>1674.5940000000001</v>
      </c>
      <c r="AU15" s="685">
        <v>1674.5940000000001</v>
      </c>
      <c r="AV15" s="685">
        <v>1674.5940000000001</v>
      </c>
      <c r="AW15" s="685">
        <v>1674.5940000000001</v>
      </c>
      <c r="AX15" s="685">
        <v>1674.5940000000001</v>
      </c>
      <c r="AY15" s="685"/>
      <c r="AZ15" s="685"/>
    </row>
    <row r="16" spans="1:52" s="13" customFormat="1">
      <c r="A16" s="56"/>
      <c r="C16" s="32"/>
      <c r="D16" s="371"/>
      <c r="E16" s="32"/>
      <c r="F16" s="32"/>
      <c r="G16" s="32"/>
      <c r="H16" s="32"/>
      <c r="I16" s="32"/>
      <c r="J16" s="32"/>
      <c r="K16" s="32"/>
      <c r="L16" s="32"/>
      <c r="M16" s="175"/>
      <c r="N16" s="686"/>
      <c r="O16" s="686"/>
      <c r="P16" s="686"/>
      <c r="Q16" s="686"/>
      <c r="R16" s="686"/>
      <c r="S16" s="686"/>
      <c r="T16" s="686"/>
      <c r="U16" s="686"/>
      <c r="V16" s="686"/>
      <c r="W16" s="686"/>
      <c r="X16" s="686"/>
      <c r="Y16" s="686"/>
      <c r="Z16" s="683"/>
      <c r="AA16" s="686"/>
      <c r="AB16" s="686"/>
      <c r="AC16" s="686"/>
      <c r="AD16" s="686"/>
      <c r="AE16" s="686"/>
      <c r="AF16" s="686"/>
      <c r="AG16" s="686"/>
      <c r="AH16" s="686"/>
      <c r="AI16" s="686"/>
      <c r="AJ16" s="686"/>
      <c r="AK16" s="686"/>
      <c r="AL16" s="686"/>
      <c r="AM16" s="683"/>
      <c r="AN16" s="685"/>
      <c r="AO16" s="685"/>
      <c r="AP16" s="685"/>
      <c r="AQ16" s="685"/>
      <c r="AR16" s="685"/>
      <c r="AS16" s="685"/>
      <c r="AT16" s="685"/>
      <c r="AU16" s="685"/>
      <c r="AV16" s="685"/>
      <c r="AW16" s="685"/>
      <c r="AX16" s="685"/>
      <c r="AY16" s="685"/>
      <c r="AZ16" s="685"/>
    </row>
    <row r="17" spans="1:52" s="13" customFormat="1">
      <c r="A17" s="56"/>
      <c r="C17" s="32"/>
      <c r="D17" s="371"/>
      <c r="E17" s="32"/>
      <c r="F17" s="32"/>
      <c r="G17" s="32"/>
      <c r="H17" s="32"/>
      <c r="I17" s="32"/>
      <c r="J17" s="32"/>
      <c r="K17" s="32"/>
      <c r="L17" s="32"/>
      <c r="M17" s="175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3"/>
      <c r="AA17" s="686"/>
      <c r="AB17" s="686"/>
      <c r="AC17" s="686"/>
      <c r="AD17" s="686"/>
      <c r="AE17" s="686"/>
      <c r="AF17" s="686"/>
      <c r="AG17" s="686"/>
      <c r="AH17" s="686"/>
      <c r="AI17" s="686"/>
      <c r="AJ17" s="686"/>
      <c r="AK17" s="686"/>
      <c r="AL17" s="686"/>
      <c r="AM17" s="683"/>
      <c r="AN17" s="685"/>
      <c r="AO17" s="685"/>
      <c r="AP17" s="685"/>
      <c r="AQ17" s="685"/>
      <c r="AR17" s="685"/>
      <c r="AS17" s="685"/>
      <c r="AT17" s="685"/>
      <c r="AU17" s="685"/>
      <c r="AV17" s="685"/>
      <c r="AW17" s="685"/>
      <c r="AX17" s="685"/>
      <c r="AY17" s="685"/>
      <c r="AZ17" s="685"/>
    </row>
    <row r="18" spans="1:52" s="13" customFormat="1">
      <c r="A18" s="56"/>
      <c r="C18" s="28"/>
      <c r="D18" s="366"/>
      <c r="E18" s="28"/>
      <c r="F18" s="28"/>
      <c r="M18" s="88"/>
      <c r="N18" s="687"/>
      <c r="O18" s="687"/>
      <c r="P18" s="687"/>
      <c r="Q18" s="687"/>
      <c r="R18" s="687"/>
      <c r="S18" s="687"/>
      <c r="T18" s="687"/>
      <c r="U18" s="687"/>
      <c r="V18" s="687"/>
      <c r="W18" s="687"/>
      <c r="X18" s="687"/>
      <c r="Y18" s="687"/>
      <c r="Z18" s="688"/>
      <c r="AA18" s="687"/>
      <c r="AB18" s="687"/>
      <c r="AC18" s="687"/>
      <c r="AD18" s="687"/>
      <c r="AE18" s="687"/>
      <c r="AF18" s="687"/>
      <c r="AG18" s="687"/>
      <c r="AH18" s="687"/>
      <c r="AI18" s="687"/>
      <c r="AJ18" s="687"/>
      <c r="AK18" s="687"/>
      <c r="AL18" s="687"/>
      <c r="AM18" s="688"/>
      <c r="AN18" s="540"/>
      <c r="AO18" s="540"/>
      <c r="AP18" s="540"/>
      <c r="AQ18" s="540"/>
      <c r="AR18" s="540"/>
      <c r="AS18" s="540"/>
      <c r="AT18" s="540"/>
      <c r="AU18" s="540"/>
      <c r="AV18" s="540"/>
      <c r="AW18" s="540"/>
      <c r="AX18" s="540"/>
      <c r="AY18" s="685"/>
      <c r="AZ18" s="685"/>
    </row>
    <row r="19" spans="1:52" s="13" customFormat="1">
      <c r="A19" s="56"/>
      <c r="B19" s="13" t="s">
        <v>535</v>
      </c>
      <c r="C19" s="28"/>
      <c r="D19" s="366"/>
      <c r="E19" s="28"/>
      <c r="F19" s="28"/>
      <c r="M19" s="88"/>
      <c r="N19" s="687"/>
      <c r="O19" s="687"/>
      <c r="P19" s="687"/>
      <c r="Q19" s="687"/>
      <c r="R19" s="687"/>
      <c r="S19" s="687"/>
      <c r="T19" s="687"/>
      <c r="U19" s="687"/>
      <c r="V19" s="687"/>
      <c r="W19" s="687"/>
      <c r="X19" s="687"/>
      <c r="Y19" s="687"/>
      <c r="Z19" s="688"/>
      <c r="AA19" s="687"/>
      <c r="AB19" s="687"/>
      <c r="AC19" s="687"/>
      <c r="AD19" s="687"/>
      <c r="AE19" s="687"/>
      <c r="AF19" s="687"/>
      <c r="AG19" s="687"/>
      <c r="AH19" s="687"/>
      <c r="AI19" s="687"/>
      <c r="AJ19" s="687"/>
      <c r="AK19" s="687"/>
      <c r="AL19" s="687"/>
      <c r="AM19" s="688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685"/>
      <c r="AZ19" s="685"/>
    </row>
    <row r="20" spans="1:52" s="13" customFormat="1">
      <c r="A20" s="56"/>
      <c r="B20" s="257" t="s">
        <v>356</v>
      </c>
      <c r="C20" s="28"/>
      <c r="D20" s="366"/>
      <c r="E20" s="70"/>
      <c r="F20" s="70"/>
      <c r="G20" s="339"/>
      <c r="H20" s="339"/>
      <c r="I20" s="339"/>
      <c r="J20" s="339"/>
      <c r="K20" s="339"/>
      <c r="L20" s="339"/>
      <c r="M20" s="211"/>
      <c r="N20" s="568">
        <v>6.4411645000000002</v>
      </c>
      <c r="O20" s="568">
        <v>5.782826</v>
      </c>
      <c r="P20" s="568">
        <v>6.2598564999999997</v>
      </c>
      <c r="Q20" s="568">
        <v>5.9493844999999999</v>
      </c>
      <c r="R20" s="568">
        <v>6.1150165000000003</v>
      </c>
      <c r="S20" s="568">
        <v>5.7915159999999997</v>
      </c>
      <c r="T20" s="568">
        <v>6.0735809999999999</v>
      </c>
      <c r="U20" s="568">
        <v>6.0410234999999997</v>
      </c>
      <c r="V20" s="568">
        <v>0</v>
      </c>
      <c r="W20" s="568">
        <v>0</v>
      </c>
      <c r="X20" s="568">
        <v>0</v>
      </c>
      <c r="Y20" s="568">
        <v>0</v>
      </c>
      <c r="Z20" s="679">
        <f t="shared" ref="Z20:Z26" si="2">SUM(N20:Y20)</f>
        <v>48.454368499999994</v>
      </c>
      <c r="AA20" s="568">
        <v>0</v>
      </c>
      <c r="AB20" s="568">
        <v>0</v>
      </c>
      <c r="AC20" s="568">
        <v>0</v>
      </c>
      <c r="AD20" s="568">
        <v>0</v>
      </c>
      <c r="AE20" s="568">
        <v>0</v>
      </c>
      <c r="AF20" s="568">
        <v>0</v>
      </c>
      <c r="AG20" s="568">
        <v>0</v>
      </c>
      <c r="AH20" s="568">
        <v>0</v>
      </c>
      <c r="AI20" s="568">
        <v>0</v>
      </c>
      <c r="AJ20" s="568">
        <v>0</v>
      </c>
      <c r="AK20" s="568">
        <v>0</v>
      </c>
      <c r="AL20" s="568">
        <v>0</v>
      </c>
      <c r="AM20" s="683">
        <f t="shared" ref="AM20:AM27" si="3">SUM(AA20:AL20)</f>
        <v>0</v>
      </c>
      <c r="AN20" s="568">
        <v>0</v>
      </c>
      <c r="AO20" s="568">
        <v>0</v>
      </c>
      <c r="AP20" s="540">
        <v>0</v>
      </c>
      <c r="AQ20" s="540">
        <v>0</v>
      </c>
      <c r="AR20" s="540">
        <v>90.779219620000006</v>
      </c>
      <c r="AS20" s="540">
        <v>102.4311615</v>
      </c>
      <c r="AT20" s="540">
        <v>98.958424559999997</v>
      </c>
      <c r="AU20" s="540">
        <v>109.20485600000001</v>
      </c>
      <c r="AV20" s="540">
        <v>105.43934662000001</v>
      </c>
      <c r="AW20" s="540">
        <v>117.026264</v>
      </c>
      <c r="AX20" s="540">
        <v>111.84586537</v>
      </c>
      <c r="AY20" s="685"/>
      <c r="AZ20" s="685"/>
    </row>
    <row r="21" spans="1:52" s="13" customFormat="1">
      <c r="A21" s="56"/>
      <c r="B21" s="257" t="s">
        <v>769</v>
      </c>
      <c r="C21" s="28"/>
      <c r="D21" s="366"/>
      <c r="E21" s="70"/>
      <c r="F21" s="70"/>
      <c r="G21" s="339"/>
      <c r="H21" s="339"/>
      <c r="I21" s="339"/>
      <c r="J21" s="339"/>
      <c r="K21" s="339"/>
      <c r="L21" s="339"/>
      <c r="M21" s="211"/>
      <c r="N21" s="568">
        <v>3.7858250944838496</v>
      </c>
      <c r="O21" s="568">
        <v>3.3893057663400432</v>
      </c>
      <c r="P21" s="568">
        <v>3.695800208223766</v>
      </c>
      <c r="Q21" s="568">
        <v>1.3308731564616105</v>
      </c>
      <c r="R21" s="568">
        <v>2.4720571718056341</v>
      </c>
      <c r="S21" s="568">
        <v>3.489771233054014</v>
      </c>
      <c r="T21" s="568">
        <v>3.662053301938319</v>
      </c>
      <c r="U21" s="568">
        <v>3.5677054871303371</v>
      </c>
      <c r="V21" s="568">
        <v>3.5726627529032213</v>
      </c>
      <c r="W21" s="568">
        <v>3.8973339415853991</v>
      </c>
      <c r="X21" s="568">
        <v>3.7614163864114687</v>
      </c>
      <c r="Y21" s="568">
        <v>3.8099986983089891</v>
      </c>
      <c r="Z21" s="679">
        <f t="shared" si="2"/>
        <v>40.434803198646648</v>
      </c>
      <c r="AA21" s="568">
        <v>3.7682176602614827</v>
      </c>
      <c r="AB21" s="568">
        <v>3.3986789492855376</v>
      </c>
      <c r="AC21" s="568">
        <v>3.8193838903658586</v>
      </c>
      <c r="AD21" s="568">
        <v>3.3753329679690776</v>
      </c>
      <c r="AE21" s="568">
        <v>2.5007101853281699</v>
      </c>
      <c r="AF21" s="568">
        <v>3.4685483355361129</v>
      </c>
      <c r="AG21" s="568">
        <v>3.6295534849929521</v>
      </c>
      <c r="AH21" s="568">
        <v>3.5440189529350481</v>
      </c>
      <c r="AI21" s="568">
        <v>3.5286117055203268</v>
      </c>
      <c r="AJ21" s="568">
        <v>3.9064809555110038</v>
      </c>
      <c r="AK21" s="568">
        <v>3.7163039551686525</v>
      </c>
      <c r="AL21" s="568">
        <v>3.7638841112240917</v>
      </c>
      <c r="AM21" s="683">
        <f t="shared" si="3"/>
        <v>42.419725154098323</v>
      </c>
      <c r="AN21" s="568">
        <v>44.90675936771413</v>
      </c>
      <c r="AO21" s="568">
        <v>45.395998166625027</v>
      </c>
      <c r="AP21" s="540">
        <v>47.701885330576928</v>
      </c>
      <c r="AQ21" s="540">
        <v>47.141017698367399</v>
      </c>
      <c r="AR21" s="540">
        <v>52.301985635228327</v>
      </c>
      <c r="AS21" s="540">
        <v>56.873873810395303</v>
      </c>
      <c r="AT21" s="540">
        <v>52.089322692849208</v>
      </c>
      <c r="AU21" s="540">
        <v>60.250607869546748</v>
      </c>
      <c r="AV21" s="540">
        <v>63.027270865333392</v>
      </c>
      <c r="AW21" s="540">
        <v>64.681413055244079</v>
      </c>
      <c r="AX21" s="540">
        <v>69.599564356965431</v>
      </c>
      <c r="AY21" s="685"/>
      <c r="AZ21" s="685"/>
    </row>
    <row r="22" spans="1:52" s="13" customFormat="1">
      <c r="A22" s="56"/>
      <c r="B22" s="257" t="s">
        <v>763</v>
      </c>
      <c r="C22" s="28"/>
      <c r="D22" s="366"/>
      <c r="E22" s="70"/>
      <c r="F22" s="70"/>
      <c r="G22" s="339"/>
      <c r="H22" s="339"/>
      <c r="I22" s="339"/>
      <c r="J22" s="339"/>
      <c r="K22" s="339"/>
      <c r="L22" s="339"/>
      <c r="M22" s="211"/>
      <c r="N22" s="568">
        <v>2.42297275</v>
      </c>
      <c r="O22" s="568">
        <v>2.1495299999999999</v>
      </c>
      <c r="P22" s="568">
        <v>2.3111459999999999</v>
      </c>
      <c r="Q22" s="568">
        <v>1.96878675</v>
      </c>
      <c r="R22" s="568">
        <v>0.52650018999999992</v>
      </c>
      <c r="S22" s="568">
        <v>2.1919765</v>
      </c>
      <c r="T22" s="568">
        <v>2.2933417500000002</v>
      </c>
      <c r="U22" s="568">
        <v>2.3185565000000001</v>
      </c>
      <c r="V22" s="568">
        <v>2.2483067499999998</v>
      </c>
      <c r="W22" s="568">
        <v>2.3626797499999999</v>
      </c>
      <c r="X22" s="568">
        <v>2.2967637500000002</v>
      </c>
      <c r="Y22" s="568">
        <v>2.3456392500000001</v>
      </c>
      <c r="Z22" s="679">
        <f t="shared" si="2"/>
        <v>25.436199940000002</v>
      </c>
      <c r="AA22" s="568">
        <v>2.5321945000000001</v>
      </c>
      <c r="AB22" s="568">
        <v>2.2668837499999999</v>
      </c>
      <c r="AC22" s="568">
        <v>2.3735065</v>
      </c>
      <c r="AD22" s="568">
        <v>2.3399009999999998</v>
      </c>
      <c r="AE22" s="568">
        <v>2.4327092499999998</v>
      </c>
      <c r="AF22" s="568">
        <v>2.2905707500000001</v>
      </c>
      <c r="AG22" s="568">
        <v>2.3974282499999999</v>
      </c>
      <c r="AH22" s="568">
        <v>2.3900670000000002</v>
      </c>
      <c r="AI22" s="568">
        <v>2.3062732499999998</v>
      </c>
      <c r="AJ22" s="568">
        <v>2.4306580000000002</v>
      </c>
      <c r="AK22" s="568">
        <v>2.35607275</v>
      </c>
      <c r="AL22" s="568">
        <v>2.3789850000000001</v>
      </c>
      <c r="AM22" s="683">
        <f t="shared" si="3"/>
        <v>28.495249999999999</v>
      </c>
      <c r="AN22" s="568">
        <v>29.733611</v>
      </c>
      <c r="AO22" s="568">
        <v>28.55123313</v>
      </c>
      <c r="AP22" s="540">
        <v>30.440154249999999</v>
      </c>
      <c r="AQ22" s="540">
        <v>32.691590750000003</v>
      </c>
      <c r="AR22" s="540">
        <v>31.726371780000001</v>
      </c>
      <c r="AS22" s="540">
        <v>38.815519500000001</v>
      </c>
      <c r="AT22" s="540">
        <v>39.883645749999999</v>
      </c>
      <c r="AU22" s="540">
        <v>38.395627869999998</v>
      </c>
      <c r="AV22" s="540">
        <v>43.428059249999997</v>
      </c>
      <c r="AW22" s="540">
        <v>44.437776249999999</v>
      </c>
      <c r="AX22" s="540">
        <v>44.502084370000006</v>
      </c>
      <c r="AY22" s="685"/>
      <c r="AZ22" s="685"/>
    </row>
    <row r="23" spans="1:52" s="13" customFormat="1">
      <c r="A23" s="56"/>
      <c r="B23" s="257" t="s">
        <v>764</v>
      </c>
      <c r="C23" s="28"/>
      <c r="D23" s="366"/>
      <c r="E23" s="70"/>
      <c r="F23" s="70"/>
      <c r="G23" s="339"/>
      <c r="H23" s="339"/>
      <c r="I23" s="339"/>
      <c r="J23" s="339"/>
      <c r="K23" s="339"/>
      <c r="L23" s="339"/>
      <c r="M23" s="211"/>
      <c r="N23" s="568">
        <v>2.4290984999999998</v>
      </c>
      <c r="O23" s="568">
        <v>2.1430087499999999</v>
      </c>
      <c r="P23" s="568">
        <v>2.3072895</v>
      </c>
      <c r="Q23" s="568">
        <v>2.2640417500000001</v>
      </c>
      <c r="R23" s="568">
        <v>2.3574899999999999</v>
      </c>
      <c r="S23" s="568">
        <v>2.2083762500000002</v>
      </c>
      <c r="T23" s="568">
        <v>2.3044254999999998</v>
      </c>
      <c r="U23" s="568">
        <v>2.323601</v>
      </c>
      <c r="V23" s="568">
        <v>2.2438487500000002</v>
      </c>
      <c r="W23" s="568">
        <v>2.3616065000000002</v>
      </c>
      <c r="X23" s="568">
        <v>2.3072379999999999</v>
      </c>
      <c r="Y23" s="568">
        <v>2.3398479999999999</v>
      </c>
      <c r="Z23" s="679">
        <f t="shared" si="2"/>
        <v>27.589872500000002</v>
      </c>
      <c r="AA23" s="568">
        <v>2.5359055000000001</v>
      </c>
      <c r="AB23" s="568">
        <v>2.2599205000000002</v>
      </c>
      <c r="AC23" s="568">
        <v>2.3684750000000001</v>
      </c>
      <c r="AD23" s="568">
        <v>2.3408977499999999</v>
      </c>
      <c r="AE23" s="568">
        <v>2.4325725</v>
      </c>
      <c r="AF23" s="568">
        <v>2.3030037499999998</v>
      </c>
      <c r="AG23" s="568">
        <v>2.3906927499999999</v>
      </c>
      <c r="AH23" s="568">
        <v>2.4007415000000001</v>
      </c>
      <c r="AI23" s="568">
        <v>2.3049170000000001</v>
      </c>
      <c r="AJ23" s="568">
        <v>2.4300035000000002</v>
      </c>
      <c r="AK23" s="568">
        <v>2.3516677499999998</v>
      </c>
      <c r="AL23" s="568">
        <v>2.390247</v>
      </c>
      <c r="AM23" s="683">
        <f t="shared" si="3"/>
        <v>28.509044500000002</v>
      </c>
      <c r="AN23" s="568">
        <v>27.64768509</v>
      </c>
      <c r="AO23" s="568">
        <v>30.602519749999995</v>
      </c>
      <c r="AP23" s="540">
        <v>30.483552249999999</v>
      </c>
      <c r="AQ23" s="540">
        <v>28.321219500000002</v>
      </c>
      <c r="AR23" s="540">
        <v>36.239379999999997</v>
      </c>
      <c r="AS23" s="540">
        <v>38.963732749999998</v>
      </c>
      <c r="AT23" s="540">
        <v>37.319025439999997</v>
      </c>
      <c r="AU23" s="540">
        <v>41.546681</v>
      </c>
      <c r="AV23" s="540">
        <v>43.384438750000001</v>
      </c>
      <c r="AW23" s="540">
        <v>41.107247630000003</v>
      </c>
      <c r="AX23" s="540">
        <v>47.754783500000002</v>
      </c>
      <c r="AY23" s="685"/>
      <c r="AZ23" s="685"/>
    </row>
    <row r="24" spans="1:52" s="13" customFormat="1">
      <c r="A24" s="56"/>
      <c r="B24" s="257" t="s">
        <v>765</v>
      </c>
      <c r="C24" s="28"/>
      <c r="D24" s="366"/>
      <c r="E24" s="70"/>
      <c r="F24" s="70"/>
      <c r="G24" s="339"/>
      <c r="H24" s="339"/>
      <c r="I24" s="339"/>
      <c r="J24" s="339"/>
      <c r="K24" s="339"/>
      <c r="L24" s="339"/>
      <c r="M24" s="211"/>
      <c r="N24" s="568">
        <v>2.5027490000000001</v>
      </c>
      <c r="O24" s="568">
        <v>2.2263437499999998</v>
      </c>
      <c r="P24" s="568">
        <v>2.4295930000000001</v>
      </c>
      <c r="Q24" s="568">
        <v>2.3897077499999999</v>
      </c>
      <c r="R24" s="568">
        <v>2.47242775</v>
      </c>
      <c r="S24" s="568">
        <v>2.3350244999999998</v>
      </c>
      <c r="T24" s="568">
        <v>2.43176375</v>
      </c>
      <c r="U24" s="568">
        <v>2.4305465000000002</v>
      </c>
      <c r="V24" s="568">
        <v>2.3538722500000002</v>
      </c>
      <c r="W24" s="568">
        <v>2.4787319999999999</v>
      </c>
      <c r="X24" s="568">
        <v>2.408328</v>
      </c>
      <c r="Y24" s="568">
        <v>2.4446615</v>
      </c>
      <c r="Z24" s="679">
        <f t="shared" si="2"/>
        <v>28.903749750000003</v>
      </c>
      <c r="AA24" s="568">
        <v>2.6165167500000002</v>
      </c>
      <c r="AB24" s="568">
        <v>2.3288755000000001</v>
      </c>
      <c r="AC24" s="568">
        <v>2.4758315</v>
      </c>
      <c r="AD24" s="568">
        <v>0.33788541</v>
      </c>
      <c r="AE24" s="568">
        <v>0.49151978000000002</v>
      </c>
      <c r="AF24" s="568">
        <v>2.452909</v>
      </c>
      <c r="AG24" s="568">
        <v>2.5099847500000001</v>
      </c>
      <c r="AH24" s="568">
        <v>2.5039039999999999</v>
      </c>
      <c r="AI24" s="568">
        <v>2.4369782500000001</v>
      </c>
      <c r="AJ24" s="568">
        <v>2.5467032500000002</v>
      </c>
      <c r="AK24" s="568">
        <v>2.4864362500000001</v>
      </c>
      <c r="AL24" s="568">
        <v>2.4832945</v>
      </c>
      <c r="AM24" s="683">
        <f t="shared" si="3"/>
        <v>25.670838940000003</v>
      </c>
      <c r="AN24" s="568">
        <v>30.972171499999998</v>
      </c>
      <c r="AO24" s="568">
        <v>31.9079345</v>
      </c>
      <c r="AP24" s="540">
        <v>29.132406499999998</v>
      </c>
      <c r="AQ24" s="540">
        <v>33.606908750000002</v>
      </c>
      <c r="AR24" s="540">
        <v>37.422333500000001</v>
      </c>
      <c r="AS24" s="540">
        <v>37.334621749999997</v>
      </c>
      <c r="AT24" s="540">
        <v>41.124304250000002</v>
      </c>
      <c r="AU24" s="540">
        <v>42.622784750000001</v>
      </c>
      <c r="AV24" s="540">
        <v>38.645371500000003</v>
      </c>
      <c r="AW24" s="540">
        <v>45.259618500000002</v>
      </c>
      <c r="AX24" s="540">
        <v>48.9058335</v>
      </c>
      <c r="AY24" s="685"/>
      <c r="AZ24" s="685"/>
    </row>
    <row r="25" spans="1:52" s="13" customFormat="1">
      <c r="A25" s="56"/>
      <c r="B25" s="257" t="s">
        <v>355</v>
      </c>
      <c r="C25" s="28"/>
      <c r="D25" s="366"/>
      <c r="E25" s="70"/>
      <c r="F25" s="70"/>
      <c r="G25" s="339"/>
      <c r="H25" s="339"/>
      <c r="I25" s="339"/>
      <c r="J25" s="339"/>
      <c r="K25" s="339"/>
      <c r="L25" s="339"/>
      <c r="M25" s="211"/>
      <c r="N25" s="568">
        <v>0</v>
      </c>
      <c r="O25" s="568">
        <v>0</v>
      </c>
      <c r="P25" s="568">
        <v>0</v>
      </c>
      <c r="Q25" s="568">
        <v>0</v>
      </c>
      <c r="R25" s="568">
        <v>0</v>
      </c>
      <c r="S25" s="568">
        <v>0</v>
      </c>
      <c r="T25" s="568">
        <v>0.49719905999999997</v>
      </c>
      <c r="U25" s="568">
        <v>0</v>
      </c>
      <c r="V25" s="568">
        <v>0</v>
      </c>
      <c r="W25" s="568">
        <v>0</v>
      </c>
      <c r="X25" s="568">
        <v>0</v>
      </c>
      <c r="Y25" s="568">
        <v>0</v>
      </c>
      <c r="Z25" s="679">
        <f t="shared" si="2"/>
        <v>0.49719905999999997</v>
      </c>
      <c r="AA25" s="568">
        <v>0</v>
      </c>
      <c r="AB25" s="568">
        <v>0</v>
      </c>
      <c r="AC25" s="568">
        <v>0</v>
      </c>
      <c r="AD25" s="568">
        <v>0</v>
      </c>
      <c r="AE25" s="568">
        <v>0</v>
      </c>
      <c r="AF25" s="568">
        <v>0</v>
      </c>
      <c r="AG25" s="568">
        <v>0</v>
      </c>
      <c r="AH25" s="568">
        <v>0</v>
      </c>
      <c r="AI25" s="568">
        <v>0</v>
      </c>
      <c r="AJ25" s="568">
        <v>0</v>
      </c>
      <c r="AK25" s="568">
        <v>0</v>
      </c>
      <c r="AL25" s="568">
        <v>0</v>
      </c>
      <c r="AM25" s="683">
        <f t="shared" si="3"/>
        <v>0</v>
      </c>
      <c r="AN25" s="568">
        <v>0</v>
      </c>
      <c r="AO25" s="568">
        <v>0</v>
      </c>
      <c r="AP25" s="540">
        <v>0</v>
      </c>
      <c r="AQ25" s="540">
        <v>0</v>
      </c>
      <c r="AR25" s="540">
        <v>0</v>
      </c>
      <c r="AS25" s="540">
        <v>0</v>
      </c>
      <c r="AT25" s="540">
        <v>0</v>
      </c>
      <c r="AU25" s="540">
        <v>0</v>
      </c>
      <c r="AV25" s="540">
        <v>0</v>
      </c>
      <c r="AW25" s="540">
        <v>0</v>
      </c>
      <c r="AX25" s="540">
        <v>0</v>
      </c>
      <c r="AY25" s="685"/>
      <c r="AZ25" s="685"/>
    </row>
    <row r="26" spans="1:52" s="13" customFormat="1">
      <c r="A26" s="56"/>
      <c r="B26" s="257" t="s">
        <v>766</v>
      </c>
      <c r="C26" s="28"/>
      <c r="D26" s="366"/>
      <c r="E26" s="70"/>
      <c r="F26" s="70"/>
      <c r="G26" s="339"/>
      <c r="H26" s="339"/>
      <c r="I26" s="339"/>
      <c r="J26" s="339"/>
      <c r="K26" s="339"/>
      <c r="L26" s="339"/>
      <c r="M26" s="211"/>
      <c r="N26" s="568">
        <v>3.6617197500000001</v>
      </c>
      <c r="O26" s="568">
        <v>3.3010730000000001</v>
      </c>
      <c r="P26" s="568">
        <v>3.5139887500000002</v>
      </c>
      <c r="Q26" s="568">
        <v>3.4148177500000001</v>
      </c>
      <c r="R26" s="568">
        <v>3.5756100000000002</v>
      </c>
      <c r="S26" s="568">
        <v>3.4099765</v>
      </c>
      <c r="T26" s="568">
        <v>3.5760900000000002</v>
      </c>
      <c r="U26" s="568">
        <v>3.582093</v>
      </c>
      <c r="V26" s="568">
        <v>3.3874230000000001</v>
      </c>
      <c r="W26" s="568">
        <v>3.5766927499999999</v>
      </c>
      <c r="X26" s="568">
        <v>3.4407774999999998</v>
      </c>
      <c r="Y26" s="568">
        <v>3.5970807499999999</v>
      </c>
      <c r="Z26" s="679">
        <f t="shared" si="2"/>
        <v>42.037342750000008</v>
      </c>
      <c r="AA26" s="568">
        <v>3.8153382499999999</v>
      </c>
      <c r="AB26" s="568">
        <v>3.4310774999999998</v>
      </c>
      <c r="AC26" s="568">
        <v>1.6563969999999999</v>
      </c>
      <c r="AD26" s="568">
        <v>2.7202630000000001</v>
      </c>
      <c r="AE26" s="568">
        <v>3.7040345000000001</v>
      </c>
      <c r="AF26" s="568">
        <v>3.569598</v>
      </c>
      <c r="AG26" s="568">
        <v>3.7259207499999998</v>
      </c>
      <c r="AH26" s="568">
        <v>3.7346080000000001</v>
      </c>
      <c r="AI26" s="568">
        <v>3.5050672500000002</v>
      </c>
      <c r="AJ26" s="568">
        <v>3.6561377500000001</v>
      </c>
      <c r="AK26" s="568">
        <v>3.5408040000000001</v>
      </c>
      <c r="AL26" s="568">
        <v>3.6625432500000001</v>
      </c>
      <c r="AM26" s="683">
        <f t="shared" si="3"/>
        <v>40.72178925</v>
      </c>
      <c r="AN26" s="568">
        <v>46.087272749999997</v>
      </c>
      <c r="AO26" s="568">
        <v>40.395749099999996</v>
      </c>
      <c r="AP26" s="540">
        <v>49.015858000000001</v>
      </c>
      <c r="AQ26" s="540">
        <v>48.929851749999997</v>
      </c>
      <c r="AR26" s="540">
        <v>55.826910499999997</v>
      </c>
      <c r="AS26" s="540">
        <v>56.502634</v>
      </c>
      <c r="AT26" s="540">
        <v>61.421717000000001</v>
      </c>
      <c r="AU26" s="540">
        <v>60.160840499999999</v>
      </c>
      <c r="AV26" s="540">
        <v>66.665639999999996</v>
      </c>
      <c r="AW26" s="540">
        <v>58.156423760000003</v>
      </c>
      <c r="AX26" s="540">
        <v>72.987597500000007</v>
      </c>
      <c r="AY26" s="685"/>
      <c r="AZ26" s="685"/>
    </row>
    <row r="27" spans="1:52" s="13" customFormat="1">
      <c r="A27" s="56"/>
      <c r="B27" s="257" t="s">
        <v>767</v>
      </c>
      <c r="C27" s="28"/>
      <c r="D27" s="366"/>
      <c r="E27" s="70"/>
      <c r="F27" s="70"/>
      <c r="G27" s="339"/>
      <c r="H27" s="339"/>
      <c r="I27" s="339"/>
      <c r="J27" s="339"/>
      <c r="K27" s="339"/>
      <c r="L27" s="339"/>
      <c r="M27" s="211"/>
      <c r="N27" s="568">
        <v>3.5681262500000002</v>
      </c>
      <c r="O27" s="568">
        <v>3.2268159999999999</v>
      </c>
      <c r="P27" s="568">
        <v>3.4468777500000001</v>
      </c>
      <c r="Q27" s="568">
        <v>3.34744025</v>
      </c>
      <c r="R27" s="568">
        <v>3.4910237500000001</v>
      </c>
      <c r="S27" s="568">
        <v>3.3381322500000001</v>
      </c>
      <c r="T27" s="568">
        <v>3.5188022499999998</v>
      </c>
      <c r="U27" s="568">
        <v>3.5157829999999999</v>
      </c>
      <c r="V27" s="568">
        <v>3.3286107500000002</v>
      </c>
      <c r="W27" s="568">
        <v>3.5124235000000001</v>
      </c>
      <c r="X27" s="568">
        <v>3.3949284999999998</v>
      </c>
      <c r="Y27" s="568">
        <v>3.5164117500000001</v>
      </c>
      <c r="Z27" s="679">
        <f>SUM(N27:Y27)</f>
        <v>41.205376000000001</v>
      </c>
      <c r="AA27" s="568">
        <v>3.72811125</v>
      </c>
      <c r="AB27" s="568">
        <v>3.36088225</v>
      </c>
      <c r="AC27" s="568">
        <v>3.5816184999999998</v>
      </c>
      <c r="AD27" s="568">
        <v>3.4797820000000002</v>
      </c>
      <c r="AE27" s="568">
        <v>3.6388287500000001</v>
      </c>
      <c r="AF27" s="568">
        <v>3.5147900000000001</v>
      </c>
      <c r="AG27" s="568">
        <v>3.654471</v>
      </c>
      <c r="AH27" s="568">
        <v>3.6701907500000002</v>
      </c>
      <c r="AI27" s="568">
        <v>3.4477737500000001</v>
      </c>
      <c r="AJ27" s="568">
        <v>3.60233625</v>
      </c>
      <c r="AK27" s="568">
        <v>3.4592874999999998</v>
      </c>
      <c r="AL27" s="568">
        <v>3.5989084999999998</v>
      </c>
      <c r="AM27" s="683">
        <f t="shared" si="3"/>
        <v>42.736980500000008</v>
      </c>
      <c r="AN27" s="568">
        <v>42.811859000000005</v>
      </c>
      <c r="AO27" s="568">
        <v>46.412291749999994</v>
      </c>
      <c r="AP27" s="540">
        <v>45.697229249999999</v>
      </c>
      <c r="AQ27" s="540">
        <v>51.066285000000001</v>
      </c>
      <c r="AR27" s="540">
        <v>46.660985120000007</v>
      </c>
      <c r="AS27" s="540">
        <v>58.201303500000002</v>
      </c>
      <c r="AT27" s="540">
        <v>56.376835999999997</v>
      </c>
      <c r="AU27" s="540">
        <v>62.373677000000001</v>
      </c>
      <c r="AV27" s="540">
        <v>61.445969499999997</v>
      </c>
      <c r="AW27" s="540">
        <v>66.744482000000005</v>
      </c>
      <c r="AX27" s="540">
        <v>67.784200999999996</v>
      </c>
      <c r="AY27" s="685"/>
      <c r="AZ27" s="685"/>
    </row>
    <row r="28" spans="1:52" s="13" customFormat="1" ht="13.5" thickBot="1">
      <c r="A28" s="12"/>
      <c r="B28" s="13" t="s">
        <v>388</v>
      </c>
      <c r="C28" s="28"/>
      <c r="D28" s="366"/>
      <c r="E28" s="372"/>
      <c r="F28" s="372"/>
      <c r="G28" s="285"/>
      <c r="H28" s="285"/>
      <c r="I28" s="285"/>
      <c r="J28" s="285"/>
      <c r="K28" s="285"/>
      <c r="L28" s="285"/>
      <c r="M28" s="307"/>
      <c r="N28" s="680">
        <f>SUM(N20:N27)</f>
        <v>24.811655844483848</v>
      </c>
      <c r="O28" s="680">
        <f>SUM(O20:O27)</f>
        <v>22.218903266340043</v>
      </c>
      <c r="P28" s="680">
        <f>SUM(P20:P27)</f>
        <v>23.964551708223762</v>
      </c>
      <c r="Q28" s="680">
        <f t="shared" ref="Q28:X28" si="4">SUM(Q20:Q27)</f>
        <v>20.665051906461613</v>
      </c>
      <c r="R28" s="680">
        <f t="shared" si="4"/>
        <v>21.010125361805635</v>
      </c>
      <c r="S28" s="680">
        <f t="shared" si="4"/>
        <v>22.764773233054015</v>
      </c>
      <c r="T28" s="680">
        <f t="shared" si="4"/>
        <v>24.357256611938318</v>
      </c>
      <c r="U28" s="680">
        <f t="shared" si="4"/>
        <v>23.779308987130335</v>
      </c>
      <c r="V28" s="680">
        <f t="shared" si="4"/>
        <v>17.134724252903222</v>
      </c>
      <c r="W28" s="680">
        <f t="shared" si="4"/>
        <v>18.189468441585401</v>
      </c>
      <c r="X28" s="680">
        <f t="shared" si="4"/>
        <v>17.609452136411466</v>
      </c>
      <c r="Y28" s="680">
        <f>SUM(Y20:Y27)</f>
        <v>18.053639948308991</v>
      </c>
      <c r="Z28" s="681">
        <f>SUM(N28:Y28)</f>
        <v>254.55891169864665</v>
      </c>
      <c r="AA28" s="680">
        <f>SUM(AA20:AA27)</f>
        <v>18.996283910261482</v>
      </c>
      <c r="AB28" s="680">
        <f t="shared" ref="AB28:AK28" si="5">SUM(AB20:AB27)</f>
        <v>17.046318449285536</v>
      </c>
      <c r="AC28" s="680">
        <f t="shared" si="5"/>
        <v>16.275212390365859</v>
      </c>
      <c r="AD28" s="680">
        <f t="shared" si="5"/>
        <v>14.594062127969078</v>
      </c>
      <c r="AE28" s="680">
        <f t="shared" si="5"/>
        <v>15.200374965328169</v>
      </c>
      <c r="AF28" s="680">
        <f t="shared" si="5"/>
        <v>17.599419835536114</v>
      </c>
      <c r="AG28" s="680">
        <f t="shared" si="5"/>
        <v>18.308050984992953</v>
      </c>
      <c r="AH28" s="680">
        <f t="shared" si="5"/>
        <v>18.243530202935048</v>
      </c>
      <c r="AI28" s="680">
        <f t="shared" si="5"/>
        <v>17.529621205520325</v>
      </c>
      <c r="AJ28" s="680">
        <f t="shared" si="5"/>
        <v>18.572319705511006</v>
      </c>
      <c r="AK28" s="680">
        <f t="shared" si="5"/>
        <v>17.910572205168652</v>
      </c>
      <c r="AL28" s="680">
        <f>SUM(AL20:AL27)</f>
        <v>18.277862361224091</v>
      </c>
      <c r="AM28" s="681">
        <f>SUM(AA28:AL28)</f>
        <v>208.55362834409831</v>
      </c>
      <c r="AN28" s="680">
        <f>SUM(AN20:AN27)</f>
        <v>222.15935870771412</v>
      </c>
      <c r="AO28" s="680">
        <f>SUM(AO20:AO27)</f>
        <v>223.26572639662504</v>
      </c>
      <c r="AP28" s="680">
        <f t="shared" ref="AP28:AX28" si="6">SUM(AP20:AP27)</f>
        <v>232.47108558057693</v>
      </c>
      <c r="AQ28" s="680">
        <f t="shared" si="6"/>
        <v>241.7568734483674</v>
      </c>
      <c r="AR28" s="680">
        <f t="shared" si="6"/>
        <v>350.95718615522838</v>
      </c>
      <c r="AS28" s="680">
        <f t="shared" si="6"/>
        <v>389.12284681039529</v>
      </c>
      <c r="AT28" s="680">
        <f t="shared" si="6"/>
        <v>387.17327569284919</v>
      </c>
      <c r="AU28" s="680">
        <f t="shared" si="6"/>
        <v>414.55507498954677</v>
      </c>
      <c r="AV28" s="680">
        <f t="shared" si="6"/>
        <v>422.03609648533342</v>
      </c>
      <c r="AW28" s="680">
        <f t="shared" si="6"/>
        <v>437.41322519524408</v>
      </c>
      <c r="AX28" s="680">
        <f t="shared" si="6"/>
        <v>463.37992959696538</v>
      </c>
      <c r="AY28" s="682"/>
      <c r="AZ28" s="682"/>
    </row>
    <row r="29" spans="1:52" s="13" customFormat="1" ht="13.5" thickTop="1">
      <c r="A29" s="12"/>
      <c r="B29" s="13" t="s">
        <v>485</v>
      </c>
      <c r="C29" s="28"/>
      <c r="D29" s="366"/>
      <c r="E29" s="370"/>
      <c r="F29" s="370"/>
      <c r="G29" s="230"/>
      <c r="H29" s="230"/>
      <c r="I29" s="230"/>
      <c r="J29" s="230"/>
      <c r="K29" s="230"/>
      <c r="L29" s="230"/>
      <c r="M29" s="171"/>
      <c r="N29" s="689"/>
      <c r="O29" s="689"/>
      <c r="P29" s="689"/>
      <c r="Q29" s="689"/>
      <c r="R29" s="689"/>
      <c r="S29" s="689"/>
      <c r="T29" s="689"/>
      <c r="U29" s="689"/>
      <c r="V29" s="689"/>
      <c r="W29" s="689"/>
      <c r="X29" s="689"/>
      <c r="Y29" s="689"/>
      <c r="Z29" s="679"/>
      <c r="AA29" s="689"/>
      <c r="AB29" s="689"/>
      <c r="AC29" s="689"/>
      <c r="AD29" s="689"/>
      <c r="AE29" s="689"/>
      <c r="AF29" s="689"/>
      <c r="AG29" s="689"/>
      <c r="AH29" s="689"/>
      <c r="AI29" s="689"/>
      <c r="AJ29" s="689"/>
      <c r="AK29" s="689"/>
      <c r="AL29" s="689"/>
      <c r="AM29" s="679"/>
      <c r="AN29" s="689"/>
      <c r="AO29" s="689"/>
      <c r="AP29" s="689"/>
      <c r="AQ29" s="689"/>
      <c r="AR29" s="689"/>
      <c r="AS29" s="689"/>
      <c r="AT29" s="689"/>
      <c r="AU29" s="689"/>
      <c r="AV29" s="689"/>
      <c r="AW29" s="689"/>
      <c r="AX29" s="689"/>
      <c r="AY29" s="907"/>
      <c r="AZ29" s="907"/>
    </row>
    <row r="30" spans="1:52" s="13" customFormat="1">
      <c r="A30" s="12"/>
      <c r="B30" s="257" t="s">
        <v>771</v>
      </c>
      <c r="C30" s="28"/>
      <c r="D30" s="366"/>
      <c r="E30" s="370"/>
      <c r="F30" s="370"/>
      <c r="G30" s="331"/>
      <c r="H30" s="331"/>
      <c r="I30" s="331"/>
      <c r="J30" s="331"/>
      <c r="K30" s="331"/>
      <c r="L30" s="331"/>
      <c r="M30" s="171"/>
      <c r="N30" s="576">
        <v>0</v>
      </c>
      <c r="O30" s="576">
        <v>0</v>
      </c>
      <c r="P30" s="576">
        <v>0</v>
      </c>
      <c r="Q30" s="576">
        <v>0</v>
      </c>
      <c r="R30" s="576">
        <v>0</v>
      </c>
      <c r="S30" s="576">
        <v>0</v>
      </c>
      <c r="T30" s="576">
        <v>0</v>
      </c>
      <c r="U30" s="576">
        <v>0</v>
      </c>
      <c r="V30" s="576">
        <v>0</v>
      </c>
      <c r="W30" s="576">
        <v>0</v>
      </c>
      <c r="X30" s="576">
        <v>0</v>
      </c>
      <c r="Y30" s="576">
        <v>0</v>
      </c>
      <c r="Z30" s="679">
        <f>SUM(N30:Y30)</f>
        <v>0</v>
      </c>
      <c r="AA30" s="576">
        <v>0</v>
      </c>
      <c r="AB30" s="576">
        <v>0</v>
      </c>
      <c r="AC30" s="576">
        <v>0</v>
      </c>
      <c r="AD30" s="576">
        <v>0</v>
      </c>
      <c r="AE30" s="576">
        <v>0</v>
      </c>
      <c r="AF30" s="576">
        <v>0</v>
      </c>
      <c r="AG30" s="576">
        <v>0</v>
      </c>
      <c r="AH30" s="576">
        <v>0</v>
      </c>
      <c r="AI30" s="576">
        <v>0</v>
      </c>
      <c r="AJ30" s="576">
        <v>0</v>
      </c>
      <c r="AK30" s="576">
        <v>0</v>
      </c>
      <c r="AL30" s="576">
        <v>0</v>
      </c>
      <c r="AM30" s="679">
        <f>SUM(AA30:AL30)</f>
        <v>0</v>
      </c>
      <c r="AN30" s="690">
        <v>0</v>
      </c>
      <c r="AO30" s="690">
        <v>0</v>
      </c>
      <c r="AP30" s="691">
        <v>0</v>
      </c>
      <c r="AQ30" s="691">
        <v>0</v>
      </c>
      <c r="AR30" s="691">
        <v>0</v>
      </c>
      <c r="AS30" s="691">
        <v>0.16384992000000001</v>
      </c>
      <c r="AT30" s="691">
        <v>2.6343967400000001</v>
      </c>
      <c r="AU30" s="691">
        <v>2.4801004399999997</v>
      </c>
      <c r="AV30" s="691">
        <v>0.84785983999999992</v>
      </c>
      <c r="AW30" s="691">
        <v>0.14025941</v>
      </c>
      <c r="AX30" s="691">
        <v>4.3911980000000003E-2</v>
      </c>
      <c r="AY30" s="908"/>
      <c r="AZ30" s="908"/>
    </row>
    <row r="31" spans="1:52" s="13" customFormat="1">
      <c r="A31" s="12"/>
      <c r="B31" s="257" t="s">
        <v>484</v>
      </c>
      <c r="C31" s="28"/>
      <c r="D31" s="366"/>
      <c r="E31" s="370"/>
      <c r="F31" s="370"/>
      <c r="G31" s="333"/>
      <c r="H31" s="333"/>
      <c r="I31" s="333"/>
      <c r="J31" s="333"/>
      <c r="K31" s="333"/>
      <c r="L31" s="333"/>
      <c r="M31" s="308"/>
      <c r="N31" s="692">
        <v>0</v>
      </c>
      <c r="O31" s="692">
        <v>0</v>
      </c>
      <c r="P31" s="692">
        <v>0</v>
      </c>
      <c r="Q31" s="692">
        <v>0</v>
      </c>
      <c r="R31" s="692">
        <v>0</v>
      </c>
      <c r="S31" s="692">
        <v>0</v>
      </c>
      <c r="T31" s="692">
        <v>0.38248747</v>
      </c>
      <c r="U31" s="692">
        <v>0</v>
      </c>
      <c r="V31" s="692">
        <v>0</v>
      </c>
      <c r="W31" s="692">
        <v>0</v>
      </c>
      <c r="X31" s="692">
        <v>0</v>
      </c>
      <c r="Y31" s="692">
        <v>0</v>
      </c>
      <c r="Z31" s="693">
        <f>SUM(N31:Y31)</f>
        <v>0.38248747</v>
      </c>
      <c r="AA31" s="692">
        <v>0</v>
      </c>
      <c r="AB31" s="692">
        <v>0</v>
      </c>
      <c r="AC31" s="692">
        <v>0</v>
      </c>
      <c r="AD31" s="692">
        <v>0</v>
      </c>
      <c r="AE31" s="692">
        <v>0</v>
      </c>
      <c r="AF31" s="692">
        <v>0</v>
      </c>
      <c r="AG31" s="692">
        <v>0</v>
      </c>
      <c r="AH31" s="692">
        <v>0</v>
      </c>
      <c r="AI31" s="692">
        <v>0</v>
      </c>
      <c r="AJ31" s="692">
        <v>0</v>
      </c>
      <c r="AK31" s="692">
        <v>0</v>
      </c>
      <c r="AL31" s="692">
        <v>0</v>
      </c>
      <c r="AM31" s="693">
        <f>SUM(AA31:AL31)</f>
        <v>0</v>
      </c>
      <c r="AN31" s="694">
        <v>0</v>
      </c>
      <c r="AO31" s="694">
        <v>0</v>
      </c>
      <c r="AP31" s="695">
        <v>0</v>
      </c>
      <c r="AQ31" s="695">
        <v>0</v>
      </c>
      <c r="AR31" s="695">
        <v>1.39504044</v>
      </c>
      <c r="AS31" s="695">
        <v>5.4892269000000002</v>
      </c>
      <c r="AT31" s="695">
        <v>10.317041400000003</v>
      </c>
      <c r="AU31" s="695">
        <v>9.8993231300000009</v>
      </c>
      <c r="AV31" s="695">
        <v>9.5057010900000005</v>
      </c>
      <c r="AW31" s="695">
        <v>8.4395542500000005</v>
      </c>
      <c r="AX31" s="695">
        <v>8.4089997299999997</v>
      </c>
      <c r="AY31" s="908"/>
      <c r="AZ31" s="908"/>
    </row>
    <row r="32" spans="1:52" s="13" customFormat="1">
      <c r="A32" s="12"/>
      <c r="B32" s="13" t="s">
        <v>486</v>
      </c>
      <c r="C32" s="28"/>
      <c r="D32" s="366"/>
      <c r="E32" s="372"/>
      <c r="F32" s="372"/>
      <c r="G32" s="284"/>
      <c r="H32" s="284"/>
      <c r="I32" s="284"/>
      <c r="J32" s="284"/>
      <c r="K32" s="284"/>
      <c r="L32" s="284"/>
      <c r="M32" s="171"/>
      <c r="N32" s="696">
        <f t="shared" ref="N32:Y32" si="7">SUM(N30:N31)</f>
        <v>0</v>
      </c>
      <c r="O32" s="696">
        <f t="shared" si="7"/>
        <v>0</v>
      </c>
      <c r="P32" s="696">
        <f t="shared" si="7"/>
        <v>0</v>
      </c>
      <c r="Q32" s="696">
        <f t="shared" si="7"/>
        <v>0</v>
      </c>
      <c r="R32" s="696">
        <f t="shared" si="7"/>
        <v>0</v>
      </c>
      <c r="S32" s="696">
        <f t="shared" si="7"/>
        <v>0</v>
      </c>
      <c r="T32" s="696">
        <f t="shared" si="7"/>
        <v>0.38248747</v>
      </c>
      <c r="U32" s="696">
        <f t="shared" si="7"/>
        <v>0</v>
      </c>
      <c r="V32" s="696">
        <f t="shared" si="7"/>
        <v>0</v>
      </c>
      <c r="W32" s="696">
        <f t="shared" si="7"/>
        <v>0</v>
      </c>
      <c r="X32" s="696">
        <f t="shared" si="7"/>
        <v>0</v>
      </c>
      <c r="Y32" s="696">
        <f t="shared" si="7"/>
        <v>0</v>
      </c>
      <c r="Z32" s="679">
        <f>SUM(N32:Y32)</f>
        <v>0.38248747</v>
      </c>
      <c r="AA32" s="696">
        <f t="shared" ref="AA32:AL32" si="8">SUM(AA30:AA31)</f>
        <v>0</v>
      </c>
      <c r="AB32" s="696">
        <f t="shared" si="8"/>
        <v>0</v>
      </c>
      <c r="AC32" s="696">
        <f t="shared" si="8"/>
        <v>0</v>
      </c>
      <c r="AD32" s="696">
        <f t="shared" si="8"/>
        <v>0</v>
      </c>
      <c r="AE32" s="696">
        <f t="shared" si="8"/>
        <v>0</v>
      </c>
      <c r="AF32" s="696">
        <f t="shared" si="8"/>
        <v>0</v>
      </c>
      <c r="AG32" s="696">
        <f t="shared" si="8"/>
        <v>0</v>
      </c>
      <c r="AH32" s="696">
        <f t="shared" si="8"/>
        <v>0</v>
      </c>
      <c r="AI32" s="696">
        <f t="shared" si="8"/>
        <v>0</v>
      </c>
      <c r="AJ32" s="696">
        <f t="shared" si="8"/>
        <v>0</v>
      </c>
      <c r="AK32" s="696">
        <f t="shared" si="8"/>
        <v>0</v>
      </c>
      <c r="AL32" s="696">
        <f t="shared" si="8"/>
        <v>0</v>
      </c>
      <c r="AM32" s="679">
        <f>SUM(AA32:AL32)</f>
        <v>0</v>
      </c>
      <c r="AN32" s="696">
        <f t="shared" ref="AN32:AX32" si="9">SUM(AN30:AN31)</f>
        <v>0</v>
      </c>
      <c r="AO32" s="696">
        <f t="shared" si="9"/>
        <v>0</v>
      </c>
      <c r="AP32" s="696">
        <f t="shared" si="9"/>
        <v>0</v>
      </c>
      <c r="AQ32" s="696">
        <f t="shared" si="9"/>
        <v>0</v>
      </c>
      <c r="AR32" s="696">
        <f t="shared" si="9"/>
        <v>1.39504044</v>
      </c>
      <c r="AS32" s="696">
        <f t="shared" si="9"/>
        <v>5.6530768199999999</v>
      </c>
      <c r="AT32" s="696">
        <f t="shared" si="9"/>
        <v>12.951438140000002</v>
      </c>
      <c r="AU32" s="696">
        <f t="shared" si="9"/>
        <v>12.37942357</v>
      </c>
      <c r="AV32" s="696">
        <f t="shared" si="9"/>
        <v>10.35356093</v>
      </c>
      <c r="AW32" s="696">
        <f t="shared" si="9"/>
        <v>8.579813660000001</v>
      </c>
      <c r="AX32" s="696">
        <f t="shared" si="9"/>
        <v>8.4529117100000004</v>
      </c>
      <c r="AY32" s="682"/>
      <c r="AZ32" s="682"/>
    </row>
    <row r="33" spans="1:52" s="13" customFormat="1" ht="13.5" thickBot="1">
      <c r="A33" s="12"/>
      <c r="B33" s="13" t="s">
        <v>772</v>
      </c>
      <c r="C33" s="28"/>
      <c r="D33" s="366"/>
      <c r="E33" s="373"/>
      <c r="F33" s="373"/>
      <c r="G33" s="286"/>
      <c r="H33" s="286"/>
      <c r="I33" s="286"/>
      <c r="J33" s="286"/>
      <c r="K33" s="286"/>
      <c r="L33" s="286"/>
      <c r="M33" s="309"/>
      <c r="N33" s="697">
        <f t="shared" ref="N33:Y33" si="10">N32+N28</f>
        <v>24.811655844483848</v>
      </c>
      <c r="O33" s="697">
        <f t="shared" si="10"/>
        <v>22.218903266340043</v>
      </c>
      <c r="P33" s="697">
        <f t="shared" si="10"/>
        <v>23.964551708223762</v>
      </c>
      <c r="Q33" s="697">
        <f t="shared" si="10"/>
        <v>20.665051906461613</v>
      </c>
      <c r="R33" s="697">
        <f t="shared" si="10"/>
        <v>21.010125361805635</v>
      </c>
      <c r="S33" s="697">
        <f t="shared" si="10"/>
        <v>22.764773233054015</v>
      </c>
      <c r="T33" s="697">
        <f t="shared" si="10"/>
        <v>24.739744081938319</v>
      </c>
      <c r="U33" s="697">
        <f t="shared" si="10"/>
        <v>23.779308987130335</v>
      </c>
      <c r="V33" s="697">
        <f t="shared" si="10"/>
        <v>17.134724252903222</v>
      </c>
      <c r="W33" s="697">
        <f t="shared" si="10"/>
        <v>18.189468441585401</v>
      </c>
      <c r="X33" s="697">
        <f t="shared" si="10"/>
        <v>17.609452136411466</v>
      </c>
      <c r="Y33" s="697">
        <f t="shared" si="10"/>
        <v>18.053639948308991</v>
      </c>
      <c r="Z33" s="698">
        <f>SUM(N33:Y33)</f>
        <v>254.94139916864665</v>
      </c>
      <c r="AA33" s="697">
        <f t="shared" ref="AA33:AK33" si="11">AA32+AA28</f>
        <v>18.996283910261482</v>
      </c>
      <c r="AB33" s="697">
        <f t="shared" si="11"/>
        <v>17.046318449285536</v>
      </c>
      <c r="AC33" s="697">
        <f t="shared" si="11"/>
        <v>16.275212390365859</v>
      </c>
      <c r="AD33" s="697">
        <f t="shared" si="11"/>
        <v>14.594062127969078</v>
      </c>
      <c r="AE33" s="697">
        <f t="shared" si="11"/>
        <v>15.200374965328169</v>
      </c>
      <c r="AF33" s="697">
        <f t="shared" si="11"/>
        <v>17.599419835536114</v>
      </c>
      <c r="AG33" s="697">
        <f t="shared" si="11"/>
        <v>18.308050984992953</v>
      </c>
      <c r="AH33" s="697">
        <f t="shared" si="11"/>
        <v>18.243530202935048</v>
      </c>
      <c r="AI33" s="697">
        <f t="shared" si="11"/>
        <v>17.529621205520325</v>
      </c>
      <c r="AJ33" s="697">
        <f t="shared" si="11"/>
        <v>18.572319705511006</v>
      </c>
      <c r="AK33" s="697">
        <f t="shared" si="11"/>
        <v>17.910572205168652</v>
      </c>
      <c r="AL33" s="697">
        <f>AL32+AL28</f>
        <v>18.277862361224091</v>
      </c>
      <c r="AM33" s="698">
        <f>SUM(AA33:AL33)</f>
        <v>208.55362834409831</v>
      </c>
      <c r="AN33" s="697">
        <f t="shared" ref="AN33:AX33" si="12">AN32+AN28</f>
        <v>222.15935870771412</v>
      </c>
      <c r="AO33" s="697">
        <f t="shared" si="12"/>
        <v>223.26572639662504</v>
      </c>
      <c r="AP33" s="697">
        <f t="shared" si="12"/>
        <v>232.47108558057693</v>
      </c>
      <c r="AQ33" s="697">
        <f t="shared" si="12"/>
        <v>241.7568734483674</v>
      </c>
      <c r="AR33" s="697">
        <f t="shared" si="12"/>
        <v>352.35222659522839</v>
      </c>
      <c r="AS33" s="697">
        <f t="shared" si="12"/>
        <v>394.77592363039531</v>
      </c>
      <c r="AT33" s="697">
        <f t="shared" si="12"/>
        <v>400.12471383284918</v>
      </c>
      <c r="AU33" s="697">
        <f t="shared" si="12"/>
        <v>426.9344985595468</v>
      </c>
      <c r="AV33" s="697">
        <f t="shared" si="12"/>
        <v>432.38965741533343</v>
      </c>
      <c r="AW33" s="697">
        <f t="shared" si="12"/>
        <v>445.99303885524409</v>
      </c>
      <c r="AX33" s="697">
        <f t="shared" si="12"/>
        <v>471.83284130696541</v>
      </c>
      <c r="AY33" s="909"/>
      <c r="AZ33" s="909"/>
    </row>
    <row r="34" spans="1:52" s="13" customFormat="1" ht="13.5" thickTop="1">
      <c r="A34" s="12"/>
      <c r="C34" s="28"/>
      <c r="D34" s="366"/>
      <c r="E34" s="370"/>
      <c r="F34" s="370"/>
      <c r="G34" s="230"/>
      <c r="H34" s="230"/>
      <c r="I34" s="230"/>
      <c r="J34" s="230"/>
      <c r="K34" s="230"/>
      <c r="L34" s="230"/>
      <c r="M34" s="171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79"/>
      <c r="AA34" s="689"/>
      <c r="AB34" s="689"/>
      <c r="AC34" s="689"/>
      <c r="AD34" s="689"/>
      <c r="AE34" s="689"/>
      <c r="AF34" s="689"/>
      <c r="AG34" s="689"/>
      <c r="AH34" s="689"/>
      <c r="AI34" s="689"/>
      <c r="AJ34" s="689"/>
      <c r="AK34" s="689"/>
      <c r="AL34" s="689"/>
      <c r="AM34" s="679"/>
      <c r="AN34" s="689"/>
      <c r="AO34" s="689"/>
      <c r="AP34" s="689"/>
      <c r="AQ34" s="689"/>
      <c r="AR34" s="689"/>
      <c r="AS34" s="689"/>
      <c r="AT34" s="689"/>
      <c r="AU34" s="689"/>
      <c r="AV34" s="689"/>
      <c r="AW34" s="689"/>
      <c r="AX34" s="689"/>
      <c r="AY34" s="907"/>
      <c r="AZ34" s="907"/>
    </row>
    <row r="35" spans="1:52" s="13" customFormat="1">
      <c r="B35" s="108" t="s">
        <v>418</v>
      </c>
      <c r="C35" s="28"/>
      <c r="D35" s="366"/>
      <c r="E35" s="370"/>
      <c r="F35" s="370"/>
      <c r="G35" s="230"/>
      <c r="H35" s="230"/>
      <c r="I35" s="230"/>
      <c r="J35" s="230"/>
      <c r="K35" s="230"/>
      <c r="L35" s="230"/>
      <c r="M35" s="171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88"/>
      <c r="AA35" s="699"/>
      <c r="AB35" s="699"/>
      <c r="AC35" s="699"/>
      <c r="AD35" s="699"/>
      <c r="AE35" s="699"/>
      <c r="AF35" s="699"/>
      <c r="AG35" s="699"/>
      <c r="AH35" s="699"/>
      <c r="AI35" s="699"/>
      <c r="AJ35" s="699"/>
      <c r="AK35" s="699"/>
      <c r="AL35" s="699"/>
      <c r="AM35" s="688"/>
      <c r="AN35" s="699"/>
      <c r="AO35" s="699"/>
      <c r="AP35" s="699"/>
      <c r="AQ35" s="699"/>
      <c r="AR35" s="699"/>
      <c r="AS35" s="699"/>
      <c r="AT35" s="699"/>
      <c r="AU35" s="699"/>
      <c r="AV35" s="699"/>
      <c r="AW35" s="699"/>
      <c r="AX35" s="699"/>
      <c r="AY35" s="910"/>
      <c r="AZ35" s="910"/>
    </row>
    <row r="36" spans="1:52" s="13" customFormat="1">
      <c r="B36" s="108" t="s">
        <v>420</v>
      </c>
      <c r="C36" s="28"/>
      <c r="D36" s="366"/>
      <c r="E36" s="370"/>
      <c r="F36" s="370"/>
      <c r="G36" s="230"/>
      <c r="H36" s="230"/>
      <c r="I36" s="230"/>
      <c r="J36" s="230"/>
      <c r="K36" s="230"/>
      <c r="L36" s="230"/>
      <c r="M36" s="171"/>
      <c r="N36" s="699"/>
      <c r="O36" s="699"/>
      <c r="P36" s="699"/>
      <c r="Q36" s="699"/>
      <c r="R36" s="699"/>
      <c r="S36" s="699"/>
      <c r="T36" s="699"/>
      <c r="U36" s="699"/>
      <c r="V36" s="699"/>
      <c r="W36" s="699"/>
      <c r="X36" s="699"/>
      <c r="Y36" s="699"/>
      <c r="Z36" s="688"/>
      <c r="AA36" s="699"/>
      <c r="AB36" s="699"/>
      <c r="AC36" s="699"/>
      <c r="AD36" s="699"/>
      <c r="AE36" s="699"/>
      <c r="AF36" s="699"/>
      <c r="AG36" s="699"/>
      <c r="AH36" s="699"/>
      <c r="AI36" s="699"/>
      <c r="AJ36" s="699"/>
      <c r="AK36" s="699"/>
      <c r="AL36" s="699"/>
      <c r="AM36" s="688"/>
      <c r="AN36" s="699"/>
      <c r="AO36" s="699"/>
      <c r="AP36" s="699"/>
      <c r="AQ36" s="699"/>
      <c r="AR36" s="699"/>
      <c r="AS36" s="699"/>
      <c r="AT36" s="699"/>
      <c r="AU36" s="699"/>
      <c r="AV36" s="699"/>
      <c r="AW36" s="699"/>
      <c r="AX36" s="699"/>
      <c r="AY36" s="910"/>
      <c r="AZ36" s="910"/>
    </row>
    <row r="37" spans="1:52" s="13" customFormat="1">
      <c r="B37" s="108"/>
      <c r="C37" s="28"/>
      <c r="D37" s="366"/>
      <c r="E37" s="370"/>
      <c r="F37" s="370"/>
      <c r="G37" s="230"/>
      <c r="H37" s="230"/>
      <c r="I37" s="230"/>
      <c r="J37" s="230"/>
      <c r="K37" s="230"/>
      <c r="L37" s="230"/>
      <c r="M37" s="171"/>
      <c r="N37" s="699"/>
      <c r="O37" s="699"/>
      <c r="P37" s="699"/>
      <c r="Q37" s="699"/>
      <c r="R37" s="699"/>
      <c r="S37" s="699"/>
      <c r="T37" s="699"/>
      <c r="U37" s="699"/>
      <c r="V37" s="699"/>
      <c r="W37" s="699"/>
      <c r="X37" s="699"/>
      <c r="Y37" s="699"/>
      <c r="Z37" s="688"/>
      <c r="AA37" s="699"/>
      <c r="AB37" s="699"/>
      <c r="AC37" s="699"/>
      <c r="AD37" s="699"/>
      <c r="AE37" s="699"/>
      <c r="AF37" s="699"/>
      <c r="AG37" s="699"/>
      <c r="AH37" s="699"/>
      <c r="AI37" s="699"/>
      <c r="AJ37" s="699"/>
      <c r="AK37" s="699"/>
      <c r="AL37" s="699"/>
      <c r="AM37" s="688"/>
      <c r="AN37" s="699"/>
      <c r="AO37" s="699"/>
      <c r="AP37" s="699"/>
      <c r="AQ37" s="699"/>
      <c r="AR37" s="699"/>
      <c r="AS37" s="699"/>
      <c r="AT37" s="699"/>
      <c r="AU37" s="699"/>
      <c r="AV37" s="699"/>
      <c r="AW37" s="699"/>
      <c r="AX37" s="699"/>
      <c r="AY37" s="910"/>
      <c r="AZ37" s="910"/>
    </row>
    <row r="38" spans="1:52" s="13" customFormat="1">
      <c r="B38" s="108" t="s">
        <v>760</v>
      </c>
      <c r="C38" s="28"/>
      <c r="D38" s="366"/>
      <c r="E38" s="370"/>
      <c r="F38" s="370"/>
      <c r="G38" s="230"/>
      <c r="H38" s="230"/>
      <c r="I38" s="230"/>
      <c r="J38" s="230"/>
      <c r="K38" s="230"/>
      <c r="L38" s="230"/>
      <c r="M38" s="171"/>
      <c r="N38" s="700"/>
      <c r="O38" s="700"/>
      <c r="P38" s="700"/>
      <c r="Q38" s="700"/>
      <c r="R38" s="700"/>
      <c r="S38" s="700"/>
      <c r="T38" s="700"/>
      <c r="U38" s="700"/>
      <c r="V38" s="700"/>
      <c r="W38" s="700"/>
      <c r="X38" s="700"/>
      <c r="Y38" s="700"/>
      <c r="Z38" s="688"/>
      <c r="AA38" s="700"/>
      <c r="AB38" s="700"/>
      <c r="AC38" s="700"/>
      <c r="AD38" s="700"/>
      <c r="AE38" s="700"/>
      <c r="AF38" s="700"/>
      <c r="AG38" s="700"/>
      <c r="AH38" s="700"/>
      <c r="AI38" s="700"/>
      <c r="AJ38" s="700"/>
      <c r="AK38" s="700"/>
      <c r="AL38" s="700"/>
      <c r="AM38" s="688"/>
      <c r="AN38" s="700"/>
      <c r="AO38" s="700"/>
      <c r="AP38" s="699"/>
      <c r="AQ38" s="699"/>
      <c r="AR38" s="699"/>
      <c r="AS38" s="699"/>
      <c r="AT38" s="699"/>
      <c r="AU38" s="699"/>
      <c r="AV38" s="699"/>
      <c r="AW38" s="699"/>
      <c r="AX38" s="699"/>
      <c r="AY38" s="910"/>
      <c r="AZ38" s="910"/>
    </row>
    <row r="39" spans="1:52" s="13" customFormat="1">
      <c r="B39" s="257" t="s">
        <v>356</v>
      </c>
      <c r="C39" s="28"/>
      <c r="D39" s="366"/>
      <c r="E39" s="370"/>
      <c r="F39" s="370"/>
      <c r="G39" s="332"/>
      <c r="H39" s="332"/>
      <c r="I39" s="332"/>
      <c r="J39" s="332"/>
      <c r="K39" s="332"/>
      <c r="L39" s="332"/>
      <c r="M39" s="171"/>
      <c r="N39" s="576">
        <v>135.61103333333335</v>
      </c>
      <c r="O39" s="576">
        <v>121.75043333333333</v>
      </c>
      <c r="P39" s="576">
        <v>131.79376666666667</v>
      </c>
      <c r="Q39" s="576">
        <v>125.25715555555556</v>
      </c>
      <c r="R39" s="576">
        <v>128.74432222222222</v>
      </c>
      <c r="S39" s="576">
        <v>121.9334111111111</v>
      </c>
      <c r="T39" s="576">
        <v>127.8719111111111</v>
      </c>
      <c r="U39" s="576">
        <v>127.1865</v>
      </c>
      <c r="V39" s="576">
        <v>0</v>
      </c>
      <c r="W39" s="576">
        <v>0</v>
      </c>
      <c r="X39" s="576">
        <v>0</v>
      </c>
      <c r="Y39" s="576">
        <v>0</v>
      </c>
      <c r="Z39" s="679">
        <f>SUM(N39:Y39)</f>
        <v>1020.1485333333334</v>
      </c>
      <c r="AA39" s="576">
        <v>0</v>
      </c>
      <c r="AB39" s="576">
        <v>0</v>
      </c>
      <c r="AC39" s="576">
        <v>0</v>
      </c>
      <c r="AD39" s="576">
        <v>0</v>
      </c>
      <c r="AE39" s="576">
        <v>0</v>
      </c>
      <c r="AF39" s="576">
        <v>0</v>
      </c>
      <c r="AG39" s="576">
        <v>0</v>
      </c>
      <c r="AH39" s="576">
        <v>0</v>
      </c>
      <c r="AI39" s="576">
        <v>0</v>
      </c>
      <c r="AJ39" s="576">
        <v>0</v>
      </c>
      <c r="AK39" s="576">
        <v>0</v>
      </c>
      <c r="AL39" s="576">
        <v>0</v>
      </c>
      <c r="AM39" s="679">
        <f>SUM(AA39:AL39)</f>
        <v>0</v>
      </c>
      <c r="AN39" s="576">
        <v>0</v>
      </c>
      <c r="AO39" s="576">
        <v>0</v>
      </c>
      <c r="AP39" s="540">
        <v>0</v>
      </c>
      <c r="AQ39" s="540">
        <v>0</v>
      </c>
      <c r="AR39" s="540">
        <v>1470.3482346666667</v>
      </c>
      <c r="AS39" s="540">
        <v>1580.1769333333332</v>
      </c>
      <c r="AT39" s="540">
        <v>1482.3571737777777</v>
      </c>
      <c r="AU39" s="540">
        <v>1572.7605777777778</v>
      </c>
      <c r="AV39" s="540">
        <v>1446.3574751111114</v>
      </c>
      <c r="AW39" s="540">
        <v>1573.7258666666664</v>
      </c>
      <c r="AX39" s="540">
        <v>1379.6629862222221</v>
      </c>
      <c r="AY39" s="685"/>
      <c r="AZ39" s="685"/>
    </row>
    <row r="40" spans="1:52" s="13" customFormat="1">
      <c r="B40" s="257" t="s">
        <v>761</v>
      </c>
      <c r="C40" s="28"/>
      <c r="D40" s="366"/>
      <c r="E40" s="370"/>
      <c r="F40" s="370"/>
      <c r="G40" s="332"/>
      <c r="H40" s="332"/>
      <c r="I40" s="332"/>
      <c r="J40" s="332"/>
      <c r="K40" s="332"/>
      <c r="L40" s="332"/>
      <c r="M40" s="171"/>
      <c r="N40" s="576">
        <v>32.393726503730221</v>
      </c>
      <c r="O40" s="576">
        <v>28.936436007090293</v>
      </c>
      <c r="P40" s="576">
        <v>32.613999587279842</v>
      </c>
      <c r="Q40" s="576">
        <v>22.745292664656493</v>
      </c>
      <c r="R40" s="576">
        <v>29.181949156447942</v>
      </c>
      <c r="S40" s="576">
        <v>29.7924005272782</v>
      </c>
      <c r="T40" s="576">
        <v>31.266310640148088</v>
      </c>
      <c r="U40" s="576">
        <v>30.534099803277115</v>
      </c>
      <c r="V40" s="576">
        <v>30.511752682048439</v>
      </c>
      <c r="W40" s="576">
        <v>33.260249065320586</v>
      </c>
      <c r="X40" s="576">
        <v>32.121056887527153</v>
      </c>
      <c r="Y40" s="576">
        <v>32.542526085716212</v>
      </c>
      <c r="Z40" s="679">
        <f t="shared" ref="Z40:Z47" si="13">SUM(N40:Y40)</f>
        <v>365.89979961052057</v>
      </c>
      <c r="AA40" s="576">
        <v>32.631252748494283</v>
      </c>
      <c r="AB40" s="576">
        <v>29.518272295455773</v>
      </c>
      <c r="AC40" s="576">
        <v>33.120501254272796</v>
      </c>
      <c r="AD40" s="576">
        <v>26.598300694301493</v>
      </c>
      <c r="AE40" s="576">
        <v>14.116050406644309</v>
      </c>
      <c r="AF40" s="576">
        <v>30.073838182266467</v>
      </c>
      <c r="AG40" s="576">
        <v>31.483559099345555</v>
      </c>
      <c r="AH40" s="576">
        <v>30.78140232257693</v>
      </c>
      <c r="AI40" s="576">
        <v>30.559936449982526</v>
      </c>
      <c r="AJ40" s="576">
        <v>33.915280386902786</v>
      </c>
      <c r="AK40" s="576">
        <v>32.276534596734791</v>
      </c>
      <c r="AL40" s="576">
        <v>32.628237755223168</v>
      </c>
      <c r="AM40" s="679">
        <f t="shared" ref="AM40:AM47" si="14">SUM(AA40:AL40)</f>
        <v>357.70316619220085</v>
      </c>
      <c r="AN40" s="576">
        <v>373.88588769100659</v>
      </c>
      <c r="AO40" s="576">
        <v>353.0888812920212</v>
      </c>
      <c r="AP40" s="540">
        <v>376.37201120834607</v>
      </c>
      <c r="AQ40" s="540">
        <v>326.08962141168956</v>
      </c>
      <c r="AR40" s="540">
        <v>391.44558038052293</v>
      </c>
      <c r="AS40" s="540">
        <v>379.05799616707185</v>
      </c>
      <c r="AT40" s="540">
        <v>359.14612944991541</v>
      </c>
      <c r="AU40" s="540">
        <v>377.3287617814841</v>
      </c>
      <c r="AV40" s="540">
        <v>397.66508245628182</v>
      </c>
      <c r="AW40" s="540">
        <v>376.54149213267681</v>
      </c>
      <c r="AX40" s="540">
        <v>394.41134239076325</v>
      </c>
      <c r="AY40" s="685"/>
      <c r="AZ40" s="685"/>
    </row>
    <row r="41" spans="1:52" s="13" customFormat="1">
      <c r="B41" s="257" t="s">
        <v>762</v>
      </c>
      <c r="C41" s="28"/>
      <c r="D41" s="366"/>
      <c r="E41" s="370"/>
      <c r="F41" s="370"/>
      <c r="G41" s="332"/>
      <c r="H41" s="332"/>
      <c r="I41" s="332"/>
      <c r="J41" s="332"/>
      <c r="K41" s="332"/>
      <c r="L41" s="332"/>
      <c r="M41" s="171"/>
      <c r="N41" s="576">
        <v>32.307969159407243</v>
      </c>
      <c r="O41" s="576">
        <v>28.988539969705155</v>
      </c>
      <c r="P41" s="576">
        <v>30.549112331687223</v>
      </c>
      <c r="Q41" s="576">
        <v>0</v>
      </c>
      <c r="R41" s="576">
        <v>13.066766064102392</v>
      </c>
      <c r="S41" s="576">
        <v>29.849584139729973</v>
      </c>
      <c r="T41" s="576">
        <v>31.32006879655313</v>
      </c>
      <c r="U41" s="576">
        <v>30.439826642683943</v>
      </c>
      <c r="V41" s="576">
        <v>30.546889565630323</v>
      </c>
      <c r="W41" s="576">
        <v>33.347176461716941</v>
      </c>
      <c r="X41" s="576">
        <v>32.16346898957994</v>
      </c>
      <c r="Y41" s="576">
        <v>32.572306260635202</v>
      </c>
      <c r="Z41" s="679">
        <f t="shared" si="13"/>
        <v>325.15170838143149</v>
      </c>
      <c r="AA41" s="576">
        <v>32.436757878656024</v>
      </c>
      <c r="AB41" s="576">
        <v>29.168692891922117</v>
      </c>
      <c r="AC41" s="576">
        <v>32.83103742608742</v>
      </c>
      <c r="AD41" s="576">
        <v>31.685563845797905</v>
      </c>
      <c r="AE41" s="576">
        <v>29.065192309982255</v>
      </c>
      <c r="AF41" s="576">
        <v>29.819606254350319</v>
      </c>
      <c r="AG41" s="576">
        <v>31.190053354353626</v>
      </c>
      <c r="AH41" s="576">
        <v>30.415230274987799</v>
      </c>
      <c r="AI41" s="576">
        <v>30.370667698594303</v>
      </c>
      <c r="AJ41" s="576">
        <v>33.540226324450011</v>
      </c>
      <c r="AK41" s="576">
        <v>31.89507413773082</v>
      </c>
      <c r="AL41" s="576">
        <v>32.36496165877417</v>
      </c>
      <c r="AM41" s="679">
        <f t="shared" si="14"/>
        <v>374.78306405568685</v>
      </c>
      <c r="AN41" s="576">
        <v>354.17383241693898</v>
      </c>
      <c r="AO41" s="576">
        <v>377.78407291870985</v>
      </c>
      <c r="AP41" s="540">
        <v>355.16155849952446</v>
      </c>
      <c r="AQ41" s="540">
        <v>375.91474483880984</v>
      </c>
      <c r="AR41" s="540">
        <v>364.71308962203909</v>
      </c>
      <c r="AS41" s="540">
        <v>404.06880413054023</v>
      </c>
      <c r="AT41" s="540">
        <v>337.1605051218732</v>
      </c>
      <c r="AU41" s="540">
        <v>397.02057154472163</v>
      </c>
      <c r="AV41" s="540">
        <v>373.81986913043198</v>
      </c>
      <c r="AW41" s="540">
        <v>399.68499861102202</v>
      </c>
      <c r="AX41" s="540">
        <v>371.76638485325179</v>
      </c>
      <c r="AY41" s="685"/>
      <c r="AZ41" s="685"/>
    </row>
    <row r="42" spans="1:52" s="13" customFormat="1">
      <c r="B42" s="257" t="s">
        <v>763</v>
      </c>
      <c r="C42" s="28"/>
      <c r="D42" s="366"/>
      <c r="E42" s="370"/>
      <c r="F42" s="370"/>
      <c r="G42" s="332"/>
      <c r="H42" s="332"/>
      <c r="I42" s="332"/>
      <c r="J42" s="332"/>
      <c r="K42" s="332"/>
      <c r="L42" s="332"/>
      <c r="M42" s="171"/>
      <c r="N42" s="576">
        <v>45.683403220099073</v>
      </c>
      <c r="O42" s="576">
        <v>40.527827317763631</v>
      </c>
      <c r="P42" s="576">
        <v>43.574990268931352</v>
      </c>
      <c r="Q42" s="576">
        <v>37.12004865534324</v>
      </c>
      <c r="R42" s="576">
        <v>9.9267728237791939</v>
      </c>
      <c r="S42" s="576">
        <v>41.328136058032555</v>
      </c>
      <c r="T42" s="576">
        <v>43.239298478414717</v>
      </c>
      <c r="U42" s="576">
        <v>43.714702760084926</v>
      </c>
      <c r="V42" s="576">
        <v>42.390204794762916</v>
      </c>
      <c r="W42" s="576">
        <v>44.546606953290876</v>
      </c>
      <c r="X42" s="576">
        <v>43.303803078556257</v>
      </c>
      <c r="Y42" s="576">
        <v>44.225329529370136</v>
      </c>
      <c r="Z42" s="679">
        <f t="shared" si="13"/>
        <v>479.58112393842885</v>
      </c>
      <c r="AA42" s="576">
        <v>46.225475937721157</v>
      </c>
      <c r="AB42" s="576">
        <v>41.382198779193203</v>
      </c>
      <c r="AC42" s="576">
        <v>43.328614207360225</v>
      </c>
      <c r="AD42" s="576">
        <v>42.715136677282374</v>
      </c>
      <c r="AE42" s="576">
        <v>44.409365711252647</v>
      </c>
      <c r="AF42" s="576">
        <v>41.814617834394902</v>
      </c>
      <c r="AG42" s="576">
        <v>43.765306970983723</v>
      </c>
      <c r="AH42" s="576">
        <v>43.630927105449402</v>
      </c>
      <c r="AI42" s="576">
        <v>42.10125840410474</v>
      </c>
      <c r="AJ42" s="576">
        <v>44.371914808917197</v>
      </c>
      <c r="AK42" s="576">
        <v>43.010355626326962</v>
      </c>
      <c r="AL42" s="576">
        <v>43.428614649681535</v>
      </c>
      <c r="AM42" s="679">
        <f t="shared" si="14"/>
        <v>520.18378671266805</v>
      </c>
      <c r="AN42" s="576">
        <v>515.55563251946216</v>
      </c>
      <c r="AO42" s="576">
        <v>489.67959350672328</v>
      </c>
      <c r="AP42" s="540">
        <v>497.20561349964618</v>
      </c>
      <c r="AQ42" s="540">
        <v>518.4723540339703</v>
      </c>
      <c r="AR42" s="540">
        <v>474.41773354564748</v>
      </c>
      <c r="AS42" s="540">
        <v>552.76557634465678</v>
      </c>
      <c r="AT42" s="540">
        <v>551.46473903043159</v>
      </c>
      <c r="AU42" s="540">
        <v>510.46671222576077</v>
      </c>
      <c r="AV42" s="540">
        <v>549.9334607218683</v>
      </c>
      <c r="AW42" s="540">
        <v>551.66467400920033</v>
      </c>
      <c r="AX42" s="540">
        <v>506.80331121726823</v>
      </c>
      <c r="AY42" s="685"/>
      <c r="AZ42" s="685"/>
    </row>
    <row r="43" spans="1:52" s="13" customFormat="1">
      <c r="B43" s="257" t="s">
        <v>764</v>
      </c>
      <c r="C43" s="28"/>
      <c r="D43" s="366"/>
      <c r="E43" s="370"/>
      <c r="F43" s="370"/>
      <c r="G43" s="332"/>
      <c r="H43" s="332"/>
      <c r="I43" s="332"/>
      <c r="J43" s="332"/>
      <c r="K43" s="332"/>
      <c r="L43" s="332"/>
      <c r="M43" s="171"/>
      <c r="N43" s="576">
        <v>45.798890215852801</v>
      </c>
      <c r="O43" s="576">
        <v>40.40487039985846</v>
      </c>
      <c r="P43" s="576">
        <v>43.50226424274593</v>
      </c>
      <c r="Q43" s="576">
        <v>42.686878096249124</v>
      </c>
      <c r="R43" s="576">
        <v>44.448754423213018</v>
      </c>
      <c r="S43" s="576">
        <v>41.63734607218683</v>
      </c>
      <c r="T43" s="576">
        <v>43.448267869780601</v>
      </c>
      <c r="U43" s="576">
        <v>43.80980449398443</v>
      </c>
      <c r="V43" s="576">
        <v>42.306150035385706</v>
      </c>
      <c r="W43" s="576">
        <v>44.526370753715497</v>
      </c>
      <c r="X43" s="576">
        <v>43.50128803963198</v>
      </c>
      <c r="Y43" s="576">
        <v>44.116139861995755</v>
      </c>
      <c r="Z43" s="679">
        <f t="shared" si="13"/>
        <v>520.18702450460012</v>
      </c>
      <c r="AA43" s="576">
        <v>46.293214791224344</v>
      </c>
      <c r="AB43" s="576">
        <v>41.255084041047418</v>
      </c>
      <c r="AC43" s="576">
        <v>43.236757784854916</v>
      </c>
      <c r="AD43" s="576">
        <v>42.733335544939841</v>
      </c>
      <c r="AE43" s="576">
        <v>44.406863941967444</v>
      </c>
      <c r="AF43" s="576">
        <v>42.041580856334036</v>
      </c>
      <c r="AG43" s="576">
        <v>43.642344302901627</v>
      </c>
      <c r="AH43" s="576">
        <v>43.825791755130922</v>
      </c>
      <c r="AI43" s="576">
        <v>42.076502123142248</v>
      </c>
      <c r="AJ43" s="576">
        <v>44.359969479830141</v>
      </c>
      <c r="AK43" s="576">
        <v>42.929938959660298</v>
      </c>
      <c r="AL43" s="576">
        <v>43.634200283085633</v>
      </c>
      <c r="AM43" s="679">
        <f t="shared" si="14"/>
        <v>520.43558386411883</v>
      </c>
      <c r="AN43" s="576">
        <v>479.38741463198869</v>
      </c>
      <c r="AO43" s="576">
        <v>524.8610633404104</v>
      </c>
      <c r="AP43" s="540">
        <v>497.91447496461433</v>
      </c>
      <c r="AQ43" s="540">
        <v>449.16041357041757</v>
      </c>
      <c r="AR43" s="540">
        <v>541.90094258669501</v>
      </c>
      <c r="AS43" s="540">
        <v>554.87621063340407</v>
      </c>
      <c r="AT43" s="540">
        <v>516.0050402512386</v>
      </c>
      <c r="AU43" s="540">
        <v>552.35968197098373</v>
      </c>
      <c r="AV43" s="540">
        <v>549.38109297593769</v>
      </c>
      <c r="AW43" s="540">
        <v>510.31844656758676</v>
      </c>
      <c r="AX43" s="540">
        <v>543.84602795470619</v>
      </c>
      <c r="AY43" s="685"/>
      <c r="AZ43" s="685"/>
    </row>
    <row r="44" spans="1:52" s="13" customFormat="1">
      <c r="B44" s="257" t="s">
        <v>765</v>
      </c>
      <c r="C44" s="28"/>
      <c r="D44" s="366"/>
      <c r="E44" s="370"/>
      <c r="F44" s="370"/>
      <c r="G44" s="332"/>
      <c r="H44" s="332"/>
      <c r="I44" s="332"/>
      <c r="J44" s="332"/>
      <c r="K44" s="332"/>
      <c r="L44" s="332"/>
      <c r="M44" s="171"/>
      <c r="N44" s="576">
        <v>47.187533174097659</v>
      </c>
      <c r="O44" s="576">
        <v>41.976100937721156</v>
      </c>
      <c r="P44" s="576">
        <v>45.808228945506016</v>
      </c>
      <c r="Q44" s="576">
        <v>45.056232749469217</v>
      </c>
      <c r="R44" s="576">
        <v>46.615849256900219</v>
      </c>
      <c r="S44" s="576">
        <v>44.025214968152866</v>
      </c>
      <c r="T44" s="576">
        <v>45.849163128096251</v>
      </c>
      <c r="U44" s="576">
        <v>45.826209306440198</v>
      </c>
      <c r="V44" s="576">
        <v>44.380573248407643</v>
      </c>
      <c r="W44" s="576">
        <v>46.734723106864834</v>
      </c>
      <c r="X44" s="576">
        <v>45.407292108987974</v>
      </c>
      <c r="Y44" s="576">
        <v>46.092339879688602</v>
      </c>
      <c r="Z44" s="679">
        <f t="shared" si="13"/>
        <v>544.95946081033264</v>
      </c>
      <c r="AA44" s="576">
        <v>47.76488411181883</v>
      </c>
      <c r="AB44" s="576">
        <v>42.513949929228588</v>
      </c>
      <c r="AC44" s="576">
        <v>45.196669762915789</v>
      </c>
      <c r="AD44" s="576">
        <v>6.1681347310686485</v>
      </c>
      <c r="AE44" s="576">
        <v>8.9727653927813176</v>
      </c>
      <c r="AF44" s="576">
        <v>44.778225406935597</v>
      </c>
      <c r="AG44" s="576">
        <v>45.820132696390658</v>
      </c>
      <c r="AH44" s="576">
        <v>45.709134819532913</v>
      </c>
      <c r="AI44" s="576">
        <v>44.487396496815286</v>
      </c>
      <c r="AJ44" s="576">
        <v>46.490434801840053</v>
      </c>
      <c r="AK44" s="576">
        <v>45.390254777070062</v>
      </c>
      <c r="AL44" s="576">
        <v>45.332902070063696</v>
      </c>
      <c r="AM44" s="679">
        <f t="shared" si="14"/>
        <v>468.6248849964615</v>
      </c>
      <c r="AN44" s="576">
        <v>537.03079087048832</v>
      </c>
      <c r="AO44" s="576">
        <v>547.24966648973816</v>
      </c>
      <c r="AP44" s="540">
        <v>475.84578821656055</v>
      </c>
      <c r="AQ44" s="540">
        <v>532.988859695683</v>
      </c>
      <c r="AR44" s="540">
        <v>559.59098858811035</v>
      </c>
      <c r="AS44" s="540">
        <v>531.6779365711252</v>
      </c>
      <c r="AT44" s="540">
        <v>568.62092179759372</v>
      </c>
      <c r="AU44" s="540">
        <v>566.6662022292993</v>
      </c>
      <c r="AV44" s="540">
        <v>489.36998186482657</v>
      </c>
      <c r="AW44" s="540">
        <v>561.86546974522309</v>
      </c>
      <c r="AX44" s="540">
        <v>556.95481953290869</v>
      </c>
      <c r="AY44" s="685"/>
      <c r="AZ44" s="685"/>
    </row>
    <row r="45" spans="1:52" s="13" customFormat="1">
      <c r="B45" s="257" t="s">
        <v>355</v>
      </c>
      <c r="C45" s="28"/>
      <c r="D45" s="366"/>
      <c r="E45" s="370"/>
      <c r="F45" s="370"/>
      <c r="G45" s="332"/>
      <c r="H45" s="332"/>
      <c r="I45" s="332"/>
      <c r="J45" s="332"/>
      <c r="K45" s="332"/>
      <c r="L45" s="332"/>
      <c r="M45" s="171"/>
      <c r="N45" s="576">
        <v>0</v>
      </c>
      <c r="O45" s="576">
        <v>0</v>
      </c>
      <c r="P45" s="576">
        <v>0</v>
      </c>
      <c r="Q45" s="576">
        <v>0</v>
      </c>
      <c r="R45" s="576">
        <v>0</v>
      </c>
      <c r="S45" s="576">
        <v>0</v>
      </c>
      <c r="T45" s="576">
        <v>8.4111425000000004</v>
      </c>
      <c r="U45" s="576">
        <v>0</v>
      </c>
      <c r="V45" s="576">
        <v>0</v>
      </c>
      <c r="W45" s="576">
        <v>0</v>
      </c>
      <c r="X45" s="576">
        <v>0</v>
      </c>
      <c r="Y45" s="576">
        <v>0</v>
      </c>
      <c r="Z45" s="679">
        <f t="shared" si="13"/>
        <v>8.4111425000000004</v>
      </c>
      <c r="AA45" s="576">
        <v>0</v>
      </c>
      <c r="AB45" s="576">
        <v>0</v>
      </c>
      <c r="AC45" s="576">
        <v>0</v>
      </c>
      <c r="AD45" s="576">
        <v>0</v>
      </c>
      <c r="AE45" s="576">
        <v>0</v>
      </c>
      <c r="AF45" s="576">
        <v>0</v>
      </c>
      <c r="AG45" s="576">
        <v>0</v>
      </c>
      <c r="AH45" s="576">
        <v>0</v>
      </c>
      <c r="AI45" s="576">
        <v>0</v>
      </c>
      <c r="AJ45" s="576">
        <v>0</v>
      </c>
      <c r="AK45" s="576">
        <v>0</v>
      </c>
      <c r="AL45" s="576">
        <v>0</v>
      </c>
      <c r="AM45" s="679">
        <f t="shared" si="14"/>
        <v>0</v>
      </c>
      <c r="AN45" s="576">
        <v>0</v>
      </c>
      <c r="AO45" s="576">
        <v>0</v>
      </c>
      <c r="AP45" s="540">
        <v>0</v>
      </c>
      <c r="AQ45" s="540">
        <v>0</v>
      </c>
      <c r="AR45" s="540">
        <v>0</v>
      </c>
      <c r="AS45" s="540">
        <v>0</v>
      </c>
      <c r="AT45" s="540">
        <v>0</v>
      </c>
      <c r="AU45" s="540">
        <v>0</v>
      </c>
      <c r="AV45" s="540">
        <v>0</v>
      </c>
      <c r="AW45" s="540">
        <v>0</v>
      </c>
      <c r="AX45" s="540">
        <v>0</v>
      </c>
      <c r="AY45" s="685"/>
      <c r="AZ45" s="685"/>
    </row>
    <row r="46" spans="1:52" s="13" customFormat="1">
      <c r="B46" s="257" t="s">
        <v>766</v>
      </c>
      <c r="C46" s="28"/>
      <c r="D46" s="366"/>
      <c r="E46" s="370"/>
      <c r="F46" s="370"/>
      <c r="G46" s="332"/>
      <c r="H46" s="332"/>
      <c r="I46" s="332"/>
      <c r="J46" s="332"/>
      <c r="K46" s="332"/>
      <c r="L46" s="332"/>
      <c r="M46" s="171"/>
      <c r="N46" s="576">
        <v>75.726052036199093</v>
      </c>
      <c r="O46" s="576">
        <v>68.267703619909497</v>
      </c>
      <c r="P46" s="576">
        <v>72.670887782805423</v>
      </c>
      <c r="Q46" s="576">
        <v>70.619971945701352</v>
      </c>
      <c r="R46" s="576">
        <v>73.945276923076932</v>
      </c>
      <c r="S46" s="576">
        <v>70.51987556561086</v>
      </c>
      <c r="T46" s="576">
        <v>73.955169683257921</v>
      </c>
      <c r="U46" s="576">
        <v>74.079326696832581</v>
      </c>
      <c r="V46" s="576">
        <v>70.053461538461534</v>
      </c>
      <c r="W46" s="576">
        <v>73.967658371040713</v>
      </c>
      <c r="X46" s="576">
        <v>71.156855203619912</v>
      </c>
      <c r="Y46" s="576">
        <v>74.389264705882354</v>
      </c>
      <c r="Z46" s="679">
        <f t="shared" si="13"/>
        <v>869.35150407239814</v>
      </c>
      <c r="AA46" s="576">
        <v>75.752460633484162</v>
      </c>
      <c r="AB46" s="576">
        <v>68.123065610859712</v>
      </c>
      <c r="AC46" s="576">
        <v>32.887279638009048</v>
      </c>
      <c r="AD46" s="576">
        <v>54.01005067873303</v>
      </c>
      <c r="AE46" s="576">
        <v>73.54256787330317</v>
      </c>
      <c r="AF46" s="576">
        <v>70.873382352941178</v>
      </c>
      <c r="AG46" s="576">
        <v>73.977115384615388</v>
      </c>
      <c r="AH46" s="576">
        <v>74.149609954751142</v>
      </c>
      <c r="AI46" s="576">
        <v>69.592132126696839</v>
      </c>
      <c r="AJ46" s="576">
        <v>72.591583710407235</v>
      </c>
      <c r="AK46" s="576">
        <v>70.301651583710409</v>
      </c>
      <c r="AL46" s="576">
        <v>72.718761085972844</v>
      </c>
      <c r="AM46" s="679">
        <f t="shared" si="14"/>
        <v>808.51966063348402</v>
      </c>
      <c r="AN46" s="576">
        <v>847.03319592760192</v>
      </c>
      <c r="AO46" s="576">
        <v>732.6096280542987</v>
      </c>
      <c r="AP46" s="540">
        <v>846.5319633484163</v>
      </c>
      <c r="AQ46" s="540">
        <v>820.61546696832579</v>
      </c>
      <c r="AR46" s="540">
        <v>917.58365429864261</v>
      </c>
      <c r="AS46" s="540">
        <v>884.35974253393658</v>
      </c>
      <c r="AT46" s="540">
        <v>933.58023257918546</v>
      </c>
      <c r="AU46" s="540">
        <v>878.98457420814475</v>
      </c>
      <c r="AV46" s="540">
        <v>927.8840606334843</v>
      </c>
      <c r="AW46" s="540">
        <v>793.58063031674214</v>
      </c>
      <c r="AX46" s="540">
        <v>913.58292443438927</v>
      </c>
      <c r="AY46" s="685"/>
      <c r="AZ46" s="685"/>
    </row>
    <row r="47" spans="1:52" s="13" customFormat="1">
      <c r="B47" s="257" t="s">
        <v>767</v>
      </c>
      <c r="C47" s="28"/>
      <c r="D47" s="366"/>
      <c r="E47" s="370"/>
      <c r="F47" s="370"/>
      <c r="G47" s="332"/>
      <c r="H47" s="332"/>
      <c r="I47" s="332"/>
      <c r="J47" s="332"/>
      <c r="K47" s="332"/>
      <c r="L47" s="332"/>
      <c r="M47" s="171"/>
      <c r="N47" s="576">
        <v>73.790576923076927</v>
      </c>
      <c r="O47" s="576">
        <v>66.73212669683258</v>
      </c>
      <c r="P47" s="576">
        <v>71.283110859728509</v>
      </c>
      <c r="Q47" s="576">
        <v>69.22670814479639</v>
      </c>
      <c r="R47" s="576">
        <v>72.196057918552043</v>
      </c>
      <c r="S47" s="576">
        <v>69.034225339366515</v>
      </c>
      <c r="T47" s="576">
        <v>72.770576923076916</v>
      </c>
      <c r="U47" s="576">
        <v>72.708122171945703</v>
      </c>
      <c r="V47" s="576">
        <v>68.837313122171935</v>
      </c>
      <c r="W47" s="576">
        <v>72.638642533936661</v>
      </c>
      <c r="X47" s="576">
        <v>70.208783710407232</v>
      </c>
      <c r="Y47" s="576">
        <v>72.721125791855201</v>
      </c>
      <c r="Z47" s="679">
        <f t="shared" si="13"/>
        <v>852.14737013574677</v>
      </c>
      <c r="AA47" s="576">
        <v>74.020531674208144</v>
      </c>
      <c r="AB47" s="576">
        <v>66.729332579185524</v>
      </c>
      <c r="AC47" s="576">
        <v>71.112024886877833</v>
      </c>
      <c r="AD47" s="576">
        <v>69.090085067873304</v>
      </c>
      <c r="AE47" s="576">
        <v>72.247884615384606</v>
      </c>
      <c r="AF47" s="576">
        <v>69.785141176470603</v>
      </c>
      <c r="AG47" s="576">
        <v>72.558444343891409</v>
      </c>
      <c r="AH47" s="576">
        <v>72.870565610859714</v>
      </c>
      <c r="AI47" s="576">
        <v>68.45455882352941</v>
      </c>
      <c r="AJ47" s="576">
        <v>71.523331221719459</v>
      </c>
      <c r="AK47" s="576">
        <v>68.683167420814485</v>
      </c>
      <c r="AL47" s="576">
        <v>71.455294117647043</v>
      </c>
      <c r="AM47" s="679">
        <f t="shared" si="14"/>
        <v>848.53036153846142</v>
      </c>
      <c r="AN47" s="576">
        <v>786.83516289592762</v>
      </c>
      <c r="AO47" s="576">
        <v>841.72600226244344</v>
      </c>
      <c r="AP47" s="540">
        <v>789.2168918552037</v>
      </c>
      <c r="AQ47" s="540">
        <v>856.44690045248865</v>
      </c>
      <c r="AR47" s="540">
        <v>766.92986651583703</v>
      </c>
      <c r="AS47" s="540">
        <v>910.94464886877813</v>
      </c>
      <c r="AT47" s="540">
        <v>856.89956877828058</v>
      </c>
      <c r="AU47" s="540">
        <v>911.31540180995466</v>
      </c>
      <c r="AV47" s="540">
        <v>855.23251402714925</v>
      </c>
      <c r="AW47" s="540">
        <v>910.76970588235281</v>
      </c>
      <c r="AX47" s="540">
        <v>848.45336244343889</v>
      </c>
      <c r="AY47" s="685"/>
      <c r="AZ47" s="685"/>
    </row>
    <row r="48" spans="1:52" s="13" customFormat="1" ht="13.5" thickBot="1">
      <c r="B48" s="108" t="s">
        <v>419</v>
      </c>
      <c r="C48" s="28"/>
      <c r="D48" s="366"/>
      <c r="E48" s="372"/>
      <c r="F48" s="372"/>
      <c r="G48" s="285"/>
      <c r="H48" s="285"/>
      <c r="I48" s="285"/>
      <c r="J48" s="285"/>
      <c r="K48" s="285"/>
      <c r="L48" s="285"/>
      <c r="M48" s="306"/>
      <c r="N48" s="701">
        <f>SUM(N39:N47)</f>
        <v>488.49918456579638</v>
      </c>
      <c r="O48" s="701">
        <f t="shared" ref="O48:Y48" si="15">SUM(O39:O47)</f>
        <v>437.58403828221412</v>
      </c>
      <c r="P48" s="701">
        <f t="shared" si="15"/>
        <v>471.79636068535092</v>
      </c>
      <c r="Q48" s="701">
        <f t="shared" si="15"/>
        <v>412.71228781177138</v>
      </c>
      <c r="R48" s="701">
        <f t="shared" si="15"/>
        <v>418.12574878829389</v>
      </c>
      <c r="S48" s="701">
        <f t="shared" si="15"/>
        <v>448.12019378146886</v>
      </c>
      <c r="T48" s="701">
        <f t="shared" si="15"/>
        <v>478.13190913043866</v>
      </c>
      <c r="U48" s="701">
        <f t="shared" si="15"/>
        <v>468.29859187524892</v>
      </c>
      <c r="V48" s="701">
        <f t="shared" si="15"/>
        <v>329.02634498686848</v>
      </c>
      <c r="W48" s="701">
        <f t="shared" si="15"/>
        <v>349.02142724588612</v>
      </c>
      <c r="X48" s="701">
        <f t="shared" si="15"/>
        <v>337.86254801831046</v>
      </c>
      <c r="Y48" s="701">
        <f t="shared" si="15"/>
        <v>346.65903211514342</v>
      </c>
      <c r="Z48" s="681">
        <f>SUM(N48:Y48)</f>
        <v>4985.8376672867926</v>
      </c>
      <c r="AA48" s="701">
        <f>SUM(AA39:AA47)</f>
        <v>355.12457777560695</v>
      </c>
      <c r="AB48" s="701">
        <f t="shared" ref="AB48:AL48" si="16">SUM(AB39:AB47)</f>
        <v>318.69059612689239</v>
      </c>
      <c r="AC48" s="701">
        <f t="shared" si="16"/>
        <v>301.71288496037801</v>
      </c>
      <c r="AD48" s="701">
        <f t="shared" si="16"/>
        <v>273.00060723999661</v>
      </c>
      <c r="AE48" s="701">
        <f t="shared" si="16"/>
        <v>286.76069025131574</v>
      </c>
      <c r="AF48" s="701">
        <f t="shared" si="16"/>
        <v>329.18639206369312</v>
      </c>
      <c r="AG48" s="701">
        <f t="shared" si="16"/>
        <v>342.43695615248203</v>
      </c>
      <c r="AH48" s="701">
        <f t="shared" si="16"/>
        <v>341.38266184328882</v>
      </c>
      <c r="AI48" s="701">
        <f t="shared" si="16"/>
        <v>327.64245212286534</v>
      </c>
      <c r="AJ48" s="701">
        <f t="shared" si="16"/>
        <v>346.79274073406691</v>
      </c>
      <c r="AK48" s="701">
        <f t="shared" si="16"/>
        <v>334.48697710204777</v>
      </c>
      <c r="AL48" s="701">
        <f t="shared" si="16"/>
        <v>341.56297162044808</v>
      </c>
      <c r="AM48" s="681">
        <f>SUM(AA48:AL48)</f>
        <v>3898.7805079930818</v>
      </c>
      <c r="AN48" s="701">
        <f t="shared" ref="AN48:AX48" si="17">SUM(AN39:AN47)</f>
        <v>3893.9019169534145</v>
      </c>
      <c r="AO48" s="701">
        <f t="shared" si="17"/>
        <v>3866.9989078643448</v>
      </c>
      <c r="AP48" s="701">
        <f t="shared" si="17"/>
        <v>3838.2483015923117</v>
      </c>
      <c r="AQ48" s="701">
        <f t="shared" si="17"/>
        <v>3879.6883609713846</v>
      </c>
      <c r="AR48" s="701">
        <f t="shared" si="17"/>
        <v>5486.9300902041605</v>
      </c>
      <c r="AS48" s="701">
        <f t="shared" si="17"/>
        <v>5797.9278485828463</v>
      </c>
      <c r="AT48" s="701">
        <f t="shared" si="17"/>
        <v>5605.2343107862971</v>
      </c>
      <c r="AU48" s="701">
        <f t="shared" si="17"/>
        <v>5766.9024835481277</v>
      </c>
      <c r="AV48" s="701">
        <f t="shared" si="17"/>
        <v>5589.6435369210922</v>
      </c>
      <c r="AW48" s="701">
        <f t="shared" si="17"/>
        <v>5678.1512839314692</v>
      </c>
      <c r="AX48" s="701">
        <f t="shared" si="17"/>
        <v>5515.4811590489489</v>
      </c>
      <c r="AY48" s="763"/>
      <c r="AZ48" s="763"/>
    </row>
    <row r="49" spans="2:54" s="13" customFormat="1" ht="13.5" thickTop="1">
      <c r="C49" s="28"/>
      <c r="D49" s="366"/>
      <c r="E49" s="370"/>
      <c r="F49" s="370"/>
      <c r="G49" s="230"/>
      <c r="H49" s="230"/>
      <c r="I49" s="230"/>
      <c r="J49" s="230"/>
      <c r="K49" s="230"/>
      <c r="L49" s="230"/>
      <c r="M49" s="171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688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689"/>
      <c r="AL49" s="689"/>
      <c r="AM49" s="688"/>
      <c r="AN49" s="689"/>
      <c r="AO49" s="689"/>
      <c r="AP49" s="689"/>
      <c r="AQ49" s="689"/>
      <c r="AR49" s="689"/>
      <c r="AS49" s="689"/>
      <c r="AT49" s="689"/>
      <c r="AU49" s="689"/>
      <c r="AV49" s="689"/>
      <c r="AW49" s="689"/>
      <c r="AX49" s="689"/>
      <c r="AY49" s="907"/>
      <c r="AZ49" s="907"/>
    </row>
    <row r="50" spans="2:54" s="13" customFormat="1">
      <c r="B50" s="13" t="s">
        <v>770</v>
      </c>
      <c r="C50" s="28"/>
      <c r="D50" s="366"/>
      <c r="E50" s="370"/>
      <c r="F50" s="370"/>
      <c r="G50" s="230"/>
      <c r="H50" s="230"/>
      <c r="I50" s="230"/>
      <c r="J50" s="230"/>
      <c r="K50" s="230"/>
      <c r="L50" s="230"/>
      <c r="M50" s="171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8"/>
      <c r="AA50" s="689"/>
      <c r="AB50" s="689"/>
      <c r="AC50" s="689"/>
      <c r="AD50" s="689"/>
      <c r="AE50" s="689"/>
      <c r="AF50" s="689"/>
      <c r="AG50" s="689"/>
      <c r="AH50" s="689"/>
      <c r="AI50" s="689"/>
      <c r="AJ50" s="689"/>
      <c r="AK50" s="689"/>
      <c r="AL50" s="689"/>
      <c r="AM50" s="688"/>
      <c r="AN50" s="689"/>
      <c r="AO50" s="689"/>
      <c r="AP50" s="689"/>
      <c r="AQ50" s="689"/>
      <c r="AR50" s="689"/>
      <c r="AS50" s="689"/>
      <c r="AT50" s="689"/>
      <c r="AU50" s="689"/>
      <c r="AV50" s="689"/>
      <c r="AW50" s="689"/>
      <c r="AX50" s="689"/>
      <c r="AY50" s="907"/>
      <c r="AZ50" s="907"/>
    </row>
    <row r="51" spans="2:54" s="13" customFormat="1">
      <c r="B51" s="257" t="s">
        <v>356</v>
      </c>
      <c r="C51" s="28"/>
      <c r="D51" s="366"/>
      <c r="E51" s="370"/>
      <c r="F51" s="370"/>
      <c r="G51" s="334"/>
      <c r="H51" s="334"/>
      <c r="I51" s="334"/>
      <c r="J51" s="334"/>
      <c r="K51" s="334"/>
      <c r="L51" s="334"/>
      <c r="M51" s="171"/>
      <c r="N51" s="576">
        <v>0.15352533407410313</v>
      </c>
      <c r="O51" s="576">
        <v>0.15260874489134221</v>
      </c>
      <c r="P51" s="576">
        <v>0.15129924416666668</v>
      </c>
      <c r="Q51" s="576">
        <v>0.14979347347769228</v>
      </c>
      <c r="R51" s="576">
        <v>0.15031734747584424</v>
      </c>
      <c r="S51" s="576">
        <v>0.14920423083333334</v>
      </c>
      <c r="T51" s="576">
        <v>0.14861502847769231</v>
      </c>
      <c r="U51" s="576">
        <v>0.14828777656752046</v>
      </c>
      <c r="V51" s="576">
        <v>0</v>
      </c>
      <c r="W51" s="576">
        <v>0</v>
      </c>
      <c r="X51" s="576">
        <v>0</v>
      </c>
      <c r="Y51" s="576">
        <v>0</v>
      </c>
      <c r="Z51" s="679">
        <f t="shared" ref="Z51:Z58" si="18">SUM(N51:Y51)</f>
        <v>1.2036511799641945</v>
      </c>
      <c r="AA51" s="576">
        <v>0</v>
      </c>
      <c r="AB51" s="576">
        <v>0</v>
      </c>
      <c r="AC51" s="576">
        <v>0</v>
      </c>
      <c r="AD51" s="576">
        <v>0</v>
      </c>
      <c r="AE51" s="576">
        <v>0</v>
      </c>
      <c r="AF51" s="576">
        <v>0</v>
      </c>
      <c r="AG51" s="576">
        <v>0</v>
      </c>
      <c r="AH51" s="576">
        <v>0</v>
      </c>
      <c r="AI51" s="576">
        <v>0</v>
      </c>
      <c r="AJ51" s="576">
        <v>0</v>
      </c>
      <c r="AK51" s="576">
        <v>0</v>
      </c>
      <c r="AL51" s="576">
        <v>0</v>
      </c>
      <c r="AM51" s="679">
        <f t="shared" ref="AM51:AM58" si="19">SUM(AA51:AL51)</f>
        <v>0</v>
      </c>
      <c r="AN51" s="576">
        <v>0</v>
      </c>
      <c r="AO51" s="576">
        <v>0</v>
      </c>
      <c r="AP51" s="540">
        <v>0</v>
      </c>
      <c r="AQ51" s="540">
        <v>0</v>
      </c>
      <c r="AR51" s="540">
        <v>1.5513749699999999</v>
      </c>
      <c r="AS51" s="540">
        <v>1.6424316800000001</v>
      </c>
      <c r="AT51" s="540">
        <v>1.63998497</v>
      </c>
      <c r="AU51" s="540">
        <v>1.68798669</v>
      </c>
      <c r="AV51" s="540">
        <v>1.6776200999999999</v>
      </c>
      <c r="AW51" s="540">
        <v>1.9697617000000001</v>
      </c>
      <c r="AX51" s="540">
        <v>1.7157350699999998</v>
      </c>
      <c r="AY51" s="685"/>
      <c r="AZ51" s="685"/>
    </row>
    <row r="52" spans="2:54" s="13" customFormat="1">
      <c r="B52" s="257" t="s">
        <v>769</v>
      </c>
      <c r="C52" s="28"/>
      <c r="D52" s="366"/>
      <c r="E52" s="370"/>
      <c r="F52" s="370"/>
      <c r="G52" s="334"/>
      <c r="H52" s="334"/>
      <c r="I52" s="334"/>
      <c r="J52" s="334"/>
      <c r="K52" s="334"/>
      <c r="L52" s="334"/>
      <c r="M52" s="171"/>
      <c r="N52" s="576">
        <v>0.12003981708174241</v>
      </c>
      <c r="O52" s="576">
        <v>0.11908837321027883</v>
      </c>
      <c r="P52" s="576">
        <v>0.11938674047508023</v>
      </c>
      <c r="Q52" s="576">
        <v>0.10283770337967385</v>
      </c>
      <c r="R52" s="576">
        <v>0.11282930445989918</v>
      </c>
      <c r="S52" s="576">
        <v>0.11438960173293922</v>
      </c>
      <c r="T52" s="576">
        <v>0.11415822183942333</v>
      </c>
      <c r="U52" s="576">
        <v>0.11272405258882182</v>
      </c>
      <c r="V52" s="576">
        <v>0.1149397748930219</v>
      </c>
      <c r="W52" s="576">
        <v>0.11804587255780502</v>
      </c>
      <c r="X52" s="576">
        <v>0.11808531126564001</v>
      </c>
      <c r="Y52" s="576">
        <v>0.11663837360459071</v>
      </c>
      <c r="Z52" s="679">
        <f t="shared" si="18"/>
        <v>1.3831631470889165</v>
      </c>
      <c r="AA52" s="576">
        <v>0.11573669964049772</v>
      </c>
      <c r="AB52" s="576">
        <v>0.11536495135238009</v>
      </c>
      <c r="AC52" s="576">
        <v>0.11631158055241232</v>
      </c>
      <c r="AD52" s="576">
        <v>0.11481752971536366</v>
      </c>
      <c r="AE52" s="576">
        <v>0.10830679912376631</v>
      </c>
      <c r="AF52" s="576">
        <v>0.11025758340860246</v>
      </c>
      <c r="AG52" s="576">
        <v>0.11037550746607518</v>
      </c>
      <c r="AH52" s="576">
        <v>0.10921873215194239</v>
      </c>
      <c r="AI52" s="576">
        <v>0.11141724776279899</v>
      </c>
      <c r="AJ52" s="576">
        <v>0.11461026144455561</v>
      </c>
      <c r="AK52" s="576">
        <v>0.1145167502525835</v>
      </c>
      <c r="AL52" s="576">
        <v>0.11298015780636077</v>
      </c>
      <c r="AM52" s="679">
        <f t="shared" si="19"/>
        <v>1.353913800677339</v>
      </c>
      <c r="AN52" s="576">
        <v>1.3243713894573916</v>
      </c>
      <c r="AO52" s="576">
        <v>1.3539278580329706</v>
      </c>
      <c r="AP52" s="696">
        <f>AO52*1.03</f>
        <v>1.3945456937739598</v>
      </c>
      <c r="AQ52" s="696">
        <f t="shared" ref="AQ52:AX52" si="20">AP52*1.03</f>
        <v>1.4363820645871785</v>
      </c>
      <c r="AR52" s="696">
        <f t="shared" si="20"/>
        <v>1.479473526524794</v>
      </c>
      <c r="AS52" s="696">
        <f t="shared" si="20"/>
        <v>1.5238577323205378</v>
      </c>
      <c r="AT52" s="696">
        <f t="shared" si="20"/>
        <v>1.569573464290154</v>
      </c>
      <c r="AU52" s="696">
        <f t="shared" si="20"/>
        <v>1.6166606682188587</v>
      </c>
      <c r="AV52" s="696">
        <f t="shared" si="20"/>
        <v>1.6651604882654245</v>
      </c>
      <c r="AW52" s="696">
        <f t="shared" si="20"/>
        <v>1.7151153029133872</v>
      </c>
      <c r="AX52" s="696">
        <f t="shared" si="20"/>
        <v>1.7665687620007888</v>
      </c>
      <c r="AY52" s="682"/>
      <c r="AZ52" s="682"/>
    </row>
    <row r="53" spans="2:54" s="13" customFormat="1">
      <c r="B53" s="257" t="s">
        <v>763</v>
      </c>
      <c r="C53" s="28"/>
      <c r="D53" s="366"/>
      <c r="E53" s="370"/>
      <c r="F53" s="370"/>
      <c r="G53" s="334"/>
      <c r="H53" s="334"/>
      <c r="I53" s="334"/>
      <c r="J53" s="334"/>
      <c r="K53" s="334"/>
      <c r="L53" s="334"/>
      <c r="M53" s="171"/>
      <c r="N53" s="576">
        <v>1.2831601888888889E-2</v>
      </c>
      <c r="O53" s="576">
        <v>1.2927546541362816E-2</v>
      </c>
      <c r="P53" s="576">
        <v>1.2886034548928685E-2</v>
      </c>
      <c r="Q53" s="576">
        <v>1.2783632070536781E-2</v>
      </c>
      <c r="R53" s="576">
        <v>1.2911591557781038E-2</v>
      </c>
      <c r="S53" s="576">
        <v>1.3052282715125853E-2</v>
      </c>
      <c r="T53" s="576">
        <v>1.3192986341017366E-2</v>
      </c>
      <c r="U53" s="576">
        <v>1.3266580472829921E-2</v>
      </c>
      <c r="V53" s="576">
        <v>1.3272970563440409E-2</v>
      </c>
      <c r="W53" s="576">
        <v>1.338490649290363E-2</v>
      </c>
      <c r="X53" s="576">
        <v>1.3688715997920702E-2</v>
      </c>
      <c r="Y53" s="576">
        <v>1.4341178131764406E-2</v>
      </c>
      <c r="Z53" s="679">
        <f t="shared" si="18"/>
        <v>0.1585400273225005</v>
      </c>
      <c r="AA53" s="576">
        <v>1.4670620812044224E-2</v>
      </c>
      <c r="AB53" s="576">
        <v>1.4632250173763038E-2</v>
      </c>
      <c r="AC53" s="576">
        <v>1.445640467130372E-2</v>
      </c>
      <c r="AD53" s="576">
        <v>1.412048869245966E-2</v>
      </c>
      <c r="AE53" s="576">
        <v>1.4152473192554173E-2</v>
      </c>
      <c r="AF53" s="576">
        <v>1.4222867062651925E-2</v>
      </c>
      <c r="AG53" s="576">
        <v>1.4347570216653451E-2</v>
      </c>
      <c r="AH53" s="576">
        <v>1.4408364270681406E-2</v>
      </c>
      <c r="AI53" s="576">
        <v>1.4417970472829921E-2</v>
      </c>
      <c r="AJ53" s="576">
        <v>1.4536396618251117E-2</v>
      </c>
      <c r="AK53" s="576">
        <v>1.476974876494652E-2</v>
      </c>
      <c r="AL53" s="576">
        <v>1.5348635714530658E-2</v>
      </c>
      <c r="AM53" s="679">
        <f t="shared" si="19"/>
        <v>0.17408379066266982</v>
      </c>
      <c r="AN53" s="576">
        <v>0.18212120101295928</v>
      </c>
      <c r="AO53" s="576">
        <v>0.18921829933451736</v>
      </c>
      <c r="AP53" s="696">
        <f t="shared" ref="AP53:AX58" si="21">AO53*1.03</f>
        <v>0.19489484831455289</v>
      </c>
      <c r="AQ53" s="696">
        <f t="shared" si="21"/>
        <v>0.20074169376398948</v>
      </c>
      <c r="AR53" s="696">
        <f t="shared" si="21"/>
        <v>0.20676394457690916</v>
      </c>
      <c r="AS53" s="696">
        <f t="shared" si="21"/>
        <v>0.21296686291421643</v>
      </c>
      <c r="AT53" s="696">
        <f t="shared" si="21"/>
        <v>0.21935586880164293</v>
      </c>
      <c r="AU53" s="696">
        <f t="shared" si="21"/>
        <v>0.22593654486569223</v>
      </c>
      <c r="AV53" s="696">
        <f t="shared" si="21"/>
        <v>0.23271464121166299</v>
      </c>
      <c r="AW53" s="696">
        <f t="shared" si="21"/>
        <v>0.23969608044801288</v>
      </c>
      <c r="AX53" s="696">
        <f t="shared" si="21"/>
        <v>0.24688696286145329</v>
      </c>
      <c r="AY53" s="682"/>
      <c r="AZ53" s="682"/>
    </row>
    <row r="54" spans="2:54" s="13" customFormat="1">
      <c r="B54" s="257" t="s">
        <v>764</v>
      </c>
      <c r="C54" s="28"/>
      <c r="D54" s="366"/>
      <c r="E54" s="370"/>
      <c r="F54" s="370"/>
      <c r="G54" s="334"/>
      <c r="H54" s="334"/>
      <c r="I54" s="334"/>
      <c r="J54" s="334"/>
      <c r="K54" s="334"/>
      <c r="L54" s="334"/>
      <c r="M54" s="171"/>
      <c r="N54" s="576">
        <v>1.2831601888888889E-2</v>
      </c>
      <c r="O54" s="576">
        <v>1.2927546541362816E-2</v>
      </c>
      <c r="P54" s="576">
        <v>1.2886034548928685E-2</v>
      </c>
      <c r="Q54" s="576">
        <v>1.2783632070536781E-2</v>
      </c>
      <c r="R54" s="576">
        <v>1.2911591557781038E-2</v>
      </c>
      <c r="S54" s="576">
        <v>1.3052282715125853E-2</v>
      </c>
      <c r="T54" s="576">
        <v>1.3192986341017366E-2</v>
      </c>
      <c r="U54" s="576">
        <v>1.3266580472829921E-2</v>
      </c>
      <c r="V54" s="576">
        <v>1.3272970563440409E-2</v>
      </c>
      <c r="W54" s="576">
        <v>1.338490649290363E-2</v>
      </c>
      <c r="X54" s="576">
        <v>1.3688715997920702E-2</v>
      </c>
      <c r="Y54" s="576">
        <v>1.4341178131764406E-2</v>
      </c>
      <c r="Z54" s="679">
        <f t="shared" si="18"/>
        <v>0.1585400273225005</v>
      </c>
      <c r="AA54" s="576">
        <v>1.4670620812044224E-2</v>
      </c>
      <c r="AB54" s="576">
        <v>1.4632250173763038E-2</v>
      </c>
      <c r="AC54" s="576">
        <v>1.445640467130372E-2</v>
      </c>
      <c r="AD54" s="576">
        <v>1.412048869245966E-2</v>
      </c>
      <c r="AE54" s="576">
        <v>1.4152473192554173E-2</v>
      </c>
      <c r="AF54" s="576">
        <v>1.4222867062651925E-2</v>
      </c>
      <c r="AG54" s="576">
        <v>1.4347570216653451E-2</v>
      </c>
      <c r="AH54" s="576">
        <v>1.4408364270681406E-2</v>
      </c>
      <c r="AI54" s="576">
        <v>1.4417970472829921E-2</v>
      </c>
      <c r="AJ54" s="576">
        <v>1.4536396618251117E-2</v>
      </c>
      <c r="AK54" s="576">
        <v>1.476974876494652E-2</v>
      </c>
      <c r="AL54" s="576">
        <v>1.5348635714530658E-2</v>
      </c>
      <c r="AM54" s="679">
        <f t="shared" si="19"/>
        <v>0.17408379066266982</v>
      </c>
      <c r="AN54" s="576">
        <v>0.18212120101295928</v>
      </c>
      <c r="AO54" s="576">
        <v>0.18921829933451736</v>
      </c>
      <c r="AP54" s="696">
        <f t="shared" si="21"/>
        <v>0.19489484831455289</v>
      </c>
      <c r="AQ54" s="696">
        <f t="shared" si="21"/>
        <v>0.20074169376398948</v>
      </c>
      <c r="AR54" s="696">
        <f t="shared" si="21"/>
        <v>0.20676394457690916</v>
      </c>
      <c r="AS54" s="696">
        <f t="shared" si="21"/>
        <v>0.21296686291421643</v>
      </c>
      <c r="AT54" s="696">
        <f t="shared" si="21"/>
        <v>0.21935586880164293</v>
      </c>
      <c r="AU54" s="696">
        <f t="shared" si="21"/>
        <v>0.22593654486569223</v>
      </c>
      <c r="AV54" s="696">
        <f t="shared" si="21"/>
        <v>0.23271464121166299</v>
      </c>
      <c r="AW54" s="696">
        <f t="shared" si="21"/>
        <v>0.23969608044801288</v>
      </c>
      <c r="AX54" s="696">
        <f t="shared" si="21"/>
        <v>0.24688696286145329</v>
      </c>
      <c r="AY54" s="682"/>
      <c r="AZ54" s="682"/>
    </row>
    <row r="55" spans="2:54" s="13" customFormat="1">
      <c r="B55" s="257" t="s">
        <v>765</v>
      </c>
      <c r="C55" s="28"/>
      <c r="D55" s="366"/>
      <c r="E55" s="370"/>
      <c r="F55" s="370"/>
      <c r="G55" s="334"/>
      <c r="H55" s="334"/>
      <c r="I55" s="334"/>
      <c r="J55" s="334"/>
      <c r="K55" s="334"/>
      <c r="L55" s="334"/>
      <c r="M55" s="171"/>
      <c r="N55" s="576">
        <v>1.2831601888888889E-2</v>
      </c>
      <c r="O55" s="576">
        <v>1.2927546541362816E-2</v>
      </c>
      <c r="P55" s="576">
        <v>1.2886034548928685E-2</v>
      </c>
      <c r="Q55" s="576">
        <v>1.2783632070536781E-2</v>
      </c>
      <c r="R55" s="576">
        <v>1.2911591557781038E-2</v>
      </c>
      <c r="S55" s="576">
        <v>1.3052282715125853E-2</v>
      </c>
      <c r="T55" s="576">
        <v>1.3192986341017366E-2</v>
      </c>
      <c r="U55" s="576">
        <v>1.3266580472829921E-2</v>
      </c>
      <c r="V55" s="576">
        <v>1.3272970563440409E-2</v>
      </c>
      <c r="W55" s="576">
        <v>1.338490649290363E-2</v>
      </c>
      <c r="X55" s="576">
        <v>1.3688715997920702E-2</v>
      </c>
      <c r="Y55" s="576">
        <v>1.4341178131764406E-2</v>
      </c>
      <c r="Z55" s="679">
        <f t="shared" si="18"/>
        <v>0.1585400273225005</v>
      </c>
      <c r="AA55" s="576">
        <v>1.4670620812044224E-2</v>
      </c>
      <c r="AB55" s="576">
        <v>1.4632250173763038E-2</v>
      </c>
      <c r="AC55" s="576">
        <v>1.445640467130372E-2</v>
      </c>
      <c r="AD55" s="576">
        <v>1.412048869245966E-2</v>
      </c>
      <c r="AE55" s="576">
        <v>1.4152473192554173E-2</v>
      </c>
      <c r="AF55" s="576">
        <v>1.4222867062651925E-2</v>
      </c>
      <c r="AG55" s="576">
        <v>1.4347570216653451E-2</v>
      </c>
      <c r="AH55" s="576">
        <v>1.4408364270681406E-2</v>
      </c>
      <c r="AI55" s="576">
        <v>1.4417970472829921E-2</v>
      </c>
      <c r="AJ55" s="576">
        <v>1.4536396618251117E-2</v>
      </c>
      <c r="AK55" s="576">
        <v>1.476974876494652E-2</v>
      </c>
      <c r="AL55" s="576">
        <v>1.5348635714530658E-2</v>
      </c>
      <c r="AM55" s="679">
        <f t="shared" si="19"/>
        <v>0.17408379066266982</v>
      </c>
      <c r="AN55" s="576">
        <v>0.18212120101295928</v>
      </c>
      <c r="AO55" s="576">
        <v>0.18921829933451736</v>
      </c>
      <c r="AP55" s="696">
        <f t="shared" si="21"/>
        <v>0.19489484831455289</v>
      </c>
      <c r="AQ55" s="696">
        <f t="shared" si="21"/>
        <v>0.20074169376398948</v>
      </c>
      <c r="AR55" s="696">
        <f t="shared" si="21"/>
        <v>0.20676394457690916</v>
      </c>
      <c r="AS55" s="696">
        <f t="shared" si="21"/>
        <v>0.21296686291421643</v>
      </c>
      <c r="AT55" s="696">
        <f t="shared" si="21"/>
        <v>0.21935586880164293</v>
      </c>
      <c r="AU55" s="696">
        <f t="shared" si="21"/>
        <v>0.22593654486569223</v>
      </c>
      <c r="AV55" s="696">
        <f t="shared" si="21"/>
        <v>0.23271464121166299</v>
      </c>
      <c r="AW55" s="696">
        <f t="shared" si="21"/>
        <v>0.23969608044801288</v>
      </c>
      <c r="AX55" s="696">
        <f t="shared" si="21"/>
        <v>0.24688696286145329</v>
      </c>
      <c r="AY55" s="682"/>
      <c r="AZ55" s="682"/>
    </row>
    <row r="56" spans="2:54" s="13" customFormat="1">
      <c r="B56" s="257" t="s">
        <v>355</v>
      </c>
      <c r="C56" s="28"/>
      <c r="D56" s="366"/>
      <c r="E56" s="370"/>
      <c r="F56" s="370"/>
      <c r="G56" s="334"/>
      <c r="H56" s="334"/>
      <c r="I56" s="334"/>
      <c r="J56" s="334"/>
      <c r="K56" s="334"/>
      <c r="L56" s="334"/>
      <c r="M56" s="171"/>
      <c r="N56" s="576">
        <v>0</v>
      </c>
      <c r="O56" s="576">
        <v>0</v>
      </c>
      <c r="P56" s="576">
        <v>0</v>
      </c>
      <c r="Q56" s="576">
        <v>0</v>
      </c>
      <c r="R56" s="576">
        <v>0</v>
      </c>
      <c r="S56" s="576">
        <v>0</v>
      </c>
      <c r="T56" s="576">
        <v>0.14727660000000001</v>
      </c>
      <c r="U56" s="576">
        <v>0</v>
      </c>
      <c r="V56" s="576">
        <v>0</v>
      </c>
      <c r="W56" s="576">
        <v>0</v>
      </c>
      <c r="X56" s="576">
        <v>0</v>
      </c>
      <c r="Y56" s="576">
        <v>0</v>
      </c>
      <c r="Z56" s="679">
        <f t="shared" si="18"/>
        <v>0.14727660000000001</v>
      </c>
      <c r="AA56" s="576">
        <v>0</v>
      </c>
      <c r="AB56" s="576">
        <v>0</v>
      </c>
      <c r="AC56" s="576">
        <v>0</v>
      </c>
      <c r="AD56" s="576">
        <v>0</v>
      </c>
      <c r="AE56" s="576">
        <v>0</v>
      </c>
      <c r="AF56" s="576">
        <v>0</v>
      </c>
      <c r="AG56" s="576">
        <v>0</v>
      </c>
      <c r="AH56" s="576">
        <v>0</v>
      </c>
      <c r="AI56" s="576">
        <v>0</v>
      </c>
      <c r="AJ56" s="576">
        <v>0</v>
      </c>
      <c r="AK56" s="576">
        <v>0</v>
      </c>
      <c r="AL56" s="576">
        <v>0</v>
      </c>
      <c r="AM56" s="679">
        <f t="shared" si="19"/>
        <v>0</v>
      </c>
      <c r="AN56" s="576">
        <v>0</v>
      </c>
      <c r="AO56" s="576">
        <v>0</v>
      </c>
      <c r="AP56" s="696">
        <f t="shared" si="21"/>
        <v>0</v>
      </c>
      <c r="AQ56" s="696">
        <f t="shared" si="21"/>
        <v>0</v>
      </c>
      <c r="AR56" s="696">
        <f t="shared" si="21"/>
        <v>0</v>
      </c>
      <c r="AS56" s="696">
        <f t="shared" si="21"/>
        <v>0</v>
      </c>
      <c r="AT56" s="696">
        <f t="shared" si="21"/>
        <v>0</v>
      </c>
      <c r="AU56" s="696">
        <f t="shared" si="21"/>
        <v>0</v>
      </c>
      <c r="AV56" s="696">
        <f t="shared" si="21"/>
        <v>0</v>
      </c>
      <c r="AW56" s="696">
        <f t="shared" si="21"/>
        <v>0</v>
      </c>
      <c r="AX56" s="696">
        <f t="shared" si="21"/>
        <v>0</v>
      </c>
      <c r="AY56" s="682"/>
      <c r="AZ56" s="682"/>
    </row>
    <row r="57" spans="2:54" s="13" customFormat="1">
      <c r="B57" s="257" t="s">
        <v>766</v>
      </c>
      <c r="C57" s="28"/>
      <c r="D57" s="366"/>
      <c r="E57" s="370"/>
      <c r="F57" s="370"/>
      <c r="G57" s="334"/>
      <c r="H57" s="334"/>
      <c r="I57" s="334"/>
      <c r="J57" s="334"/>
      <c r="K57" s="334"/>
      <c r="L57" s="334"/>
      <c r="M57" s="171"/>
      <c r="N57" s="576">
        <v>8.2060357400390069E-2</v>
      </c>
      <c r="O57" s="576">
        <v>8.1570367422211548E-2</v>
      </c>
      <c r="P57" s="576">
        <v>8.0870546821957795E-2</v>
      </c>
      <c r="Q57" s="576">
        <v>8.0065634380885153E-2</v>
      </c>
      <c r="R57" s="576">
        <v>8.0345655263207361E-2</v>
      </c>
      <c r="S57" s="576">
        <v>7.9750812324291043E-2</v>
      </c>
      <c r="T57" s="576">
        <v>7.943581640011145E-2</v>
      </c>
      <c r="U57" s="576">
        <v>7.9260846892680745E-2</v>
      </c>
      <c r="V57" s="576">
        <v>7.912079455137444E-2</v>
      </c>
      <c r="W57" s="576">
        <v>7.9085822431836955E-2</v>
      </c>
      <c r="X57" s="576">
        <v>7.9050819684939669E-2</v>
      </c>
      <c r="Y57" s="576">
        <v>7.905092141891934E-2</v>
      </c>
      <c r="Z57" s="679">
        <f t="shared" si="18"/>
        <v>0.95966839499280554</v>
      </c>
      <c r="AA57" s="576">
        <v>7.9015887499999993E-2</v>
      </c>
      <c r="AB57" s="576">
        <v>7.8840857373500328E-2</v>
      </c>
      <c r="AC57" s="576">
        <v>7.8350921373773003E-2</v>
      </c>
      <c r="AD57" s="576">
        <v>7.7686124999999995E-2</v>
      </c>
      <c r="AE57" s="576">
        <v>7.7126152592700864E-2</v>
      </c>
      <c r="AF57" s="576">
        <v>7.677627492927705E-2</v>
      </c>
      <c r="AG57" s="576">
        <v>7.6741342936857734E-2</v>
      </c>
      <c r="AH57" s="576">
        <v>7.670624421933811E-2</v>
      </c>
      <c r="AI57" s="576">
        <v>7.667124996463856E-2</v>
      </c>
      <c r="AJ57" s="576">
        <v>7.6636269622758754E-2</v>
      </c>
      <c r="AK57" s="576">
        <v>7.6636243675353669E-2</v>
      </c>
      <c r="AL57" s="576">
        <v>7.660131679994428E-2</v>
      </c>
      <c r="AM57" s="679">
        <f t="shared" si="19"/>
        <v>0.92778888598814246</v>
      </c>
      <c r="AN57" s="576">
        <v>0.91039718210834986</v>
      </c>
      <c r="AO57" s="576">
        <v>0.93020335584941005</v>
      </c>
      <c r="AP57" s="696">
        <f t="shared" si="21"/>
        <v>0.95810945652489243</v>
      </c>
      <c r="AQ57" s="696">
        <f t="shared" si="21"/>
        <v>0.98685274022063918</v>
      </c>
      <c r="AR57" s="696">
        <f t="shared" si="21"/>
        <v>1.0164583224272583</v>
      </c>
      <c r="AS57" s="696">
        <f t="shared" si="21"/>
        <v>1.046952072100076</v>
      </c>
      <c r="AT57" s="696">
        <f t="shared" si="21"/>
        <v>1.0783606342630783</v>
      </c>
      <c r="AU57" s="696">
        <f t="shared" si="21"/>
        <v>1.1107114532909705</v>
      </c>
      <c r="AV57" s="696">
        <f t="shared" si="21"/>
        <v>1.1440327968896997</v>
      </c>
      <c r="AW57" s="696">
        <f t="shared" si="21"/>
        <v>1.1783537807963906</v>
      </c>
      <c r="AX57" s="696">
        <f t="shared" si="21"/>
        <v>1.2137043942202823</v>
      </c>
      <c r="AY57" s="682"/>
      <c r="AZ57" s="682"/>
    </row>
    <row r="58" spans="2:54" s="13" customFormat="1">
      <c r="B58" s="257" t="s">
        <v>767</v>
      </c>
      <c r="C58" s="28"/>
      <c r="D58" s="366"/>
      <c r="E58" s="370"/>
      <c r="F58" s="370"/>
      <c r="G58" s="334"/>
      <c r="H58" s="334"/>
      <c r="I58" s="334"/>
      <c r="J58" s="334"/>
      <c r="K58" s="334"/>
      <c r="L58" s="334"/>
      <c r="M58" s="171"/>
      <c r="N58" s="576">
        <v>8.2060357400390069E-2</v>
      </c>
      <c r="O58" s="576">
        <v>8.1570367422211548E-2</v>
      </c>
      <c r="P58" s="576">
        <v>8.0870546821957795E-2</v>
      </c>
      <c r="Q58" s="576">
        <v>8.0065634380885153E-2</v>
      </c>
      <c r="R58" s="576">
        <v>8.0345655263207361E-2</v>
      </c>
      <c r="S58" s="576">
        <v>7.9750812324291043E-2</v>
      </c>
      <c r="T58" s="576">
        <v>7.943581640011145E-2</v>
      </c>
      <c r="U58" s="576">
        <v>7.9260846892680745E-2</v>
      </c>
      <c r="V58" s="576">
        <v>7.912079455137444E-2</v>
      </c>
      <c r="W58" s="576">
        <v>7.9085822431836955E-2</v>
      </c>
      <c r="X58" s="576">
        <v>7.9050819684939669E-2</v>
      </c>
      <c r="Y58" s="576">
        <v>7.905092141891934E-2</v>
      </c>
      <c r="Z58" s="679">
        <f t="shared" si="18"/>
        <v>0.95966839499280554</v>
      </c>
      <c r="AA58" s="576">
        <v>7.9015887499999993E-2</v>
      </c>
      <c r="AB58" s="576">
        <v>7.8840857373500328E-2</v>
      </c>
      <c r="AC58" s="576">
        <v>7.8350921373773003E-2</v>
      </c>
      <c r="AD58" s="576">
        <v>7.7686124999999995E-2</v>
      </c>
      <c r="AE58" s="576">
        <v>7.7126152592700864E-2</v>
      </c>
      <c r="AF58" s="576">
        <v>7.677627492927705E-2</v>
      </c>
      <c r="AG58" s="576">
        <v>7.6741342936857734E-2</v>
      </c>
      <c r="AH58" s="576">
        <v>7.670624421933811E-2</v>
      </c>
      <c r="AI58" s="576">
        <v>7.667124996463856E-2</v>
      </c>
      <c r="AJ58" s="576">
        <v>7.6636269622758754E-2</v>
      </c>
      <c r="AK58" s="576">
        <v>7.6636243675353669E-2</v>
      </c>
      <c r="AL58" s="576">
        <v>7.660131679994428E-2</v>
      </c>
      <c r="AM58" s="679">
        <f t="shared" si="19"/>
        <v>0.92778888598814246</v>
      </c>
      <c r="AN58" s="576">
        <v>0.91039718210834986</v>
      </c>
      <c r="AO58" s="576">
        <v>0.93020335584941005</v>
      </c>
      <c r="AP58" s="696">
        <f t="shared" si="21"/>
        <v>0.95810945652489243</v>
      </c>
      <c r="AQ58" s="696">
        <f t="shared" si="21"/>
        <v>0.98685274022063918</v>
      </c>
      <c r="AR58" s="696">
        <f t="shared" si="21"/>
        <v>1.0164583224272583</v>
      </c>
      <c r="AS58" s="696">
        <f t="shared" si="21"/>
        <v>1.046952072100076</v>
      </c>
      <c r="AT58" s="696">
        <f t="shared" si="21"/>
        <v>1.0783606342630783</v>
      </c>
      <c r="AU58" s="696">
        <f t="shared" si="21"/>
        <v>1.1107114532909705</v>
      </c>
      <c r="AV58" s="696">
        <f t="shared" si="21"/>
        <v>1.1440327968896997</v>
      </c>
      <c r="AW58" s="696">
        <f t="shared" si="21"/>
        <v>1.1783537807963906</v>
      </c>
      <c r="AX58" s="696">
        <f t="shared" si="21"/>
        <v>1.2137043942202823</v>
      </c>
      <c r="AY58" s="682"/>
      <c r="AZ58" s="682"/>
    </row>
    <row r="59" spans="2:54" s="13" customFormat="1" ht="13.5" thickBot="1">
      <c r="B59" s="108" t="s">
        <v>421</v>
      </c>
      <c r="C59" s="28"/>
      <c r="D59" s="366"/>
      <c r="E59" s="372"/>
      <c r="F59" s="372"/>
      <c r="G59" s="285"/>
      <c r="H59" s="285"/>
      <c r="I59" s="285"/>
      <c r="J59" s="285"/>
      <c r="K59" s="285"/>
      <c r="L59" s="285"/>
      <c r="M59" s="306"/>
      <c r="N59" s="680">
        <f>SUM(N51:N58)</f>
        <v>0.47618067162329236</v>
      </c>
      <c r="O59" s="680">
        <f t="shared" ref="O59:Y59" si="22">SUM(O51:O58)</f>
        <v>0.47362049257013261</v>
      </c>
      <c r="P59" s="680">
        <f t="shared" si="22"/>
        <v>0.47108518193244853</v>
      </c>
      <c r="Q59" s="680">
        <f t="shared" si="22"/>
        <v>0.45111334183074681</v>
      </c>
      <c r="R59" s="680">
        <f t="shared" si="22"/>
        <v>0.46257273713550129</v>
      </c>
      <c r="S59" s="680">
        <f t="shared" si="22"/>
        <v>0.46225230536023226</v>
      </c>
      <c r="T59" s="680">
        <f t="shared" si="22"/>
        <v>0.60850044214039056</v>
      </c>
      <c r="U59" s="680">
        <f t="shared" si="22"/>
        <v>0.45933326436019351</v>
      </c>
      <c r="V59" s="680">
        <f t="shared" si="22"/>
        <v>0.31300027568609201</v>
      </c>
      <c r="W59" s="680">
        <f t="shared" si="22"/>
        <v>0.31637223690018984</v>
      </c>
      <c r="X59" s="680">
        <f t="shared" si="22"/>
        <v>0.31725309862928147</v>
      </c>
      <c r="Y59" s="680">
        <f t="shared" si="22"/>
        <v>0.31776375083772262</v>
      </c>
      <c r="Z59" s="681">
        <f>SUM(N59:Y59)</f>
        <v>5.1290477990062238</v>
      </c>
      <c r="AA59" s="680">
        <f>SUM(AA51:AA58)</f>
        <v>0.31778033707663039</v>
      </c>
      <c r="AB59" s="680">
        <f t="shared" ref="AB59:AK59" si="23">SUM(AB51:AB58)</f>
        <v>0.31694341662066988</v>
      </c>
      <c r="AC59" s="680">
        <f t="shared" si="23"/>
        <v>0.31638263731386951</v>
      </c>
      <c r="AD59" s="680">
        <f t="shared" si="23"/>
        <v>0.31255124579274263</v>
      </c>
      <c r="AE59" s="680">
        <f t="shared" si="23"/>
        <v>0.30501652388683054</v>
      </c>
      <c r="AF59" s="680">
        <f t="shared" si="23"/>
        <v>0.30647873445511231</v>
      </c>
      <c r="AG59" s="680">
        <f t="shared" si="23"/>
        <v>0.30690090398975101</v>
      </c>
      <c r="AH59" s="680">
        <f t="shared" si="23"/>
        <v>0.30585631340266284</v>
      </c>
      <c r="AI59" s="680">
        <f t="shared" si="23"/>
        <v>0.30801365911056588</v>
      </c>
      <c r="AJ59" s="680">
        <f t="shared" si="23"/>
        <v>0.31149199054482651</v>
      </c>
      <c r="AK59" s="680">
        <f t="shared" si="23"/>
        <v>0.31209848389813039</v>
      </c>
      <c r="AL59" s="680">
        <f>SUM(AL51:AL58)</f>
        <v>0.31222869854984131</v>
      </c>
      <c r="AM59" s="681">
        <f>SUM(AA59:AL59)</f>
        <v>3.731742944641633</v>
      </c>
      <c r="AN59" s="680">
        <f t="shared" ref="AN59:AX59" si="24">SUM(AN51:AN58)</f>
        <v>3.6915293567129694</v>
      </c>
      <c r="AO59" s="680">
        <f t="shared" si="24"/>
        <v>3.7819894677353423</v>
      </c>
      <c r="AP59" s="680">
        <f t="shared" si="24"/>
        <v>3.8954491517674037</v>
      </c>
      <c r="AQ59" s="680">
        <f t="shared" si="24"/>
        <v>4.0123126263204254</v>
      </c>
      <c r="AR59" s="680">
        <f t="shared" si="24"/>
        <v>5.684056975110038</v>
      </c>
      <c r="AS59" s="680">
        <f t="shared" si="24"/>
        <v>5.899094145263339</v>
      </c>
      <c r="AT59" s="680">
        <f t="shared" si="24"/>
        <v>6.0243473092212394</v>
      </c>
      <c r="AU59" s="680">
        <f t="shared" si="24"/>
        <v>6.2038798993978759</v>
      </c>
      <c r="AV59" s="680">
        <f t="shared" si="24"/>
        <v>6.3289901056798126</v>
      </c>
      <c r="AW59" s="680">
        <f t="shared" si="24"/>
        <v>6.7606728058502075</v>
      </c>
      <c r="AX59" s="680">
        <f t="shared" si="24"/>
        <v>6.6503735090257123</v>
      </c>
      <c r="AY59" s="682"/>
      <c r="AZ59" s="682"/>
    </row>
    <row r="60" spans="2:54" s="13" customFormat="1" ht="13.5" thickTop="1">
      <c r="C60" s="28"/>
      <c r="D60" s="366"/>
      <c r="E60" s="374"/>
      <c r="F60" s="374"/>
      <c r="G60" s="14"/>
      <c r="H60" s="14"/>
      <c r="I60" s="14"/>
      <c r="J60" s="14"/>
      <c r="K60" s="14"/>
      <c r="L60" s="14"/>
      <c r="M60" s="171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8"/>
      <c r="AA60" s="689"/>
      <c r="AB60" s="689"/>
      <c r="AC60" s="689"/>
      <c r="AD60" s="689"/>
      <c r="AE60" s="689"/>
      <c r="AF60" s="689"/>
      <c r="AG60" s="689"/>
      <c r="AH60" s="689"/>
      <c r="AI60" s="689"/>
      <c r="AJ60" s="689"/>
      <c r="AK60" s="689"/>
      <c r="AL60" s="689"/>
      <c r="AM60" s="688"/>
      <c r="AN60" s="689"/>
      <c r="AO60" s="689"/>
      <c r="AP60" s="689"/>
      <c r="AQ60" s="689"/>
      <c r="AR60" s="689"/>
      <c r="AS60" s="689"/>
      <c r="AT60" s="689"/>
      <c r="AU60" s="689"/>
      <c r="AV60" s="689"/>
      <c r="AW60" s="689"/>
      <c r="AX60" s="689"/>
      <c r="AY60" s="907"/>
      <c r="AZ60" s="907"/>
    </row>
    <row r="61" spans="2:54" s="13" customFormat="1">
      <c r="B61" s="257" t="s">
        <v>72</v>
      </c>
      <c r="C61" s="28"/>
      <c r="D61" s="366"/>
      <c r="E61" s="374"/>
      <c r="F61" s="374"/>
      <c r="G61" s="14"/>
      <c r="H61" s="14"/>
      <c r="I61" s="14"/>
      <c r="J61" s="14"/>
      <c r="K61" s="14"/>
      <c r="L61" s="14"/>
      <c r="M61" s="171"/>
      <c r="N61" s="576">
        <v>0.26876499999999998</v>
      </c>
      <c r="O61" s="576">
        <v>0.26876499999999998</v>
      </c>
      <c r="P61" s="576">
        <v>0.26876499999999998</v>
      </c>
      <c r="Q61" s="576">
        <v>0.26876499999999998</v>
      </c>
      <c r="R61" s="576">
        <v>0.26876499999999998</v>
      </c>
      <c r="S61" s="576">
        <v>0.26876499999999998</v>
      </c>
      <c r="T61" s="576">
        <v>0.26876499999999998</v>
      </c>
      <c r="U61" s="576">
        <v>0.26876499999999998</v>
      </c>
      <c r="V61" s="576">
        <v>0.26876499999999998</v>
      </c>
      <c r="W61" s="576">
        <v>0.26876499999999998</v>
      </c>
      <c r="X61" s="576">
        <v>0.26876499999999998</v>
      </c>
      <c r="Y61" s="576">
        <v>0.26876499999999998</v>
      </c>
      <c r="Z61" s="679">
        <f t="shared" ref="Z61:Z66" si="25">SUM(N61:Y61)</f>
        <v>3.2251800000000004</v>
      </c>
      <c r="AA61" s="576">
        <v>0.27682800000000002</v>
      </c>
      <c r="AB61" s="576">
        <v>0.27682800000000002</v>
      </c>
      <c r="AC61" s="576">
        <v>0.27682800000000002</v>
      </c>
      <c r="AD61" s="576">
        <v>0.27682800000000002</v>
      </c>
      <c r="AE61" s="576">
        <v>0.27682800000000002</v>
      </c>
      <c r="AF61" s="576">
        <v>0.27682800000000002</v>
      </c>
      <c r="AG61" s="576">
        <v>0.27682800000000002</v>
      </c>
      <c r="AH61" s="576">
        <v>0.27682800000000002</v>
      </c>
      <c r="AI61" s="576">
        <v>0.27682800000000002</v>
      </c>
      <c r="AJ61" s="576">
        <v>0.27682800000000002</v>
      </c>
      <c r="AK61" s="576">
        <v>0.27682800000000002</v>
      </c>
      <c r="AL61" s="576">
        <v>0.27682800000000002</v>
      </c>
      <c r="AM61" s="679">
        <f>SUM(AA61:AL61)</f>
        <v>3.3219360000000004</v>
      </c>
      <c r="AN61" s="576">
        <v>12.422228399999998</v>
      </c>
      <c r="AO61" s="576">
        <v>12.422228399999998</v>
      </c>
      <c r="AP61" s="540">
        <v>12.4222284</v>
      </c>
      <c r="AQ61" s="540">
        <v>13.04333982</v>
      </c>
      <c r="AR61" s="540">
        <v>13.04333982</v>
      </c>
      <c r="AS61" s="540">
        <v>13.04333982</v>
      </c>
      <c r="AT61" s="540">
        <v>13.695506811000001</v>
      </c>
      <c r="AU61" s="540">
        <v>13.695506811000001</v>
      </c>
      <c r="AV61" s="540">
        <v>13.695506811000001</v>
      </c>
      <c r="AW61" s="540">
        <v>14.38028215155</v>
      </c>
      <c r="AX61" s="540">
        <v>14.38028215155</v>
      </c>
      <c r="AY61" s="685"/>
      <c r="AZ61" s="685"/>
    </row>
    <row r="62" spans="2:54" s="13" customFormat="1">
      <c r="B62" s="257" t="s">
        <v>73</v>
      </c>
      <c r="C62" s="28"/>
      <c r="D62" s="366"/>
      <c r="E62" s="374"/>
      <c r="F62" s="374"/>
      <c r="G62" s="14"/>
      <c r="H62" s="14"/>
      <c r="I62" s="14"/>
      <c r="J62" s="14"/>
      <c r="K62" s="14"/>
      <c r="L62" s="14"/>
      <c r="M62" s="171"/>
      <c r="N62" s="692">
        <v>0.61187021120000018</v>
      </c>
      <c r="O62" s="692">
        <v>0.55285760950000007</v>
      </c>
      <c r="P62" s="692">
        <v>0.61112988470000007</v>
      </c>
      <c r="Q62" s="692">
        <v>0.59287946550000004</v>
      </c>
      <c r="R62" s="692">
        <v>0.6056143195999999</v>
      </c>
      <c r="S62" s="692">
        <v>0.13521404570000001</v>
      </c>
      <c r="T62" s="692">
        <v>0.14038783999999999</v>
      </c>
      <c r="U62" s="692">
        <v>0.13845750720000002</v>
      </c>
      <c r="V62" s="692">
        <v>0.13519830160000001</v>
      </c>
      <c r="W62" s="692">
        <v>0.61113855280000007</v>
      </c>
      <c r="X62" s="692">
        <v>0.59093480379999996</v>
      </c>
      <c r="Y62" s="692">
        <v>0.61543598450000014</v>
      </c>
      <c r="Z62" s="693">
        <f t="shared" si="25"/>
        <v>5.3411185261000007</v>
      </c>
      <c r="AA62" s="692">
        <v>0.61187021120000018</v>
      </c>
      <c r="AB62" s="692">
        <v>0.55285760950000007</v>
      </c>
      <c r="AC62" s="692">
        <v>0.61112988470000007</v>
      </c>
      <c r="AD62" s="692">
        <v>0.59287946550000004</v>
      </c>
      <c r="AE62" s="692">
        <v>0.6056143195999999</v>
      </c>
      <c r="AF62" s="692">
        <v>0.13521404570000001</v>
      </c>
      <c r="AG62" s="692">
        <v>0.14038783999999999</v>
      </c>
      <c r="AH62" s="692">
        <v>0.13845750720000002</v>
      </c>
      <c r="AI62" s="692">
        <v>0.13519830160000001</v>
      </c>
      <c r="AJ62" s="692">
        <v>0.61113855280000007</v>
      </c>
      <c r="AK62" s="692">
        <v>0.59093480379999996</v>
      </c>
      <c r="AL62" s="692">
        <v>0.61543598450000014</v>
      </c>
      <c r="AM62" s="693">
        <f>SUM(AA62:AL62)</f>
        <v>5.3411185261000007</v>
      </c>
      <c r="AN62" s="692">
        <v>0</v>
      </c>
      <c r="AO62" s="692">
        <v>0</v>
      </c>
      <c r="AP62" s="702">
        <v>0</v>
      </c>
      <c r="AQ62" s="702">
        <v>0</v>
      </c>
      <c r="AR62" s="702">
        <v>0</v>
      </c>
      <c r="AS62" s="702">
        <v>0</v>
      </c>
      <c r="AT62" s="702">
        <v>0</v>
      </c>
      <c r="AU62" s="702">
        <v>0</v>
      </c>
      <c r="AV62" s="702">
        <v>0</v>
      </c>
      <c r="AW62" s="702">
        <v>0</v>
      </c>
      <c r="AX62" s="702">
        <v>0</v>
      </c>
      <c r="AY62" s="685"/>
      <c r="AZ62" s="685"/>
    </row>
    <row r="63" spans="2:54" s="13" customFormat="1">
      <c r="B63" s="13" t="s">
        <v>382</v>
      </c>
      <c r="C63" s="28"/>
      <c r="D63" s="366"/>
      <c r="E63" s="370"/>
      <c r="F63" s="370"/>
      <c r="G63" s="331"/>
      <c r="H63" s="331"/>
      <c r="I63" s="331"/>
      <c r="J63" s="331"/>
      <c r="K63" s="331"/>
      <c r="L63" s="331"/>
      <c r="M63" s="171"/>
      <c r="N63" s="696">
        <f t="shared" ref="N63:Y63" si="26">SUM(N61:N62)</f>
        <v>0.88063521120000021</v>
      </c>
      <c r="O63" s="696">
        <f t="shared" si="26"/>
        <v>0.8216226095000001</v>
      </c>
      <c r="P63" s="696">
        <f t="shared" si="26"/>
        <v>0.8798948847000001</v>
      </c>
      <c r="Q63" s="696">
        <f t="shared" si="26"/>
        <v>0.86164446549999996</v>
      </c>
      <c r="R63" s="696">
        <f t="shared" si="26"/>
        <v>0.87437931959999982</v>
      </c>
      <c r="S63" s="696">
        <f t="shared" si="26"/>
        <v>0.40397904569999998</v>
      </c>
      <c r="T63" s="696">
        <f t="shared" si="26"/>
        <v>0.40915283999999996</v>
      </c>
      <c r="U63" s="696">
        <f t="shared" si="26"/>
        <v>0.40722250719999997</v>
      </c>
      <c r="V63" s="696">
        <f t="shared" si="26"/>
        <v>0.40396330159999999</v>
      </c>
      <c r="W63" s="696">
        <f t="shared" si="26"/>
        <v>0.8799035528000001</v>
      </c>
      <c r="X63" s="696">
        <f t="shared" si="26"/>
        <v>0.85969980379999988</v>
      </c>
      <c r="Y63" s="696">
        <f t="shared" si="26"/>
        <v>0.88420098450000006</v>
      </c>
      <c r="Z63" s="679">
        <f t="shared" si="25"/>
        <v>8.5662985261000006</v>
      </c>
      <c r="AA63" s="696">
        <f>SUM(AA61:AA62)</f>
        <v>0.88869821120000014</v>
      </c>
      <c r="AB63" s="696">
        <f t="shared" ref="AB63:AL63" si="27">SUM(AB61:AB62)</f>
        <v>0.82968560950000003</v>
      </c>
      <c r="AC63" s="696">
        <f t="shared" si="27"/>
        <v>0.88795788470000003</v>
      </c>
      <c r="AD63" s="696">
        <f t="shared" si="27"/>
        <v>0.86970746550000011</v>
      </c>
      <c r="AE63" s="696">
        <f t="shared" si="27"/>
        <v>0.88244231959999997</v>
      </c>
      <c r="AF63" s="696">
        <f t="shared" si="27"/>
        <v>0.41204204570000003</v>
      </c>
      <c r="AG63" s="696">
        <f t="shared" si="27"/>
        <v>0.41721584</v>
      </c>
      <c r="AH63" s="696">
        <f t="shared" si="27"/>
        <v>0.41528550720000001</v>
      </c>
      <c r="AI63" s="696">
        <f t="shared" si="27"/>
        <v>0.41202630160000003</v>
      </c>
      <c r="AJ63" s="696">
        <f t="shared" si="27"/>
        <v>0.88796655280000003</v>
      </c>
      <c r="AK63" s="696">
        <f t="shared" si="27"/>
        <v>0.86776280380000004</v>
      </c>
      <c r="AL63" s="696">
        <f t="shared" si="27"/>
        <v>0.89226398450000022</v>
      </c>
      <c r="AM63" s="679">
        <f t="shared" ref="AM63:AM64" si="28">SUM(AA63:AL63)</f>
        <v>8.6630545260999998</v>
      </c>
      <c r="AN63" s="703">
        <f t="shared" ref="AN63:AX63" si="29">SUM(AN61:AN62)</f>
        <v>12.422228399999998</v>
      </c>
      <c r="AO63" s="703">
        <f t="shared" si="29"/>
        <v>12.422228399999998</v>
      </c>
      <c r="AP63" s="703">
        <f t="shared" si="29"/>
        <v>12.4222284</v>
      </c>
      <c r="AQ63" s="703">
        <f t="shared" si="29"/>
        <v>13.04333982</v>
      </c>
      <c r="AR63" s="703">
        <f t="shared" si="29"/>
        <v>13.04333982</v>
      </c>
      <c r="AS63" s="703">
        <f t="shared" si="29"/>
        <v>13.04333982</v>
      </c>
      <c r="AT63" s="703">
        <f t="shared" si="29"/>
        <v>13.695506811000001</v>
      </c>
      <c r="AU63" s="703">
        <f t="shared" si="29"/>
        <v>13.695506811000001</v>
      </c>
      <c r="AV63" s="703">
        <f t="shared" si="29"/>
        <v>13.695506811000001</v>
      </c>
      <c r="AW63" s="703">
        <f t="shared" si="29"/>
        <v>14.38028215155</v>
      </c>
      <c r="AX63" s="703">
        <f t="shared" si="29"/>
        <v>14.38028215155</v>
      </c>
      <c r="AY63" s="911"/>
      <c r="AZ63" s="911"/>
      <c r="BA63" s="14"/>
      <c r="BB63" s="14"/>
    </row>
    <row r="64" spans="2:54" s="13" customFormat="1">
      <c r="B64" s="13" t="s">
        <v>383</v>
      </c>
      <c r="C64" s="28"/>
      <c r="D64" s="366"/>
      <c r="E64" s="370"/>
      <c r="F64" s="370"/>
      <c r="G64" s="331"/>
      <c r="H64" s="331"/>
      <c r="I64" s="331"/>
      <c r="J64" s="331"/>
      <c r="K64" s="331"/>
      <c r="L64" s="331"/>
      <c r="M64" s="171"/>
      <c r="N64" s="576">
        <v>0.62215626539999991</v>
      </c>
      <c r="O64" s="576">
        <v>0.5916125467000003</v>
      </c>
      <c r="P64" s="576">
        <v>0.45243363639999995</v>
      </c>
      <c r="Q64" s="576">
        <v>0.74139876890000012</v>
      </c>
      <c r="R64" s="576">
        <v>1.1763295668000002</v>
      </c>
      <c r="S64" s="576">
        <v>0.77883408830000023</v>
      </c>
      <c r="T64" s="576">
        <v>0.87873033169999948</v>
      </c>
      <c r="U64" s="576">
        <v>0.66235122650000022</v>
      </c>
      <c r="V64" s="576">
        <v>7.9055902199999986E-2</v>
      </c>
      <c r="W64" s="576">
        <v>9.232072400000001E-3</v>
      </c>
      <c r="X64" s="576">
        <v>3.7960289700000024E-2</v>
      </c>
      <c r="Y64" s="576">
        <v>0.14278794460000002</v>
      </c>
      <c r="Z64" s="679">
        <f t="shared" si="25"/>
        <v>6.1728826396000001</v>
      </c>
      <c r="AA64" s="576">
        <v>0.21997349500000005</v>
      </c>
      <c r="AB64" s="576">
        <v>8.6748361100000018E-2</v>
      </c>
      <c r="AC64" s="576">
        <v>0.22969405729999984</v>
      </c>
      <c r="AD64" s="576">
        <v>0.24713617959999995</v>
      </c>
      <c r="AE64" s="576">
        <v>0.29614133809999987</v>
      </c>
      <c r="AF64" s="576">
        <v>0.15432896970000004</v>
      </c>
      <c r="AG64" s="576">
        <v>0.16274008689999994</v>
      </c>
      <c r="AH64" s="576">
        <v>0.2073111713000001</v>
      </c>
      <c r="AI64" s="576">
        <v>7.2268148200000007E-2</v>
      </c>
      <c r="AJ64" s="576">
        <v>8.1094002000000019E-3</v>
      </c>
      <c r="AK64" s="576">
        <v>3.74187978E-2</v>
      </c>
      <c r="AL64" s="576">
        <v>0.2224089942000001</v>
      </c>
      <c r="AM64" s="679">
        <f t="shared" si="28"/>
        <v>1.9442789994</v>
      </c>
      <c r="AN64" s="576">
        <v>2.5058812575999996</v>
      </c>
      <c r="AO64" s="576">
        <v>3.1282986090999998</v>
      </c>
      <c r="AP64" s="540">
        <v>3.7426968239999994</v>
      </c>
      <c r="AQ64" s="540">
        <v>3.6104256716999994</v>
      </c>
      <c r="AR64" s="540">
        <v>0.18195605590000002</v>
      </c>
      <c r="AS64" s="540">
        <v>0.11185580340000001</v>
      </c>
      <c r="AT64" s="540">
        <v>0.1032558918</v>
      </c>
      <c r="AU64" s="540">
        <v>7.6136057999999993E-2</v>
      </c>
      <c r="AV64" s="540">
        <v>9.4355474100000017E-2</v>
      </c>
      <c r="AW64" s="540">
        <v>0.12069862090000001</v>
      </c>
      <c r="AX64" s="540">
        <v>0.17989253219999995</v>
      </c>
      <c r="AY64" s="685"/>
      <c r="AZ64" s="685"/>
      <c r="BA64" s="14"/>
      <c r="BB64" s="14"/>
    </row>
    <row r="65" spans="1:52" s="13" customFormat="1" ht="13.5" thickBot="1">
      <c r="A65" s="12"/>
      <c r="B65" s="13" t="s">
        <v>345</v>
      </c>
      <c r="C65" s="28"/>
      <c r="D65" s="366"/>
      <c r="E65" s="372"/>
      <c r="F65" s="372"/>
      <c r="G65" s="285"/>
      <c r="H65" s="285"/>
      <c r="I65" s="285"/>
      <c r="J65" s="285"/>
      <c r="K65" s="285"/>
      <c r="L65" s="285"/>
      <c r="M65" s="306"/>
      <c r="N65" s="680">
        <f t="shared" ref="N65:Y65" si="30">SUM(N63:N64)</f>
        <v>1.5027914766000001</v>
      </c>
      <c r="O65" s="680">
        <f t="shared" si="30"/>
        <v>1.4132351562000003</v>
      </c>
      <c r="P65" s="680">
        <f t="shared" si="30"/>
        <v>1.3323285211</v>
      </c>
      <c r="Q65" s="680">
        <f t="shared" si="30"/>
        <v>1.6030432344000001</v>
      </c>
      <c r="R65" s="680">
        <f t="shared" si="30"/>
        <v>2.0507088863999998</v>
      </c>
      <c r="S65" s="680">
        <f t="shared" si="30"/>
        <v>1.1828131340000003</v>
      </c>
      <c r="T65" s="680">
        <f t="shared" si="30"/>
        <v>1.2878831716999994</v>
      </c>
      <c r="U65" s="680">
        <f t="shared" si="30"/>
        <v>1.0695737337000002</v>
      </c>
      <c r="V65" s="680">
        <f t="shared" si="30"/>
        <v>0.48301920379999996</v>
      </c>
      <c r="W65" s="680">
        <f t="shared" si="30"/>
        <v>0.88913562520000011</v>
      </c>
      <c r="X65" s="680">
        <f t="shared" si="30"/>
        <v>0.89766009349999987</v>
      </c>
      <c r="Y65" s="680">
        <f t="shared" si="30"/>
        <v>1.0269889291000001</v>
      </c>
      <c r="Z65" s="681">
        <f t="shared" si="25"/>
        <v>14.7391811657</v>
      </c>
      <c r="AA65" s="680">
        <f t="shared" ref="AA65:AL65" si="31">SUM(AA63:AA64)</f>
        <v>1.1086717062000002</v>
      </c>
      <c r="AB65" s="680">
        <f t="shared" si="31"/>
        <v>0.91643397060000009</v>
      </c>
      <c r="AC65" s="680">
        <f t="shared" si="31"/>
        <v>1.117651942</v>
      </c>
      <c r="AD65" s="680">
        <f t="shared" si="31"/>
        <v>1.1168436451000001</v>
      </c>
      <c r="AE65" s="680">
        <f t="shared" si="31"/>
        <v>1.1785836577</v>
      </c>
      <c r="AF65" s="680">
        <f t="shared" si="31"/>
        <v>0.56637101540000012</v>
      </c>
      <c r="AG65" s="680">
        <f t="shared" si="31"/>
        <v>0.57995592689999997</v>
      </c>
      <c r="AH65" s="680">
        <f t="shared" si="31"/>
        <v>0.62259667850000011</v>
      </c>
      <c r="AI65" s="680">
        <f t="shared" si="31"/>
        <v>0.48429444980000003</v>
      </c>
      <c r="AJ65" s="680">
        <f t="shared" si="31"/>
        <v>0.89607595299999998</v>
      </c>
      <c r="AK65" s="680">
        <f t="shared" si="31"/>
        <v>0.90518160160000005</v>
      </c>
      <c r="AL65" s="680">
        <f t="shared" si="31"/>
        <v>1.1146729787000003</v>
      </c>
      <c r="AM65" s="681">
        <f>SUM(AA65:AL65)</f>
        <v>10.607333525500001</v>
      </c>
      <c r="AN65" s="680">
        <f t="shared" ref="AN65:AX65" si="32">SUM(AN63:AN64)</f>
        <v>14.928109657599997</v>
      </c>
      <c r="AO65" s="680">
        <f t="shared" si="32"/>
        <v>15.550527009099998</v>
      </c>
      <c r="AP65" s="680">
        <f t="shared" si="32"/>
        <v>16.164925224000001</v>
      </c>
      <c r="AQ65" s="680">
        <f t="shared" si="32"/>
        <v>16.6537654917</v>
      </c>
      <c r="AR65" s="680">
        <f t="shared" si="32"/>
        <v>13.225295875900001</v>
      </c>
      <c r="AS65" s="680">
        <f t="shared" si="32"/>
        <v>13.155195623399999</v>
      </c>
      <c r="AT65" s="680">
        <f t="shared" si="32"/>
        <v>13.798762702800001</v>
      </c>
      <c r="AU65" s="680">
        <f t="shared" si="32"/>
        <v>13.771642869000001</v>
      </c>
      <c r="AV65" s="680">
        <f t="shared" si="32"/>
        <v>13.789862285100002</v>
      </c>
      <c r="AW65" s="680">
        <f t="shared" si="32"/>
        <v>14.500980772450001</v>
      </c>
      <c r="AX65" s="680">
        <f t="shared" si="32"/>
        <v>14.560174683750001</v>
      </c>
      <c r="AY65" s="682"/>
      <c r="AZ65" s="682"/>
    </row>
    <row r="66" spans="1:52" s="13" customFormat="1" ht="13.5" thickTop="1">
      <c r="A66" s="12"/>
      <c r="B66" s="13" t="s">
        <v>346</v>
      </c>
      <c r="C66" s="28"/>
      <c r="D66" s="366"/>
      <c r="E66" s="370"/>
      <c r="F66" s="370"/>
      <c r="G66" s="337"/>
      <c r="H66" s="337"/>
      <c r="I66" s="337"/>
      <c r="J66" s="337"/>
      <c r="K66" s="337"/>
      <c r="L66" s="337"/>
      <c r="M66" s="171"/>
      <c r="N66" s="576">
        <v>4.2337784999999996E-2</v>
      </c>
      <c r="O66" s="576">
        <v>3.7758135000000005E-2</v>
      </c>
      <c r="P66" s="576">
        <v>4.9842029999999996E-2</v>
      </c>
      <c r="Q66" s="576">
        <v>5.1810839999999997E-2</v>
      </c>
      <c r="R66" s="576">
        <v>5.1375045000000001E-2</v>
      </c>
      <c r="S66" s="576">
        <v>4.3315065E-2</v>
      </c>
      <c r="T66" s="576">
        <v>4.4605485E-2</v>
      </c>
      <c r="U66" s="576">
        <v>4.0118010000000003E-2</v>
      </c>
      <c r="V66" s="576">
        <v>4.9318154999999995E-2</v>
      </c>
      <c r="W66" s="576">
        <v>5.8424984999999999E-2</v>
      </c>
      <c r="X66" s="576">
        <v>5.721147E-2</v>
      </c>
      <c r="Y66" s="576">
        <v>5.2862399999999997E-2</v>
      </c>
      <c r="Z66" s="679">
        <f t="shared" si="25"/>
        <v>0.57897940499999989</v>
      </c>
      <c r="AA66" s="576">
        <v>4.7917784999999997E-2</v>
      </c>
      <c r="AB66" s="576">
        <v>4.2796635E-2</v>
      </c>
      <c r="AC66" s="576">
        <v>5.5422029999999997E-2</v>
      </c>
      <c r="AD66" s="576">
        <v>5.7207839999999996E-2</v>
      </c>
      <c r="AE66" s="576">
        <v>5.5455045000000001E-2</v>
      </c>
      <c r="AF66" s="576">
        <v>4.8713565E-2</v>
      </c>
      <c r="AG66" s="576">
        <v>5.0185485000000002E-2</v>
      </c>
      <c r="AH66" s="576">
        <v>4.5696510000000003E-2</v>
      </c>
      <c r="AI66" s="576">
        <v>5.4718154999999997E-2</v>
      </c>
      <c r="AJ66" s="576">
        <v>6.3986984999999996E-2</v>
      </c>
      <c r="AK66" s="576">
        <v>6.2620469999999998E-2</v>
      </c>
      <c r="AL66" s="576">
        <v>5.7989399999999997E-2</v>
      </c>
      <c r="AM66" s="679">
        <f>SUM(AA66:AL66)</f>
        <v>0.64270990500000003</v>
      </c>
      <c r="AN66" s="576">
        <v>0.66945943499999994</v>
      </c>
      <c r="AO66" s="576">
        <v>0.67100294999999999</v>
      </c>
      <c r="AP66" s="540">
        <v>0.71322104999999991</v>
      </c>
      <c r="AQ66" s="540">
        <v>0.70968254999999991</v>
      </c>
      <c r="AR66" s="540">
        <v>0.70785254999999991</v>
      </c>
      <c r="AS66" s="540">
        <v>0.71141504999999994</v>
      </c>
      <c r="AT66" s="540">
        <v>0.70091354999999989</v>
      </c>
      <c r="AU66" s="540">
        <v>0.69904006499999993</v>
      </c>
      <c r="AV66" s="540">
        <v>0.69354554999999996</v>
      </c>
      <c r="AW66" s="540">
        <v>0.69855406499999995</v>
      </c>
      <c r="AX66" s="540">
        <v>0.68930203499999987</v>
      </c>
      <c r="AY66" s="685"/>
      <c r="AZ66" s="685"/>
    </row>
    <row r="67" spans="1:52" s="13" customFormat="1">
      <c r="C67" s="28"/>
      <c r="D67" s="366"/>
      <c r="E67" s="28"/>
      <c r="F67" s="28"/>
      <c r="M67" s="88"/>
      <c r="N67" s="689"/>
      <c r="O67" s="689"/>
      <c r="P67" s="689"/>
      <c r="Q67" s="689"/>
      <c r="R67" s="689"/>
      <c r="S67" s="689"/>
      <c r="T67" s="689"/>
      <c r="U67" s="689"/>
      <c r="V67" s="689"/>
      <c r="W67" s="689"/>
      <c r="X67" s="689"/>
      <c r="Y67" s="689"/>
      <c r="Z67" s="688"/>
      <c r="AA67" s="689"/>
      <c r="AB67" s="689"/>
      <c r="AC67" s="689"/>
      <c r="AD67" s="689"/>
      <c r="AE67" s="689"/>
      <c r="AF67" s="689"/>
      <c r="AG67" s="689"/>
      <c r="AH67" s="689"/>
      <c r="AI67" s="689"/>
      <c r="AJ67" s="689"/>
      <c r="AK67" s="689"/>
      <c r="AL67" s="689"/>
      <c r="AM67" s="688"/>
      <c r="AN67" s="689"/>
      <c r="AO67" s="689"/>
      <c r="AP67" s="689"/>
      <c r="AQ67" s="689"/>
      <c r="AR67" s="689"/>
      <c r="AS67" s="689"/>
      <c r="AT67" s="689"/>
      <c r="AU67" s="689"/>
      <c r="AV67" s="689"/>
      <c r="AW67" s="689"/>
      <c r="AX67" s="689"/>
      <c r="AY67" s="907"/>
      <c r="AZ67" s="907"/>
    </row>
    <row r="68" spans="1:52" s="13" customFormat="1">
      <c r="C68" s="28"/>
      <c r="D68" s="366"/>
      <c r="E68" s="28"/>
      <c r="F68" s="28"/>
      <c r="M68" s="88"/>
      <c r="N68" s="689"/>
      <c r="O68" s="689"/>
      <c r="P68" s="689"/>
      <c r="Q68" s="689"/>
      <c r="R68" s="689"/>
      <c r="S68" s="689"/>
      <c r="T68" s="689"/>
      <c r="U68" s="689"/>
      <c r="V68" s="689"/>
      <c r="W68" s="689"/>
      <c r="X68" s="689"/>
      <c r="Y68" s="689"/>
      <c r="Z68" s="688"/>
      <c r="AA68" s="689"/>
      <c r="AB68" s="689"/>
      <c r="AC68" s="689"/>
      <c r="AD68" s="689"/>
      <c r="AE68" s="689"/>
      <c r="AF68" s="689"/>
      <c r="AG68" s="689"/>
      <c r="AH68" s="689"/>
      <c r="AI68" s="689"/>
      <c r="AJ68" s="689"/>
      <c r="AK68" s="689"/>
      <c r="AL68" s="689"/>
      <c r="AM68" s="688"/>
      <c r="AN68" s="689"/>
      <c r="AO68" s="689"/>
      <c r="AP68" s="689"/>
      <c r="AQ68" s="689"/>
      <c r="AR68" s="689"/>
      <c r="AS68" s="689"/>
      <c r="AT68" s="689"/>
      <c r="AU68" s="689"/>
      <c r="AV68" s="689"/>
      <c r="AW68" s="689"/>
      <c r="AX68" s="689"/>
      <c r="AY68" s="907"/>
      <c r="AZ68" s="907"/>
    </row>
    <row r="69" spans="1:52" s="13" customFormat="1">
      <c r="B69" s="13" t="s">
        <v>342</v>
      </c>
      <c r="C69" s="28"/>
      <c r="D69" s="366"/>
      <c r="E69" s="375"/>
      <c r="F69" s="375"/>
      <c r="G69" s="155"/>
      <c r="H69" s="155"/>
      <c r="I69" s="155"/>
      <c r="J69" s="155"/>
      <c r="K69" s="155"/>
      <c r="L69" s="155"/>
      <c r="M69" s="190"/>
      <c r="N69" s="696">
        <f>N135</f>
        <v>2.7446446522258707</v>
      </c>
      <c r="O69" s="696">
        <f>O135</f>
        <v>2.4616462142117337</v>
      </c>
      <c r="P69" s="696">
        <f>P135</f>
        <v>2.6465388543293544</v>
      </c>
      <c r="Q69" s="696">
        <f t="shared" ref="Q69:AL69" si="33">Q135</f>
        <v>2.2155165250160196</v>
      </c>
      <c r="R69" s="696">
        <f t="shared" si="33"/>
        <v>2.3757739368442001</v>
      </c>
      <c r="S69" s="696">
        <f t="shared" si="33"/>
        <v>2.5089450370463511</v>
      </c>
      <c r="T69" s="696">
        <f t="shared" si="33"/>
        <v>2.6358376627209381</v>
      </c>
      <c r="U69" s="696">
        <f t="shared" si="33"/>
        <v>2.7841488604986639</v>
      </c>
      <c r="V69" s="696">
        <f t="shared" si="33"/>
        <v>2.0701456896350692</v>
      </c>
      <c r="W69" s="696">
        <f t="shared" si="33"/>
        <v>2.062303413651267</v>
      </c>
      <c r="X69" s="696">
        <f t="shared" si="33"/>
        <v>1.8879307274189181</v>
      </c>
      <c r="Y69" s="696">
        <f t="shared" si="33"/>
        <v>1.9409997916191588</v>
      </c>
      <c r="Z69" s="679">
        <f>Z135</f>
        <v>28.334431365217544</v>
      </c>
      <c r="AA69" s="696">
        <f t="shared" si="33"/>
        <v>2.173414213667562</v>
      </c>
      <c r="AB69" s="696">
        <f t="shared" si="33"/>
        <v>1.9535792847805913</v>
      </c>
      <c r="AC69" s="696">
        <f t="shared" si="33"/>
        <v>1.7983309071956239</v>
      </c>
      <c r="AD69" s="696">
        <f t="shared" si="33"/>
        <v>1.7551249280296966</v>
      </c>
      <c r="AE69" s="696">
        <f t="shared" si="33"/>
        <v>1.8053658559871495</v>
      </c>
      <c r="AF69" s="696">
        <f t="shared" si="33"/>
        <v>2.0146273943685156</v>
      </c>
      <c r="AG69" s="696">
        <f t="shared" si="33"/>
        <v>2.1000673586492251</v>
      </c>
      <c r="AH69" s="696">
        <f t="shared" si="33"/>
        <v>2.2524746160809102</v>
      </c>
      <c r="AI69" s="696">
        <f t="shared" si="33"/>
        <v>2.2392128451321716</v>
      </c>
      <c r="AJ69" s="696">
        <f t="shared" si="33"/>
        <v>2.2394842283870413</v>
      </c>
      <c r="AK69" s="696">
        <f t="shared" si="33"/>
        <v>2.0491971240410312</v>
      </c>
      <c r="AL69" s="696">
        <f t="shared" si="33"/>
        <v>2.0994674558277282</v>
      </c>
      <c r="AM69" s="679">
        <f>AM135</f>
        <v>24.48034621214725</v>
      </c>
      <c r="AN69" s="696">
        <f>AN135</f>
        <v>29.004666205059898</v>
      </c>
      <c r="AO69" s="696">
        <f>AO135</f>
        <v>30.978858762835806</v>
      </c>
      <c r="AP69" s="696">
        <f t="shared" ref="AP69:AX69" si="34">AP135</f>
        <v>32.039988272372277</v>
      </c>
      <c r="AQ69" s="696">
        <f t="shared" si="34"/>
        <v>33.116333749969833</v>
      </c>
      <c r="AR69" s="696">
        <f t="shared" si="34"/>
        <v>45.932116143368937</v>
      </c>
      <c r="AS69" s="696">
        <f t="shared" si="34"/>
        <v>49.95430481440043</v>
      </c>
      <c r="AT69" s="696">
        <f t="shared" si="34"/>
        <v>49.302757365810265</v>
      </c>
      <c r="AU69" s="696">
        <f t="shared" si="34"/>
        <v>52.273539770234748</v>
      </c>
      <c r="AV69" s="696">
        <f t="shared" si="34"/>
        <v>52.318749047536002</v>
      </c>
      <c r="AW69" s="696">
        <f t="shared" si="34"/>
        <v>53.985840755551294</v>
      </c>
      <c r="AX69" s="696">
        <f t="shared" si="34"/>
        <v>54.46188568716066</v>
      </c>
      <c r="AY69" s="682"/>
      <c r="AZ69" s="682"/>
    </row>
    <row r="70" spans="1:52" s="13" customFormat="1">
      <c r="B70" s="13" t="s">
        <v>97</v>
      </c>
      <c r="C70" s="28"/>
      <c r="D70" s="366"/>
      <c r="E70" s="375"/>
      <c r="F70" s="375"/>
      <c r="G70" s="155"/>
      <c r="H70" s="155"/>
      <c r="I70" s="155"/>
      <c r="J70" s="155"/>
      <c r="K70" s="155"/>
      <c r="L70" s="155"/>
      <c r="M70" s="190"/>
      <c r="N70" s="696">
        <f>N116</f>
        <v>7.6820392891954505E-3</v>
      </c>
      <c r="O70" s="696">
        <f t="shared" ref="O70:AX70" si="35">O116</f>
        <v>6.8834353927498962E-3</v>
      </c>
      <c r="P70" s="696">
        <f t="shared" si="35"/>
        <v>7.444097902796579E-3</v>
      </c>
      <c r="Q70" s="696">
        <f t="shared" si="35"/>
        <v>6.1876641044190227E-3</v>
      </c>
      <c r="R70" s="696">
        <f t="shared" si="35"/>
        <v>1.5636355005466906E-2</v>
      </c>
      <c r="S70" s="696">
        <f t="shared" si="35"/>
        <v>7.3290495654324368E-3</v>
      </c>
      <c r="T70" s="696">
        <f t="shared" si="35"/>
        <v>9.6395203964546872E-3</v>
      </c>
      <c r="U70" s="696">
        <f t="shared" si="35"/>
        <v>7.2984946833338053E-3</v>
      </c>
      <c r="V70" s="696">
        <f t="shared" si="35"/>
        <v>3.8842623513196633E-3</v>
      </c>
      <c r="W70" s="696">
        <f t="shared" si="35"/>
        <v>4.1487683647729269E-3</v>
      </c>
      <c r="X70" s="696">
        <f t="shared" si="35"/>
        <v>4.0144049862864701E-3</v>
      </c>
      <c r="Y70" s="696">
        <f t="shared" si="35"/>
        <v>4.1031487434529746E-3</v>
      </c>
      <c r="Z70" s="679">
        <f>SUM(N70:Y70)</f>
        <v>8.4251240785680831E-2</v>
      </c>
      <c r="AA70" s="696">
        <f t="shared" si="35"/>
        <v>2.6015030335303627E-3</v>
      </c>
      <c r="AB70" s="696">
        <f t="shared" si="35"/>
        <v>2.336601525809522E-3</v>
      </c>
      <c r="AC70" s="696">
        <f t="shared" si="35"/>
        <v>2.3261062813364755E-3</v>
      </c>
      <c r="AD70" s="696">
        <f t="shared" si="35"/>
        <v>2.0718721197841411E-3</v>
      </c>
      <c r="AE70" s="696">
        <f t="shared" si="35"/>
        <v>1.9953556517675716E-3</v>
      </c>
      <c r="AF70" s="696">
        <f t="shared" si="35"/>
        <v>2.4050494829547173E-3</v>
      </c>
      <c r="AG70" s="696">
        <f t="shared" si="35"/>
        <v>2.5053019928722594E-3</v>
      </c>
      <c r="AH70" s="696">
        <f t="shared" si="35"/>
        <v>2.4841898861380756E-3</v>
      </c>
      <c r="AI70" s="696">
        <f t="shared" si="35"/>
        <v>2.4086590883452765E-3</v>
      </c>
      <c r="AJ70" s="696">
        <f t="shared" si="35"/>
        <v>2.5788007198638266E-3</v>
      </c>
      <c r="AK70" s="696">
        <f t="shared" si="35"/>
        <v>2.4787001735277598E-3</v>
      </c>
      <c r="AL70" s="696">
        <f t="shared" si="35"/>
        <v>2.524227414776026E-3</v>
      </c>
      <c r="AM70" s="679">
        <f>SUM(AA70:AL70)</f>
        <v>2.8716367370706014E-2</v>
      </c>
      <c r="AN70" s="696">
        <f t="shared" si="35"/>
        <v>2.5942444929963709E-2</v>
      </c>
      <c r="AO70" s="696">
        <f t="shared" si="35"/>
        <v>1.6391140138151811E-2</v>
      </c>
      <c r="AP70" s="696">
        <f t="shared" si="35"/>
        <v>1.7421679269137583E-2</v>
      </c>
      <c r="AQ70" s="696">
        <f t="shared" si="35"/>
        <v>1.1393504688833652E-2</v>
      </c>
      <c r="AR70" s="696">
        <f t="shared" si="35"/>
        <v>1.7660012949687397E-2</v>
      </c>
      <c r="AS70" s="696">
        <f t="shared" si="35"/>
        <v>1.2793415584210779E-2</v>
      </c>
      <c r="AT70" s="696">
        <f t="shared" si="35"/>
        <v>1.0419258390610982E-2</v>
      </c>
      <c r="AU70" s="696">
        <f t="shared" si="35"/>
        <v>6.9990297622981121E-3</v>
      </c>
      <c r="AV70" s="696">
        <f t="shared" si="35"/>
        <v>5.3025977425028691E-3</v>
      </c>
      <c r="AW70" s="696">
        <f t="shared" si="35"/>
        <v>3.1640288338681544E-3</v>
      </c>
      <c r="AX70" s="696">
        <f t="shared" si="35"/>
        <v>2.0177938888464217E-3</v>
      </c>
      <c r="AY70" s="682"/>
      <c r="AZ70" s="682"/>
    </row>
    <row r="71" spans="1:52" s="13" customFormat="1">
      <c r="B71" s="13" t="s">
        <v>515</v>
      </c>
      <c r="C71" s="375"/>
      <c r="D71" s="366"/>
      <c r="E71" s="375"/>
      <c r="F71" s="375"/>
      <c r="G71" s="155"/>
      <c r="H71" s="155"/>
      <c r="I71" s="155"/>
      <c r="J71" s="155"/>
      <c r="K71" s="155"/>
      <c r="L71" s="155"/>
      <c r="M71" s="206"/>
      <c r="N71" s="696"/>
      <c r="O71" s="696"/>
      <c r="P71" s="696"/>
      <c r="Q71" s="696"/>
      <c r="R71" s="696"/>
      <c r="S71" s="696"/>
      <c r="T71" s="696"/>
      <c r="U71" s="696"/>
      <c r="V71" s="696"/>
      <c r="W71" s="696"/>
      <c r="X71" s="696"/>
      <c r="Y71" s="696">
        <f>-SUM(Y111:Y113)</f>
        <v>1.5933849873060991E-2</v>
      </c>
      <c r="Z71" s="679">
        <f>SUM(N71:Y71)</f>
        <v>1.5933849873060991E-2</v>
      </c>
      <c r="AA71" s="696"/>
      <c r="AB71" s="696"/>
      <c r="AC71" s="696"/>
      <c r="AD71" s="696"/>
      <c r="AE71" s="696"/>
      <c r="AF71" s="696"/>
      <c r="AG71" s="696"/>
      <c r="AH71" s="696"/>
      <c r="AI71" s="696"/>
      <c r="AJ71" s="696"/>
      <c r="AK71" s="696"/>
      <c r="AL71" s="696">
        <f>-SUM(AL111:AL113)</f>
        <v>0</v>
      </c>
      <c r="AM71" s="679">
        <f>SUM(AA71:AL71)</f>
        <v>0</v>
      </c>
      <c r="AN71" s="696">
        <f t="shared" ref="AN71:AX71" si="36">-SUM(AN111:AN113)</f>
        <v>2.047403668047415E-2</v>
      </c>
      <c r="AO71" s="696">
        <f t="shared" si="36"/>
        <v>4.718205955498174E-2</v>
      </c>
      <c r="AP71" s="696">
        <f t="shared" si="36"/>
        <v>4.8192302810225525E-2</v>
      </c>
      <c r="AQ71" s="696">
        <f t="shared" si="36"/>
        <v>6.0875637866111311E-2</v>
      </c>
      <c r="AR71" s="696">
        <f t="shared" si="36"/>
        <v>0.1296549251977529</v>
      </c>
      <c r="AS71" s="696">
        <f t="shared" si="36"/>
        <v>0.17159832773970993</v>
      </c>
      <c r="AT71" s="696">
        <f t="shared" si="36"/>
        <v>0.18213643241177291</v>
      </c>
      <c r="AU71" s="696">
        <f t="shared" si="36"/>
        <v>0.18642484140066407</v>
      </c>
      <c r="AV71" s="696">
        <f t="shared" si="36"/>
        <v>0.17734665731041666</v>
      </c>
      <c r="AW71" s="696">
        <f t="shared" si="36"/>
        <v>0.18048234118747095</v>
      </c>
      <c r="AX71" s="696">
        <f t="shared" si="36"/>
        <v>0.18147176247676833</v>
      </c>
      <c r="AY71" s="682"/>
      <c r="AZ71" s="682"/>
    </row>
    <row r="72" spans="1:52" s="13" customFormat="1">
      <c r="B72" s="13" t="s">
        <v>343</v>
      </c>
      <c r="C72" s="375"/>
      <c r="D72" s="366"/>
      <c r="E72" s="375"/>
      <c r="F72" s="375"/>
      <c r="G72" s="155"/>
      <c r="H72" s="155"/>
      <c r="I72" s="155"/>
      <c r="J72" s="155"/>
      <c r="K72" s="155"/>
      <c r="L72" s="155"/>
      <c r="M72" s="206"/>
      <c r="N72" s="696"/>
      <c r="O72" s="696"/>
      <c r="P72" s="696"/>
      <c r="Q72" s="696"/>
      <c r="R72" s="696"/>
      <c r="S72" s="696"/>
      <c r="T72" s="696"/>
      <c r="U72" s="696"/>
      <c r="V72" s="696"/>
      <c r="W72" s="696"/>
      <c r="X72" s="696"/>
      <c r="Y72" s="696"/>
      <c r="Z72" s="679">
        <f>SUM(N72:Y72)</f>
        <v>0</v>
      </c>
      <c r="AA72" s="696"/>
      <c r="AB72" s="696"/>
      <c r="AC72" s="696"/>
      <c r="AD72" s="696"/>
      <c r="AE72" s="696"/>
      <c r="AF72" s="696"/>
      <c r="AG72" s="696"/>
      <c r="AH72" s="696"/>
      <c r="AI72" s="696"/>
      <c r="AJ72" s="696"/>
      <c r="AK72" s="696"/>
      <c r="AL72" s="696"/>
      <c r="AM72" s="679">
        <f>SUM(AA72:AL72)</f>
        <v>0</v>
      </c>
      <c r="AN72" s="696">
        <f>AN103*AN92/1000000</f>
        <v>0</v>
      </c>
      <c r="AO72" s="696">
        <f t="shared" ref="AO72:AX72" si="37">AO103*AO92/1000000</f>
        <v>0</v>
      </c>
      <c r="AP72" s="696">
        <f t="shared" si="37"/>
        <v>0</v>
      </c>
      <c r="AQ72" s="696">
        <f t="shared" si="37"/>
        <v>0</v>
      </c>
      <c r="AR72" s="696">
        <f t="shared" si="37"/>
        <v>0</v>
      </c>
      <c r="AS72" s="696">
        <f t="shared" si="37"/>
        <v>0</v>
      </c>
      <c r="AT72" s="696">
        <f t="shared" si="37"/>
        <v>0</v>
      </c>
      <c r="AU72" s="696">
        <f t="shared" si="37"/>
        <v>0</v>
      </c>
      <c r="AV72" s="696">
        <f t="shared" si="37"/>
        <v>0</v>
      </c>
      <c r="AW72" s="696">
        <f t="shared" si="37"/>
        <v>0</v>
      </c>
      <c r="AX72" s="696">
        <f t="shared" si="37"/>
        <v>0</v>
      </c>
      <c r="AY72" s="682"/>
      <c r="AZ72" s="682"/>
    </row>
    <row r="73" spans="1:52" s="13" customFormat="1" ht="13.5" thickBot="1">
      <c r="A73" s="12"/>
      <c r="B73" s="13" t="s">
        <v>341</v>
      </c>
      <c r="C73" s="28"/>
      <c r="D73" s="366"/>
      <c r="E73" s="376"/>
      <c r="F73" s="376"/>
      <c r="G73" s="234"/>
      <c r="H73" s="234"/>
      <c r="I73" s="234"/>
      <c r="J73" s="234"/>
      <c r="K73" s="234"/>
      <c r="L73" s="234"/>
      <c r="M73" s="283"/>
      <c r="N73" s="704">
        <f>SUM(N69:N72)</f>
        <v>2.7523266915150661</v>
      </c>
      <c r="O73" s="704">
        <f t="shared" ref="O73:Z73" si="38">SUM(O69:O72)</f>
        <v>2.4685296496044837</v>
      </c>
      <c r="P73" s="704">
        <f t="shared" si="38"/>
        <v>2.653982952232151</v>
      </c>
      <c r="Q73" s="704">
        <f t="shared" si="38"/>
        <v>2.2217041891204388</v>
      </c>
      <c r="R73" s="704">
        <f t="shared" si="38"/>
        <v>2.3914102918496671</v>
      </c>
      <c r="S73" s="704">
        <f t="shared" si="38"/>
        <v>2.5162740866117836</v>
      </c>
      <c r="T73" s="704">
        <f t="shared" si="38"/>
        <v>2.6454771831173929</v>
      </c>
      <c r="U73" s="704">
        <f t="shared" si="38"/>
        <v>2.7914473551819978</v>
      </c>
      <c r="V73" s="704">
        <f t="shared" si="38"/>
        <v>2.0740299519863887</v>
      </c>
      <c r="W73" s="704">
        <f t="shared" si="38"/>
        <v>2.06645218201604</v>
      </c>
      <c r="X73" s="704">
        <f t="shared" si="38"/>
        <v>1.8919451324052046</v>
      </c>
      <c r="Y73" s="704">
        <f t="shared" si="38"/>
        <v>1.9610367902356729</v>
      </c>
      <c r="Z73" s="705">
        <f t="shared" si="38"/>
        <v>28.434616455876284</v>
      </c>
      <c r="AA73" s="704">
        <f>SUM(AA69:AA72)</f>
        <v>2.1760157167010923</v>
      </c>
      <c r="AB73" s="704">
        <f t="shared" ref="AB73:AM73" si="39">SUM(AB69:AB72)</f>
        <v>1.9559158863064008</v>
      </c>
      <c r="AC73" s="704">
        <f t="shared" si="39"/>
        <v>1.8006570134769604</v>
      </c>
      <c r="AD73" s="704">
        <f t="shared" si="39"/>
        <v>1.7571968001494807</v>
      </c>
      <c r="AE73" s="704">
        <f t="shared" si="39"/>
        <v>1.8073612116389171</v>
      </c>
      <c r="AF73" s="704">
        <f t="shared" si="39"/>
        <v>2.0170324438514702</v>
      </c>
      <c r="AG73" s="704">
        <f t="shared" si="39"/>
        <v>2.1025726606420974</v>
      </c>
      <c r="AH73" s="704">
        <f t="shared" si="39"/>
        <v>2.254958805967048</v>
      </c>
      <c r="AI73" s="704">
        <f t="shared" si="39"/>
        <v>2.2416215042205168</v>
      </c>
      <c r="AJ73" s="704">
        <f t="shared" si="39"/>
        <v>2.2420630291069052</v>
      </c>
      <c r="AK73" s="704">
        <f t="shared" si="39"/>
        <v>2.0516758242145587</v>
      </c>
      <c r="AL73" s="704">
        <f t="shared" si="39"/>
        <v>2.1019916832425043</v>
      </c>
      <c r="AM73" s="705">
        <f t="shared" si="39"/>
        <v>24.509062579517956</v>
      </c>
      <c r="AN73" s="680">
        <f t="shared" ref="AN73:AX73" si="40">SUM(AN69:AN72)</f>
        <v>29.051082686670338</v>
      </c>
      <c r="AO73" s="680">
        <f t="shared" si="40"/>
        <v>31.042431962528937</v>
      </c>
      <c r="AP73" s="680">
        <f t="shared" si="40"/>
        <v>32.105602254451647</v>
      </c>
      <c r="AQ73" s="680">
        <f t="shared" si="40"/>
        <v>33.188602892524777</v>
      </c>
      <c r="AR73" s="680">
        <f t="shared" si="40"/>
        <v>46.079431081516383</v>
      </c>
      <c r="AS73" s="680">
        <f t="shared" si="40"/>
        <v>50.138696557724352</v>
      </c>
      <c r="AT73" s="680">
        <f t="shared" si="40"/>
        <v>49.495313056612652</v>
      </c>
      <c r="AU73" s="680">
        <f t="shared" si="40"/>
        <v>52.466963641397712</v>
      </c>
      <c r="AV73" s="680">
        <f t="shared" si="40"/>
        <v>52.501398302588917</v>
      </c>
      <c r="AW73" s="680">
        <f t="shared" si="40"/>
        <v>54.16948712557263</v>
      </c>
      <c r="AX73" s="680">
        <f t="shared" si="40"/>
        <v>54.645375243526274</v>
      </c>
      <c r="AY73" s="682"/>
      <c r="AZ73" s="682"/>
    </row>
    <row r="74" spans="1:52" ht="13.5" thickTop="1">
      <c r="C74" s="47"/>
      <c r="D74" s="366"/>
      <c r="E74" s="47"/>
      <c r="F74" s="47"/>
      <c r="N74" s="706"/>
      <c r="O74" s="706"/>
      <c r="P74" s="706"/>
      <c r="Q74" s="706"/>
      <c r="R74" s="706"/>
      <c r="S74" s="706"/>
      <c r="T74" s="706"/>
      <c r="U74" s="706"/>
      <c r="V74" s="706"/>
      <c r="W74" s="706"/>
      <c r="X74" s="706"/>
      <c r="Y74" s="706"/>
      <c r="Z74" s="707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7"/>
      <c r="AN74" s="706"/>
      <c r="AO74" s="706"/>
      <c r="AP74" s="706"/>
      <c r="AQ74" s="706"/>
      <c r="AR74" s="706"/>
      <c r="AS74" s="706"/>
      <c r="AT74" s="706"/>
      <c r="AU74" s="706"/>
      <c r="AV74" s="706"/>
      <c r="AW74" s="706"/>
      <c r="AX74" s="706"/>
      <c r="AY74" s="912"/>
      <c r="AZ74" s="912"/>
    </row>
    <row r="75" spans="1:52">
      <c r="C75" s="47"/>
      <c r="D75" s="366"/>
      <c r="E75" s="47"/>
      <c r="F75" s="47"/>
      <c r="N75" s="699"/>
      <c r="O75" s="699"/>
      <c r="P75" s="699"/>
      <c r="Q75" s="699"/>
      <c r="R75" s="699"/>
      <c r="S75" s="699"/>
      <c r="T75" s="699"/>
      <c r="U75" s="699"/>
      <c r="V75" s="699"/>
      <c r="W75" s="699"/>
      <c r="X75" s="699"/>
      <c r="Y75" s="699"/>
      <c r="Z75" s="688"/>
      <c r="AA75" s="699"/>
      <c r="AB75" s="699"/>
      <c r="AC75" s="699"/>
      <c r="AD75" s="699"/>
      <c r="AE75" s="699"/>
      <c r="AF75" s="699"/>
      <c r="AG75" s="699"/>
      <c r="AH75" s="699"/>
      <c r="AI75" s="699"/>
      <c r="AJ75" s="699"/>
      <c r="AK75" s="699"/>
      <c r="AL75" s="699"/>
      <c r="AM75" s="688"/>
      <c r="AN75" s="699"/>
      <c r="AO75" s="699"/>
      <c r="AP75" s="699"/>
      <c r="AQ75" s="699"/>
      <c r="AR75" s="699"/>
      <c r="AS75" s="699"/>
      <c r="AT75" s="699"/>
      <c r="AU75" s="699"/>
      <c r="AV75" s="699"/>
      <c r="AW75" s="699"/>
      <c r="AX75" s="699"/>
      <c r="AY75" s="910"/>
      <c r="AZ75" s="910"/>
    </row>
    <row r="76" spans="1:52">
      <c r="C76" s="47"/>
      <c r="D76" s="366"/>
      <c r="E76" s="47"/>
      <c r="F76" s="47"/>
      <c r="N76" s="699"/>
      <c r="O76" s="699"/>
      <c r="P76" s="699"/>
      <c r="Q76" s="699"/>
      <c r="R76" s="699"/>
      <c r="S76" s="699"/>
      <c r="T76" s="699"/>
      <c r="U76" s="699"/>
      <c r="V76" s="699"/>
      <c r="W76" s="699"/>
      <c r="X76" s="699"/>
      <c r="Y76" s="699"/>
      <c r="Z76" s="688"/>
      <c r="AA76" s="699"/>
      <c r="AB76" s="699"/>
      <c r="AC76" s="699"/>
      <c r="AD76" s="699"/>
      <c r="AE76" s="699"/>
      <c r="AF76" s="699"/>
      <c r="AG76" s="699"/>
      <c r="AH76" s="699"/>
      <c r="AI76" s="699"/>
      <c r="AJ76" s="699"/>
      <c r="AK76" s="699"/>
      <c r="AL76" s="699"/>
      <c r="AM76" s="688"/>
      <c r="AN76" s="699"/>
      <c r="AO76" s="699"/>
      <c r="AP76" s="699"/>
      <c r="AQ76" s="699"/>
      <c r="AR76" s="699"/>
      <c r="AS76" s="699"/>
      <c r="AT76" s="699"/>
      <c r="AU76" s="699"/>
      <c r="AV76" s="699"/>
      <c r="AW76" s="699"/>
      <c r="AX76" s="699"/>
      <c r="AY76" s="910"/>
      <c r="AZ76" s="910"/>
    </row>
    <row r="77" spans="1:52" s="13" customFormat="1">
      <c r="B77" s="13" t="s">
        <v>536</v>
      </c>
      <c r="C77" s="28"/>
      <c r="D77" s="366"/>
      <c r="E77" s="370"/>
      <c r="F77" s="370"/>
      <c r="G77" s="338"/>
      <c r="H77" s="338"/>
      <c r="I77" s="338"/>
      <c r="J77" s="338"/>
      <c r="K77" s="338"/>
      <c r="L77" s="338"/>
      <c r="M77" s="310"/>
      <c r="N77" s="708">
        <v>32.365304649577816</v>
      </c>
      <c r="O77" s="708">
        <v>31.453733200566685</v>
      </c>
      <c r="P77" s="708">
        <v>30.365038623853565</v>
      </c>
      <c r="Q77" s="708">
        <v>31.597869062965575</v>
      </c>
      <c r="R77" s="708">
        <v>29.632041074028418</v>
      </c>
      <c r="S77" s="708">
        <v>32.709173043128665</v>
      </c>
      <c r="T77" s="708">
        <v>41.250305031543498</v>
      </c>
      <c r="U77" s="708">
        <v>33.258682455805818</v>
      </c>
      <c r="V77" s="708">
        <v>28.451497043157481</v>
      </c>
      <c r="W77" s="708">
        <v>28.081991506278342</v>
      </c>
      <c r="X77" s="708">
        <v>27.891478742114352</v>
      </c>
      <c r="Y77" s="708">
        <v>30.712188937724221</v>
      </c>
      <c r="Z77" s="679">
        <f>SUMPRODUCT(N10:Y10,N77:Y77)/Z10</f>
        <v>30.778511443569016</v>
      </c>
      <c r="AA77" s="708">
        <v>34.604803274343226</v>
      </c>
      <c r="AB77" s="708">
        <v>33.683774355345285</v>
      </c>
      <c r="AC77" s="708">
        <v>31.839287602487524</v>
      </c>
      <c r="AD77" s="708">
        <v>31.928912610960055</v>
      </c>
      <c r="AE77" s="708">
        <v>29.942720279349807</v>
      </c>
      <c r="AF77" s="708">
        <v>32.483432338056652</v>
      </c>
      <c r="AG77" s="708">
        <v>36.21512126024534</v>
      </c>
      <c r="AH77" s="708">
        <v>33.822930614234551</v>
      </c>
      <c r="AI77" s="708">
        <v>29.16151843554286</v>
      </c>
      <c r="AJ77" s="708">
        <v>28.940946958526826</v>
      </c>
      <c r="AK77" s="708">
        <v>29.105144314083631</v>
      </c>
      <c r="AL77" s="708">
        <v>32.043443939085677</v>
      </c>
      <c r="AM77" s="679">
        <f>SUMPRODUCT(AA10:AL10,AA77:AL77)/AM10</f>
        <v>31.692298807086363</v>
      </c>
      <c r="AN77" s="684">
        <v>34.384132258165153</v>
      </c>
      <c r="AO77" s="684">
        <v>35.562098758935107</v>
      </c>
      <c r="AP77" s="685">
        <v>38.020633509456623</v>
      </c>
      <c r="AQ77" s="685">
        <v>40.352919502700942</v>
      </c>
      <c r="AR77" s="685">
        <v>46.50406055078151</v>
      </c>
      <c r="AS77" s="685">
        <v>57.407079449718523</v>
      </c>
      <c r="AT77" s="685">
        <v>66.066469515730105</v>
      </c>
      <c r="AU77" s="685">
        <v>67.281217107295873</v>
      </c>
      <c r="AV77" s="685">
        <v>68.486915409131257</v>
      </c>
      <c r="AW77" s="685">
        <v>69.026525458920162</v>
      </c>
      <c r="AX77" s="685">
        <v>72.548398381810784</v>
      </c>
      <c r="AY77" s="685"/>
      <c r="AZ77" s="685"/>
    </row>
    <row r="78" spans="1:52" s="13" customFormat="1">
      <c r="C78" s="28"/>
      <c r="D78" s="366"/>
      <c r="E78" s="28"/>
      <c r="F78" s="28"/>
      <c r="M78" s="88"/>
      <c r="N78" s="709"/>
      <c r="O78" s="709"/>
      <c r="P78" s="709"/>
      <c r="Q78" s="709"/>
      <c r="R78" s="709"/>
      <c r="S78" s="709"/>
      <c r="T78" s="709"/>
      <c r="U78" s="709"/>
      <c r="V78" s="709"/>
      <c r="W78" s="709"/>
      <c r="X78" s="709"/>
      <c r="Y78" s="709"/>
      <c r="Z78" s="688"/>
      <c r="AA78" s="709"/>
      <c r="AB78" s="709"/>
      <c r="AC78" s="709"/>
      <c r="AD78" s="709"/>
      <c r="AE78" s="709"/>
      <c r="AF78" s="709"/>
      <c r="AG78" s="709"/>
      <c r="AH78" s="709"/>
      <c r="AI78" s="709"/>
      <c r="AJ78" s="709"/>
      <c r="AK78" s="709"/>
      <c r="AL78" s="709"/>
      <c r="AM78" s="688"/>
      <c r="AN78" s="540"/>
      <c r="AO78" s="540"/>
      <c r="AP78" s="710"/>
      <c r="AQ78" s="710"/>
      <c r="AR78" s="710"/>
      <c r="AS78" s="710"/>
      <c r="AT78" s="710"/>
      <c r="AU78" s="710"/>
      <c r="AV78" s="710"/>
      <c r="AW78" s="710"/>
      <c r="AX78" s="710"/>
      <c r="AY78" s="913"/>
      <c r="AZ78" s="913"/>
    </row>
    <row r="79" spans="1:52">
      <c r="C79" s="47"/>
      <c r="D79" s="366"/>
      <c r="E79" s="47"/>
      <c r="F79" s="47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711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711"/>
      <c r="AN79" s="691"/>
      <c r="AO79" s="691"/>
      <c r="AP79" s="691"/>
      <c r="AQ79" s="691"/>
      <c r="AR79" s="691"/>
      <c r="AS79" s="691"/>
      <c r="AT79" s="691"/>
      <c r="AU79" s="691"/>
      <c r="AV79" s="691"/>
      <c r="AW79" s="691"/>
      <c r="AX79" s="691"/>
      <c r="AY79" s="908"/>
      <c r="AZ79" s="908"/>
    </row>
    <row r="80" spans="1:52">
      <c r="B80" s="107" t="s">
        <v>509</v>
      </c>
      <c r="C80" s="47"/>
      <c r="D80" s="366"/>
      <c r="E80" s="47"/>
      <c r="F80" s="47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711"/>
      <c r="AA80" s="540"/>
      <c r="AB80" s="540"/>
      <c r="AC80" s="540"/>
      <c r="AD80" s="540"/>
      <c r="AE80" s="540"/>
      <c r="AF80" s="540"/>
      <c r="AG80" s="540"/>
      <c r="AH80" s="540"/>
      <c r="AI80" s="540"/>
      <c r="AJ80" s="540"/>
      <c r="AK80" s="540"/>
      <c r="AL80" s="540"/>
      <c r="AM80" s="711"/>
      <c r="AN80" s="691"/>
      <c r="AO80" s="691"/>
      <c r="AP80" s="691"/>
      <c r="AQ80" s="691"/>
      <c r="AR80" s="691"/>
      <c r="AS80" s="691"/>
      <c r="AT80" s="691"/>
      <c r="AU80" s="691"/>
      <c r="AV80" s="691"/>
      <c r="AW80" s="691"/>
      <c r="AX80" s="691"/>
      <c r="AY80" s="908"/>
      <c r="AZ80" s="908"/>
    </row>
    <row r="81" spans="2:52">
      <c r="B81" s="108" t="s">
        <v>510</v>
      </c>
      <c r="C81" s="47"/>
      <c r="D81" s="366"/>
      <c r="E81" s="47"/>
      <c r="F81" s="47"/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0"/>
      <c r="Y81" s="540"/>
      <c r="Z81" s="711"/>
      <c r="AA81" s="540"/>
      <c r="AB81" s="540"/>
      <c r="AC81" s="540"/>
      <c r="AD81" s="540"/>
      <c r="AE81" s="540"/>
      <c r="AF81" s="540"/>
      <c r="AG81" s="540"/>
      <c r="AH81" s="540"/>
      <c r="AI81" s="540"/>
      <c r="AJ81" s="540"/>
      <c r="AK81" s="540"/>
      <c r="AL81" s="540"/>
      <c r="AM81" s="711"/>
      <c r="AN81" s="691"/>
      <c r="AO81" s="691"/>
      <c r="AP81" s="691"/>
      <c r="AQ81" s="691"/>
      <c r="AR81" s="691"/>
      <c r="AS81" s="691"/>
      <c r="AT81" s="691"/>
      <c r="AU81" s="691"/>
      <c r="AV81" s="691"/>
      <c r="AW81" s="691"/>
      <c r="AX81" s="691"/>
      <c r="AY81" s="908"/>
      <c r="AZ81" s="908"/>
    </row>
    <row r="82" spans="2:52">
      <c r="B82" s="110" t="s">
        <v>511</v>
      </c>
      <c r="C82" s="47"/>
      <c r="D82" s="366"/>
      <c r="E82" s="377"/>
      <c r="F82" s="377"/>
      <c r="G82" s="337"/>
      <c r="H82" s="337"/>
      <c r="I82" s="337"/>
      <c r="J82" s="337"/>
      <c r="K82" s="337"/>
      <c r="L82" s="337"/>
      <c r="M82" s="206"/>
      <c r="N82" s="576">
        <v>1763.8720655570107</v>
      </c>
      <c r="O82" s="576">
        <v>1580.5047263185224</v>
      </c>
      <c r="P82" s="576">
        <v>1709.2383740450225</v>
      </c>
      <c r="Q82" s="576">
        <v>1420.7487691692886</v>
      </c>
      <c r="R82" s="576">
        <v>3590.2614869552635</v>
      </c>
      <c r="S82" s="576">
        <v>1682.8221399142228</v>
      </c>
      <c r="T82" s="576">
        <v>2213.3290539905838</v>
      </c>
      <c r="U82" s="576">
        <v>1675.8064373160905</v>
      </c>
      <c r="V82" s="576">
        <v>891.86498517701477</v>
      </c>
      <c r="W82" s="576">
        <v>952.59817733319835</v>
      </c>
      <c r="X82" s="576">
        <v>921.74701906335486</v>
      </c>
      <c r="Y82" s="576">
        <v>942.123461875712</v>
      </c>
      <c r="Z82" s="679">
        <f>SUM(N82:Y82)</f>
        <v>19344.916696715285</v>
      </c>
      <c r="AA82" s="576">
        <v>1000.3922123183143</v>
      </c>
      <c r="AB82" s="576">
        <v>898.52594426492533</v>
      </c>
      <c r="AC82" s="576">
        <v>894.49006166095046</v>
      </c>
      <c r="AD82" s="576">
        <v>796.72585687465482</v>
      </c>
      <c r="AE82" s="576">
        <v>767.30191320390611</v>
      </c>
      <c r="AF82" s="576">
        <v>924.84719101904784</v>
      </c>
      <c r="AG82" s="576">
        <v>963.39868563359482</v>
      </c>
      <c r="AH82" s="576">
        <v>955.28015304289897</v>
      </c>
      <c r="AI82" s="576">
        <v>926.23524287819055</v>
      </c>
      <c r="AJ82" s="576">
        <v>991.66217529706569</v>
      </c>
      <c r="AK82" s="576">
        <v>953.16911735605106</v>
      </c>
      <c r="AL82" s="576">
        <v>970.67634183593009</v>
      </c>
      <c r="AM82" s="679">
        <f>SUM(AA82:AL82)</f>
        <v>11042.704895385528</v>
      </c>
      <c r="AN82" s="576">
        <v>13398.21435920035</v>
      </c>
      <c r="AO82" s="576">
        <v>11161.192578531187</v>
      </c>
      <c r="AP82" s="540">
        <v>15257.640000000001</v>
      </c>
      <c r="AQ82" s="540">
        <v>12734.179999999998</v>
      </c>
      <c r="AR82" s="540">
        <v>24838.590000000004</v>
      </c>
      <c r="AS82" s="540">
        <v>23235.789999999997</v>
      </c>
      <c r="AT82" s="540">
        <v>25005.200000000001</v>
      </c>
      <c r="AU82" s="540">
        <v>23134.089999999997</v>
      </c>
      <c r="AV82" s="540">
        <v>25086.890000000003</v>
      </c>
      <c r="AW82" s="540">
        <v>22968.45</v>
      </c>
      <c r="AX82" s="540">
        <v>24108.6</v>
      </c>
      <c r="AY82" s="685"/>
      <c r="AZ82" s="685"/>
    </row>
    <row r="83" spans="2:52">
      <c r="B83" s="110" t="s">
        <v>512</v>
      </c>
      <c r="C83" s="47"/>
      <c r="D83" s="366"/>
      <c r="E83" s="377"/>
      <c r="F83" s="377"/>
      <c r="G83" s="337"/>
      <c r="H83" s="337"/>
      <c r="I83" s="337"/>
      <c r="J83" s="337"/>
      <c r="K83" s="337"/>
      <c r="L83" s="337"/>
      <c r="M83" s="206"/>
      <c r="N83" s="576">
        <v>2066.2855490257657</v>
      </c>
      <c r="O83" s="576">
        <v>2064.8454768784723</v>
      </c>
      <c r="P83" s="576">
        <v>2073.0104805355218</v>
      </c>
      <c r="Q83" s="576">
        <v>1977.0526879091915</v>
      </c>
      <c r="R83" s="576">
        <v>2037.0147983045808</v>
      </c>
      <c r="S83" s="576">
        <v>2052.0379992994322</v>
      </c>
      <c r="T83" s="576">
        <v>2053.4255653744458</v>
      </c>
      <c r="U83" s="576">
        <v>2045.9635319332997</v>
      </c>
      <c r="V83" s="576">
        <v>2061.2272314943039</v>
      </c>
      <c r="W83" s="576">
        <v>2081.1920635071779</v>
      </c>
      <c r="X83" s="576">
        <v>2081.7722323645457</v>
      </c>
      <c r="Y83" s="576">
        <v>2072.6180442014997</v>
      </c>
      <c r="Z83" s="679">
        <f>SUM(N83:Y83)</f>
        <v>24666.445660828238</v>
      </c>
      <c r="AA83" s="576">
        <v>2067.2375077657653</v>
      </c>
      <c r="AB83" s="576">
        <v>2066.5047356681039</v>
      </c>
      <c r="AC83" s="576">
        <v>2077.1233229806476</v>
      </c>
      <c r="AD83" s="576">
        <v>2073.8589536167865</v>
      </c>
      <c r="AE83" s="576">
        <v>2037.004389457192</v>
      </c>
      <c r="AF83" s="576">
        <v>2052.912824583424</v>
      </c>
      <c r="AG83" s="576">
        <v>2054.0100659221989</v>
      </c>
      <c r="AH83" s="576">
        <v>2046.7949991799765</v>
      </c>
      <c r="AI83" s="576">
        <v>2061.4630906044404</v>
      </c>
      <c r="AJ83" s="576">
        <v>2082.6322214904108</v>
      </c>
      <c r="AK83" s="576">
        <v>2082.0232695571799</v>
      </c>
      <c r="AL83" s="576">
        <v>2072.3305190789638</v>
      </c>
      <c r="AM83" s="679">
        <f>SUM(AA83:AL83)</f>
        <v>24773.895899905092</v>
      </c>
      <c r="AN83" s="712">
        <v>17305.072190725066</v>
      </c>
      <c r="AO83" s="712">
        <v>17308.868052368834</v>
      </c>
      <c r="AP83" s="713">
        <v>17312.915953934105</v>
      </c>
      <c r="AQ83" s="713">
        <v>17277.388512771369</v>
      </c>
      <c r="AR83" s="713">
        <v>17339.006468715987</v>
      </c>
      <c r="AS83" s="713">
        <v>17362.626979627708</v>
      </c>
      <c r="AT83" s="713">
        <v>17265.618846035162</v>
      </c>
      <c r="AU83" s="713">
        <v>17349.580018524903</v>
      </c>
      <c r="AV83" s="713">
        <v>17340.787505448014</v>
      </c>
      <c r="AW83" s="713">
        <v>17343.75017111019</v>
      </c>
      <c r="AX83" s="713">
        <v>17330.255650138366</v>
      </c>
      <c r="AY83" s="914"/>
      <c r="AZ83" s="914"/>
    </row>
    <row r="84" spans="2:52">
      <c r="B84" s="108" t="s">
        <v>542</v>
      </c>
      <c r="C84" s="47"/>
      <c r="D84" s="366"/>
      <c r="E84" s="378"/>
      <c r="F84" s="378"/>
      <c r="G84" s="62"/>
      <c r="H84" s="62"/>
      <c r="I84" s="62"/>
      <c r="J84" s="62"/>
      <c r="K84" s="62"/>
      <c r="L84" s="62"/>
      <c r="M84" s="206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688"/>
      <c r="AA84" s="540"/>
      <c r="AB84" s="540"/>
      <c r="AC84" s="540"/>
      <c r="AD84" s="540"/>
      <c r="AE84" s="540"/>
      <c r="AF84" s="540"/>
      <c r="AG84" s="540"/>
      <c r="AH84" s="540"/>
      <c r="AI84" s="540"/>
      <c r="AJ84" s="540"/>
      <c r="AK84" s="540"/>
      <c r="AL84" s="540"/>
      <c r="AM84" s="688"/>
      <c r="AN84" s="576"/>
      <c r="AO84" s="576"/>
      <c r="AP84" s="540"/>
      <c r="AQ84" s="540"/>
      <c r="AR84" s="540"/>
      <c r="AS84" s="540"/>
      <c r="AT84" s="540"/>
      <c r="AU84" s="540"/>
      <c r="AV84" s="540"/>
      <c r="AW84" s="540"/>
      <c r="AX84" s="540"/>
      <c r="AY84" s="685"/>
      <c r="AZ84" s="685"/>
    </row>
    <row r="85" spans="2:52">
      <c r="B85" s="110" t="s">
        <v>511</v>
      </c>
      <c r="C85" s="47"/>
      <c r="D85" s="366"/>
      <c r="E85" s="378"/>
      <c r="F85" s="378"/>
      <c r="G85" s="335"/>
      <c r="H85" s="335"/>
      <c r="I85" s="335"/>
      <c r="J85" s="335"/>
      <c r="K85" s="335"/>
      <c r="L85" s="335"/>
      <c r="M85" s="206"/>
      <c r="N85" s="576">
        <v>0</v>
      </c>
      <c r="O85" s="576">
        <v>0</v>
      </c>
      <c r="P85" s="576">
        <v>0</v>
      </c>
      <c r="Q85" s="576">
        <v>0</v>
      </c>
      <c r="R85" s="576">
        <v>831.01233535442941</v>
      </c>
      <c r="S85" s="576">
        <v>919.65531726548772</v>
      </c>
      <c r="T85" s="576">
        <v>1047.0102862987023</v>
      </c>
      <c r="U85" s="576">
        <v>965.90323266948349</v>
      </c>
      <c r="V85" s="576">
        <v>846.21294622783284</v>
      </c>
      <c r="W85" s="576">
        <v>0</v>
      </c>
      <c r="X85" s="576">
        <v>0</v>
      </c>
      <c r="Y85" s="576">
        <v>0</v>
      </c>
      <c r="Z85" s="679">
        <f>SUM(N85:Y85)</f>
        <v>4609.7941178159354</v>
      </c>
      <c r="AA85" s="576">
        <v>0</v>
      </c>
      <c r="AB85" s="576">
        <v>0</v>
      </c>
      <c r="AC85" s="576">
        <v>0</v>
      </c>
      <c r="AD85" s="576">
        <v>0</v>
      </c>
      <c r="AE85" s="576">
        <v>732.27314680753784</v>
      </c>
      <c r="AF85" s="576">
        <v>848.0053824738219</v>
      </c>
      <c r="AG85" s="576">
        <v>881.11126438670135</v>
      </c>
      <c r="AH85" s="576">
        <v>880.84985190678412</v>
      </c>
      <c r="AI85" s="576">
        <v>842.16287746126477</v>
      </c>
      <c r="AJ85" s="576">
        <v>0</v>
      </c>
      <c r="AK85" s="576">
        <v>0</v>
      </c>
      <c r="AL85" s="576">
        <v>0</v>
      </c>
      <c r="AM85" s="679">
        <f>SUM(AA85:AL85)</f>
        <v>4184.4025230361094</v>
      </c>
      <c r="AN85" s="712">
        <v>4137.5692997764318</v>
      </c>
      <c r="AO85" s="712">
        <v>4217.3730058030978</v>
      </c>
      <c r="AP85" s="713">
        <v>4128.7299999999996</v>
      </c>
      <c r="AQ85" s="713">
        <v>4291.09</v>
      </c>
      <c r="AR85" s="713">
        <v>4995.2299999999996</v>
      </c>
      <c r="AS85" s="713">
        <v>5260.08</v>
      </c>
      <c r="AT85" s="713">
        <v>5288.24</v>
      </c>
      <c r="AU85" s="713">
        <v>5236.0599999999995</v>
      </c>
      <c r="AV85" s="713">
        <v>5181.82</v>
      </c>
      <c r="AW85" s="713">
        <v>5206.8</v>
      </c>
      <c r="AX85" s="713">
        <v>5178.57</v>
      </c>
      <c r="AY85" s="914"/>
      <c r="AZ85" s="914"/>
    </row>
    <row r="86" spans="2:52">
      <c r="B86" s="110" t="s">
        <v>512</v>
      </c>
      <c r="C86" s="47"/>
      <c r="D86" s="366"/>
      <c r="E86" s="378"/>
      <c r="F86" s="378"/>
      <c r="G86" s="334"/>
      <c r="H86" s="334"/>
      <c r="I86" s="334"/>
      <c r="J86" s="334"/>
      <c r="K86" s="334"/>
      <c r="L86" s="334"/>
      <c r="M86" s="206"/>
      <c r="N86" s="576">
        <v>0</v>
      </c>
      <c r="O86" s="576">
        <v>0</v>
      </c>
      <c r="P86" s="576">
        <v>0</v>
      </c>
      <c r="Q86" s="576">
        <v>0</v>
      </c>
      <c r="R86" s="576">
        <v>903.86880417282589</v>
      </c>
      <c r="S86" s="576">
        <v>909.82469295888984</v>
      </c>
      <c r="T86" s="576">
        <v>910.3747880570603</v>
      </c>
      <c r="U86" s="576">
        <v>907.4164943280083</v>
      </c>
      <c r="V86" s="576">
        <v>913.46772782214771</v>
      </c>
      <c r="W86" s="576">
        <v>0</v>
      </c>
      <c r="X86" s="576">
        <v>0</v>
      </c>
      <c r="Y86" s="576">
        <v>0</v>
      </c>
      <c r="Z86" s="679">
        <f>SUM(N86:Y86)</f>
        <v>4544.9525073389323</v>
      </c>
      <c r="AA86" s="576">
        <v>0</v>
      </c>
      <c r="AB86" s="576">
        <v>0</v>
      </c>
      <c r="AC86" s="576">
        <v>0</v>
      </c>
      <c r="AD86" s="576">
        <v>0</v>
      </c>
      <c r="AE86" s="576">
        <v>903.8646776263289</v>
      </c>
      <c r="AF86" s="576">
        <v>910.1715139926016</v>
      </c>
      <c r="AG86" s="576">
        <v>910.60651099406982</v>
      </c>
      <c r="AH86" s="576">
        <v>907.74612623882138</v>
      </c>
      <c r="AI86" s="576">
        <v>913.56123323618283</v>
      </c>
      <c r="AJ86" s="576">
        <v>0</v>
      </c>
      <c r="AK86" s="576">
        <v>0</v>
      </c>
      <c r="AL86" s="576">
        <v>0</v>
      </c>
      <c r="AM86" s="679">
        <f>SUM(AA86:AL86)</f>
        <v>4545.9500620880044</v>
      </c>
      <c r="AN86" s="712">
        <v>3837.551176063248</v>
      </c>
      <c r="AO86" s="712">
        <v>3851.7394629758464</v>
      </c>
      <c r="AP86" s="713">
        <v>3862.9878306810247</v>
      </c>
      <c r="AQ86" s="713">
        <v>3855.5544251797728</v>
      </c>
      <c r="AR86" s="713">
        <v>3868.446748344747</v>
      </c>
      <c r="AS86" s="713">
        <v>3873.3888671691598</v>
      </c>
      <c r="AT86" s="713">
        <v>3853.091858144222</v>
      </c>
      <c r="AU86" s="713">
        <v>3870.6590518697139</v>
      </c>
      <c r="AV86" s="713">
        <v>3868.8193946093947</v>
      </c>
      <c r="AW86" s="713">
        <v>3869.4392730613981</v>
      </c>
      <c r="AX86" s="713">
        <v>3866.6158148233217</v>
      </c>
      <c r="AY86" s="914"/>
      <c r="AZ86" s="914"/>
    </row>
    <row r="87" spans="2:52">
      <c r="B87" s="71" t="s">
        <v>543</v>
      </c>
      <c r="C87" s="47"/>
      <c r="D87" s="366"/>
      <c r="E87" s="378"/>
      <c r="F87" s="378"/>
      <c r="G87" s="334"/>
      <c r="H87" s="334"/>
      <c r="I87" s="334"/>
      <c r="J87" s="334"/>
      <c r="K87" s="334"/>
      <c r="L87" s="334"/>
      <c r="M87" s="206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679"/>
      <c r="AA87" s="540"/>
      <c r="AB87" s="540"/>
      <c r="AC87" s="540"/>
      <c r="AD87" s="540"/>
      <c r="AE87" s="540"/>
      <c r="AF87" s="540"/>
      <c r="AG87" s="540"/>
      <c r="AH87" s="540"/>
      <c r="AI87" s="540"/>
      <c r="AJ87" s="540"/>
      <c r="AK87" s="540"/>
      <c r="AL87" s="540"/>
      <c r="AM87" s="679"/>
      <c r="AN87" s="576"/>
      <c r="AO87" s="576"/>
      <c r="AP87" s="540"/>
      <c r="AQ87" s="540"/>
      <c r="AR87" s="540"/>
      <c r="AS87" s="540"/>
      <c r="AT87" s="540"/>
      <c r="AU87" s="540"/>
      <c r="AV87" s="540"/>
      <c r="AW87" s="540"/>
      <c r="AX87" s="540"/>
      <c r="AY87" s="685"/>
      <c r="AZ87" s="685"/>
    </row>
    <row r="88" spans="2:52">
      <c r="B88" s="110" t="s">
        <v>511</v>
      </c>
      <c r="C88" s="47"/>
      <c r="D88" s="366"/>
      <c r="E88" s="378"/>
      <c r="F88" s="378"/>
      <c r="G88" s="334"/>
      <c r="H88" s="334"/>
      <c r="I88" s="334"/>
      <c r="J88" s="334"/>
      <c r="K88" s="334"/>
      <c r="L88" s="334"/>
      <c r="M88" s="206"/>
      <c r="N88" s="576">
        <v>1028.8929170831775</v>
      </c>
      <c r="O88" s="576">
        <v>918.48964677781612</v>
      </c>
      <c r="P88" s="576">
        <v>985.90943938155158</v>
      </c>
      <c r="Q88" s="576">
        <v>908.62386660147956</v>
      </c>
      <c r="R88" s="576">
        <v>831.01233535442941</v>
      </c>
      <c r="S88" s="576">
        <v>919.65531726548772</v>
      </c>
      <c r="T88" s="576">
        <v>1047.0102862987023</v>
      </c>
      <c r="U88" s="576">
        <v>965.90323266948349</v>
      </c>
      <c r="V88" s="576">
        <v>846.21294622783284</v>
      </c>
      <c r="W88" s="576">
        <v>919.16636018027589</v>
      </c>
      <c r="X88" s="576">
        <v>891.26870315664019</v>
      </c>
      <c r="Y88" s="576">
        <v>913.83550891743209</v>
      </c>
      <c r="Z88" s="679">
        <f>SUM(N88:Y88)</f>
        <v>11175.980559914309</v>
      </c>
      <c r="AA88" s="576">
        <v>944.91765157600412</v>
      </c>
      <c r="AB88" s="576">
        <v>845.86848637660239</v>
      </c>
      <c r="AC88" s="576">
        <v>796.80406616387631</v>
      </c>
      <c r="AD88" s="576">
        <v>689.76200485919378</v>
      </c>
      <c r="AE88" s="576">
        <v>732.27314680753784</v>
      </c>
      <c r="AF88" s="576">
        <v>848.0053824738219</v>
      </c>
      <c r="AG88" s="576">
        <v>881.11126438670135</v>
      </c>
      <c r="AH88" s="576">
        <v>880.84985190678412</v>
      </c>
      <c r="AI88" s="576">
        <v>842.16287746126477</v>
      </c>
      <c r="AJ88" s="576">
        <v>910.78040926293124</v>
      </c>
      <c r="AK88" s="576">
        <v>881.12502814114885</v>
      </c>
      <c r="AL88" s="576">
        <v>897.40252969545054</v>
      </c>
      <c r="AM88" s="679">
        <f>SUM(AA88:AL88)</f>
        <v>10151.062699111317</v>
      </c>
      <c r="AN88" s="712">
        <v>10164.980084979803</v>
      </c>
      <c r="AO88" s="712">
        <v>10142.32877671982</v>
      </c>
      <c r="AP88" s="713">
        <v>10154.299999999999</v>
      </c>
      <c r="AQ88" s="713">
        <v>10373.41</v>
      </c>
      <c r="AR88" s="713">
        <v>11837.47</v>
      </c>
      <c r="AS88" s="713">
        <v>12693.909999999998</v>
      </c>
      <c r="AT88" s="713">
        <v>12774.87</v>
      </c>
      <c r="AU88" s="713">
        <v>12820.940000000002</v>
      </c>
      <c r="AV88" s="713">
        <v>12517.760000000002</v>
      </c>
      <c r="AW88" s="713">
        <v>12472.88</v>
      </c>
      <c r="AX88" s="713">
        <v>12389.96</v>
      </c>
      <c r="AY88" s="914"/>
      <c r="AZ88" s="914"/>
    </row>
    <row r="89" spans="2:52">
      <c r="B89" s="110" t="s">
        <v>512</v>
      </c>
      <c r="C89" s="47"/>
      <c r="D89" s="366"/>
      <c r="E89" s="47"/>
      <c r="F89" s="47"/>
      <c r="N89" s="576">
        <v>899.64447616533914</v>
      </c>
      <c r="O89" s="576">
        <v>899.10892077565654</v>
      </c>
      <c r="P89" s="576">
        <v>902.14544344122476</v>
      </c>
      <c r="Q89" s="576">
        <v>866.45923624691773</v>
      </c>
      <c r="R89" s="576">
        <v>888.75883523530274</v>
      </c>
      <c r="S89" s="576">
        <v>894.3458860495258</v>
      </c>
      <c r="T89" s="576">
        <v>894.86191470226424</v>
      </c>
      <c r="U89" s="576">
        <v>892.08682302723423</v>
      </c>
      <c r="V89" s="576">
        <v>897.76331401537914</v>
      </c>
      <c r="W89" s="576">
        <v>905.18813186821785</v>
      </c>
      <c r="X89" s="576">
        <v>905.4038936681203</v>
      </c>
      <c r="Y89" s="576">
        <v>901.99949839660474</v>
      </c>
      <c r="Z89" s="679">
        <f>SUM(N89:Y89)</f>
        <v>10747.766373591789</v>
      </c>
      <c r="AA89" s="576">
        <v>899.99850470128456</v>
      </c>
      <c r="AB89" s="576">
        <v>899.72599054492855</v>
      </c>
      <c r="AC89" s="576">
        <v>903.67498829253077</v>
      </c>
      <c r="AD89" s="576">
        <v>902.46098619547206</v>
      </c>
      <c r="AE89" s="576">
        <v>888.75496423874893</v>
      </c>
      <c r="AF89" s="576">
        <v>894.67122905178644</v>
      </c>
      <c r="AG89" s="576">
        <v>895.07928743543596</v>
      </c>
      <c r="AH89" s="576">
        <v>892.39604139947983</v>
      </c>
      <c r="AI89" s="576">
        <v>897.85102879958424</v>
      </c>
      <c r="AJ89" s="576">
        <v>905.72371917984265</v>
      </c>
      <c r="AK89" s="576">
        <v>905.49725310276972</v>
      </c>
      <c r="AL89" s="576">
        <v>901.89256928938426</v>
      </c>
      <c r="AM89" s="679">
        <f>SUM(AA89:AL89)</f>
        <v>10787.72656223125</v>
      </c>
      <c r="AN89" s="712">
        <v>8978.0868028737332</v>
      </c>
      <c r="AO89" s="712">
        <v>8979.7618240087322</v>
      </c>
      <c r="AP89" s="713">
        <v>8981.5480642120237</v>
      </c>
      <c r="AQ89" s="713">
        <v>8965.8706711969935</v>
      </c>
      <c r="AR89" s="713">
        <v>8993.0611718497639</v>
      </c>
      <c r="AS89" s="713">
        <v>9003.4843270407819</v>
      </c>
      <c r="AT89" s="713">
        <v>8960.6770044132172</v>
      </c>
      <c r="AU89" s="713">
        <v>8997.7270214154305</v>
      </c>
      <c r="AV89" s="713">
        <v>8993.8470999072979</v>
      </c>
      <c r="AW89" s="713">
        <v>8995.1544519832714</v>
      </c>
      <c r="AX89" s="713">
        <v>8989.1996491069312</v>
      </c>
      <c r="AY89" s="914"/>
      <c r="AZ89" s="914"/>
    </row>
    <row r="90" spans="2:52">
      <c r="C90" s="47"/>
      <c r="D90" s="366"/>
      <c r="E90" s="47"/>
      <c r="F90" s="47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711"/>
      <c r="AA90" s="540"/>
      <c r="AB90" s="540"/>
      <c r="AC90" s="540"/>
      <c r="AD90" s="540"/>
      <c r="AE90" s="540"/>
      <c r="AF90" s="540"/>
      <c r="AG90" s="540"/>
      <c r="AH90" s="540"/>
      <c r="AI90" s="540"/>
      <c r="AJ90" s="540"/>
      <c r="AK90" s="540"/>
      <c r="AL90" s="540"/>
      <c r="AM90" s="711"/>
      <c r="AN90" s="576"/>
      <c r="AO90" s="576"/>
      <c r="AP90" s="540"/>
      <c r="AQ90" s="540"/>
      <c r="AR90" s="540"/>
      <c r="AS90" s="540"/>
      <c r="AT90" s="540"/>
      <c r="AU90" s="540"/>
      <c r="AV90" s="540"/>
      <c r="AW90" s="540"/>
      <c r="AX90" s="540"/>
      <c r="AY90" s="685"/>
      <c r="AZ90" s="685"/>
    </row>
    <row r="91" spans="2:52">
      <c r="B91" s="154" t="s">
        <v>514</v>
      </c>
      <c r="C91" s="47"/>
      <c r="D91" s="366"/>
      <c r="E91" s="47"/>
      <c r="F91" s="47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711"/>
      <c r="AA91" s="540"/>
      <c r="AB91" s="540"/>
      <c r="AC91" s="540"/>
      <c r="AD91" s="540"/>
      <c r="AE91" s="540"/>
      <c r="AF91" s="540"/>
      <c r="AG91" s="540"/>
      <c r="AH91" s="540"/>
      <c r="AI91" s="540"/>
      <c r="AJ91" s="540"/>
      <c r="AK91" s="540"/>
      <c r="AL91" s="540"/>
      <c r="AM91" s="711"/>
      <c r="AN91" s="576"/>
      <c r="AO91" s="576"/>
      <c r="AP91" s="540"/>
      <c r="AQ91" s="540"/>
      <c r="AR91" s="540"/>
      <c r="AS91" s="540"/>
      <c r="AT91" s="540"/>
      <c r="AU91" s="540"/>
      <c r="AV91" s="540"/>
      <c r="AW91" s="540"/>
      <c r="AX91" s="540"/>
      <c r="AY91" s="685"/>
      <c r="AZ91" s="685"/>
    </row>
    <row r="92" spans="2:52">
      <c r="B92" s="108" t="s">
        <v>513</v>
      </c>
      <c r="C92" s="47"/>
      <c r="D92" s="366"/>
      <c r="E92" s="378"/>
      <c r="F92" s="378"/>
      <c r="G92" s="336"/>
      <c r="H92" s="336"/>
      <c r="I92" s="336"/>
      <c r="J92" s="336"/>
      <c r="K92" s="336"/>
      <c r="L92" s="336"/>
      <c r="N92" s="576">
        <v>1.38</v>
      </c>
      <c r="O92" s="576">
        <v>1.38</v>
      </c>
      <c r="P92" s="576">
        <v>1.38</v>
      </c>
      <c r="Q92" s="576">
        <v>1.38</v>
      </c>
      <c r="R92" s="576">
        <v>1.38</v>
      </c>
      <c r="S92" s="576">
        <v>1.38</v>
      </c>
      <c r="T92" s="576">
        <v>1.38</v>
      </c>
      <c r="U92" s="576">
        <v>1.38</v>
      </c>
      <c r="V92" s="576">
        <v>1.38</v>
      </c>
      <c r="W92" s="576">
        <v>1.38</v>
      </c>
      <c r="X92" s="576">
        <v>1.38</v>
      </c>
      <c r="Y92" s="576">
        <v>1.38</v>
      </c>
      <c r="Z92" s="688"/>
      <c r="AA92" s="576">
        <v>1.38</v>
      </c>
      <c r="AB92" s="576">
        <v>1.38</v>
      </c>
      <c r="AC92" s="576">
        <v>1.38</v>
      </c>
      <c r="AD92" s="576">
        <v>1.38</v>
      </c>
      <c r="AE92" s="576">
        <v>1.38</v>
      </c>
      <c r="AF92" s="576">
        <v>1.38</v>
      </c>
      <c r="AG92" s="576">
        <v>1.38</v>
      </c>
      <c r="AH92" s="576">
        <v>1.38</v>
      </c>
      <c r="AI92" s="576">
        <v>1.38</v>
      </c>
      <c r="AJ92" s="576">
        <v>1.38</v>
      </c>
      <c r="AK92" s="576">
        <v>1.38</v>
      </c>
      <c r="AL92" s="576">
        <v>1.38</v>
      </c>
      <c r="AM92" s="688"/>
      <c r="AN92" s="712">
        <v>1.97</v>
      </c>
      <c r="AO92" s="712">
        <v>1.97</v>
      </c>
      <c r="AP92" s="713">
        <v>2.0099999999999993</v>
      </c>
      <c r="AQ92" s="713">
        <v>2.0599999999999996</v>
      </c>
      <c r="AR92" s="713">
        <v>2.1200000000000006</v>
      </c>
      <c r="AS92" s="713">
        <v>2.1700000000000004</v>
      </c>
      <c r="AT92" s="713">
        <v>2.23</v>
      </c>
      <c r="AU92" s="713">
        <v>2.2899999999999996</v>
      </c>
      <c r="AV92" s="713">
        <v>2.36</v>
      </c>
      <c r="AW92" s="713">
        <v>2.4200000000000004</v>
      </c>
      <c r="AX92" s="713">
        <v>2.4900000000000007</v>
      </c>
      <c r="AY92" s="914"/>
      <c r="AZ92" s="914"/>
    </row>
    <row r="93" spans="2:52">
      <c r="B93" s="108" t="s">
        <v>544</v>
      </c>
      <c r="C93" s="47"/>
      <c r="D93" s="366"/>
      <c r="E93" s="378"/>
      <c r="F93" s="378"/>
      <c r="G93" s="335"/>
      <c r="H93" s="335"/>
      <c r="I93" s="335"/>
      <c r="J93" s="335"/>
      <c r="K93" s="335"/>
      <c r="L93" s="335"/>
      <c r="N93" s="576">
        <v>0</v>
      </c>
      <c r="O93" s="576">
        <v>0</v>
      </c>
      <c r="P93" s="576">
        <v>0</v>
      </c>
      <c r="Q93" s="576">
        <v>0</v>
      </c>
      <c r="R93" s="576">
        <v>12.899999999999999</v>
      </c>
      <c r="S93" s="576">
        <v>12.899999999999999</v>
      </c>
      <c r="T93" s="576">
        <v>12.899999999999999</v>
      </c>
      <c r="U93" s="576">
        <v>12.899999999999999</v>
      </c>
      <c r="V93" s="576">
        <v>12.899999999999999</v>
      </c>
      <c r="W93" s="576">
        <v>0</v>
      </c>
      <c r="X93" s="576">
        <v>0</v>
      </c>
      <c r="Y93" s="576">
        <v>0</v>
      </c>
      <c r="Z93" s="688"/>
      <c r="AA93" s="576">
        <v>0</v>
      </c>
      <c r="AB93" s="576">
        <v>0</v>
      </c>
      <c r="AC93" s="576">
        <v>0</v>
      </c>
      <c r="AD93" s="576">
        <v>0</v>
      </c>
      <c r="AE93" s="576">
        <v>12.899999999999999</v>
      </c>
      <c r="AF93" s="576">
        <v>12.899999999999999</v>
      </c>
      <c r="AG93" s="576">
        <v>12.899999999999999</v>
      </c>
      <c r="AH93" s="576">
        <v>12.899999999999999</v>
      </c>
      <c r="AI93" s="576">
        <v>12.899999999999999</v>
      </c>
      <c r="AJ93" s="576">
        <v>0</v>
      </c>
      <c r="AK93" s="576">
        <v>0</v>
      </c>
      <c r="AL93" s="576">
        <v>0</v>
      </c>
      <c r="AM93" s="688"/>
      <c r="AN93" s="712">
        <v>12.899999999999999</v>
      </c>
      <c r="AO93" s="712">
        <v>12.899999999999999</v>
      </c>
      <c r="AP93" s="713">
        <v>13.21</v>
      </c>
      <c r="AQ93" s="713">
        <v>13.54</v>
      </c>
      <c r="AR93" s="713">
        <v>13.89</v>
      </c>
      <c r="AS93" s="713">
        <v>14.259999999999998</v>
      </c>
      <c r="AT93" s="713">
        <v>14.649999999999999</v>
      </c>
      <c r="AU93" s="713">
        <v>15.04</v>
      </c>
      <c r="AV93" s="713">
        <v>15.450000000000003</v>
      </c>
      <c r="AW93" s="713">
        <v>15.880000000000003</v>
      </c>
      <c r="AX93" s="713">
        <v>16.310000000000002</v>
      </c>
      <c r="AY93" s="914"/>
      <c r="AZ93" s="914"/>
    </row>
    <row r="94" spans="2:52">
      <c r="B94" s="108" t="s">
        <v>545</v>
      </c>
      <c r="C94" s="47"/>
      <c r="D94" s="366"/>
      <c r="E94" s="378"/>
      <c r="F94" s="378"/>
      <c r="G94" s="335"/>
      <c r="H94" s="335"/>
      <c r="I94" s="335"/>
      <c r="J94" s="335"/>
      <c r="K94" s="335"/>
      <c r="L94" s="335"/>
      <c r="N94" s="576">
        <v>37.21</v>
      </c>
      <c r="O94" s="576">
        <v>37.21</v>
      </c>
      <c r="P94" s="576">
        <v>37.21</v>
      </c>
      <c r="Q94" s="576">
        <v>37.21</v>
      </c>
      <c r="R94" s="576">
        <v>37.21</v>
      </c>
      <c r="S94" s="576">
        <v>37.21</v>
      </c>
      <c r="T94" s="576">
        <v>37.21</v>
      </c>
      <c r="U94" s="576">
        <v>37.21</v>
      </c>
      <c r="V94" s="576">
        <v>37.21</v>
      </c>
      <c r="W94" s="576">
        <v>37.21</v>
      </c>
      <c r="X94" s="576">
        <v>37.21</v>
      </c>
      <c r="Y94" s="576">
        <v>37.21</v>
      </c>
      <c r="Z94" s="688"/>
      <c r="AA94" s="576">
        <v>37.21</v>
      </c>
      <c r="AB94" s="576">
        <v>37.21</v>
      </c>
      <c r="AC94" s="576">
        <v>37.21</v>
      </c>
      <c r="AD94" s="576">
        <v>37.21</v>
      </c>
      <c r="AE94" s="576">
        <v>37.21</v>
      </c>
      <c r="AF94" s="576">
        <v>37.21</v>
      </c>
      <c r="AG94" s="576">
        <v>37.21</v>
      </c>
      <c r="AH94" s="576">
        <v>37.21</v>
      </c>
      <c r="AI94" s="576">
        <v>37.21</v>
      </c>
      <c r="AJ94" s="576">
        <v>37.21</v>
      </c>
      <c r="AK94" s="576">
        <v>37.21</v>
      </c>
      <c r="AL94" s="576">
        <v>37.21</v>
      </c>
      <c r="AM94" s="688"/>
      <c r="AN94" s="712">
        <v>37.21</v>
      </c>
      <c r="AO94" s="712">
        <v>37.21</v>
      </c>
      <c r="AP94" s="713">
        <v>38.1</v>
      </c>
      <c r="AQ94" s="713">
        <v>39.06</v>
      </c>
      <c r="AR94" s="713">
        <v>40.08</v>
      </c>
      <c r="AS94" s="713">
        <v>41.14</v>
      </c>
      <c r="AT94" s="713">
        <v>42.24</v>
      </c>
      <c r="AU94" s="713">
        <v>43.39</v>
      </c>
      <c r="AV94" s="713">
        <v>44.57</v>
      </c>
      <c r="AW94" s="713">
        <v>45.79</v>
      </c>
      <c r="AX94" s="713">
        <v>47.07</v>
      </c>
      <c r="AY94" s="914"/>
      <c r="AZ94" s="914"/>
    </row>
    <row r="95" spans="2:52">
      <c r="C95" s="47"/>
      <c r="D95" s="366"/>
      <c r="E95" s="47"/>
      <c r="F95" s="47"/>
      <c r="N95" s="714"/>
      <c r="O95" s="714"/>
      <c r="P95" s="714"/>
      <c r="Q95" s="714"/>
      <c r="R95" s="714"/>
      <c r="S95" s="714"/>
      <c r="T95" s="714"/>
      <c r="U95" s="714"/>
      <c r="V95" s="714"/>
      <c r="W95" s="714"/>
      <c r="X95" s="714"/>
      <c r="Y95" s="714"/>
      <c r="Z95" s="711"/>
      <c r="AA95" s="714"/>
      <c r="AB95" s="714"/>
      <c r="AC95" s="714"/>
      <c r="AD95" s="714"/>
      <c r="AE95" s="714"/>
      <c r="AF95" s="714"/>
      <c r="AG95" s="714"/>
      <c r="AH95" s="714"/>
      <c r="AI95" s="714"/>
      <c r="AJ95" s="714"/>
      <c r="AK95" s="714"/>
      <c r="AL95" s="714"/>
      <c r="AM95" s="711"/>
      <c r="AN95" s="714"/>
      <c r="AO95" s="714"/>
      <c r="AP95" s="714"/>
      <c r="AQ95" s="714"/>
      <c r="AR95" s="714"/>
      <c r="AS95" s="714"/>
      <c r="AT95" s="714"/>
      <c r="AU95" s="714"/>
      <c r="AV95" s="714"/>
      <c r="AW95" s="714"/>
      <c r="AX95" s="714"/>
      <c r="AY95" s="764"/>
      <c r="AZ95" s="764"/>
    </row>
    <row r="96" spans="2:52">
      <c r="B96" s="346" t="s">
        <v>76</v>
      </c>
      <c r="C96" s="367">
        <v>0</v>
      </c>
      <c r="D96" s="366"/>
      <c r="E96" s="47"/>
      <c r="F96" s="47"/>
      <c r="N96" s="714"/>
      <c r="O96" s="714"/>
      <c r="P96" s="714"/>
      <c r="Q96" s="714"/>
      <c r="R96" s="714"/>
      <c r="S96" s="714"/>
      <c r="T96" s="714"/>
      <c r="U96" s="714"/>
      <c r="V96" s="714"/>
      <c r="W96" s="714"/>
      <c r="X96" s="714"/>
      <c r="Y96" s="714"/>
      <c r="Z96" s="711"/>
      <c r="AA96" s="714"/>
      <c r="AB96" s="714"/>
      <c r="AC96" s="714"/>
      <c r="AD96" s="714"/>
      <c r="AE96" s="714"/>
      <c r="AF96" s="714"/>
      <c r="AG96" s="714"/>
      <c r="AH96" s="714"/>
      <c r="AI96" s="714"/>
      <c r="AJ96" s="714"/>
      <c r="AK96" s="714"/>
      <c r="AL96" s="714"/>
      <c r="AM96" s="711"/>
      <c r="AN96" s="714"/>
      <c r="AO96" s="714"/>
      <c r="AP96" s="714"/>
      <c r="AQ96" s="714"/>
      <c r="AR96" s="714"/>
      <c r="AS96" s="714"/>
      <c r="AT96" s="714"/>
      <c r="AU96" s="714"/>
      <c r="AV96" s="714"/>
      <c r="AW96" s="714"/>
      <c r="AX96" s="714"/>
      <c r="AY96" s="764"/>
      <c r="AZ96" s="764"/>
    </row>
    <row r="97" spans="2:52">
      <c r="C97" s="47"/>
      <c r="D97" s="366"/>
      <c r="E97" s="47"/>
      <c r="F97" s="47"/>
      <c r="N97" s="714"/>
      <c r="O97" s="714"/>
      <c r="P97" s="714"/>
      <c r="Q97" s="714"/>
      <c r="R97" s="714"/>
      <c r="S97" s="714"/>
      <c r="T97" s="714"/>
      <c r="U97" s="714"/>
      <c r="V97" s="714"/>
      <c r="W97" s="714"/>
      <c r="X97" s="714"/>
      <c r="Y97" s="714"/>
      <c r="Z97" s="711"/>
      <c r="AA97" s="714"/>
      <c r="AB97" s="714"/>
      <c r="AC97" s="714"/>
      <c r="AD97" s="714"/>
      <c r="AE97" s="714"/>
      <c r="AF97" s="714"/>
      <c r="AG97" s="714"/>
      <c r="AH97" s="714"/>
      <c r="AI97" s="714"/>
      <c r="AJ97" s="714"/>
      <c r="AK97" s="714"/>
      <c r="AL97" s="714"/>
      <c r="AM97" s="711"/>
      <c r="AN97" s="714"/>
      <c r="AO97" s="714"/>
      <c r="AP97" s="714"/>
      <c r="AQ97" s="714"/>
      <c r="AR97" s="714"/>
      <c r="AS97" s="714"/>
      <c r="AT97" s="714"/>
      <c r="AU97" s="714"/>
      <c r="AV97" s="714"/>
      <c r="AW97" s="714"/>
      <c r="AX97" s="714"/>
      <c r="AY97" s="764"/>
      <c r="AZ97" s="764"/>
    </row>
    <row r="98" spans="2:52">
      <c r="B98" t="s">
        <v>887</v>
      </c>
      <c r="C98" s="47"/>
      <c r="D98" s="366"/>
      <c r="E98" s="47"/>
      <c r="F98" s="47"/>
      <c r="N98" s="714"/>
      <c r="O98" s="714"/>
      <c r="P98" s="714"/>
      <c r="Q98" s="714"/>
      <c r="R98" s="714"/>
      <c r="S98" s="714"/>
      <c r="T98" s="714"/>
      <c r="U98" s="714"/>
      <c r="V98" s="714"/>
      <c r="W98" s="714"/>
      <c r="X98" s="714"/>
      <c r="Y98" s="714"/>
      <c r="Z98" s="711"/>
      <c r="AA98" s="714"/>
      <c r="AB98" s="714"/>
      <c r="AC98" s="714"/>
      <c r="AD98" s="714"/>
      <c r="AE98" s="714"/>
      <c r="AF98" s="714"/>
      <c r="AG98" s="714"/>
      <c r="AH98" s="714"/>
      <c r="AI98" s="714"/>
      <c r="AJ98" s="714"/>
      <c r="AK98" s="714"/>
      <c r="AL98" s="714"/>
      <c r="AM98" s="711"/>
      <c r="AN98" s="714"/>
      <c r="AO98" s="714"/>
      <c r="AP98" s="714"/>
      <c r="AQ98" s="714"/>
      <c r="AR98" s="714"/>
      <c r="AS98" s="714"/>
      <c r="AT98" s="714"/>
      <c r="AU98" s="714"/>
      <c r="AV98" s="714"/>
      <c r="AW98" s="714"/>
      <c r="AX98" s="714"/>
      <c r="AY98" s="764"/>
      <c r="AZ98" s="764"/>
    </row>
    <row r="99" spans="2:52">
      <c r="B99" t="s">
        <v>510</v>
      </c>
      <c r="C99" s="47"/>
      <c r="D99" s="366"/>
      <c r="E99" s="47"/>
      <c r="F99" s="47"/>
      <c r="N99" s="714">
        <f>$Z83-N82</f>
        <v>22902.573595271228</v>
      </c>
      <c r="O99" s="714">
        <f>$Z83-SUM($N82:O82)</f>
        <v>21322.068868952705</v>
      </c>
      <c r="P99" s="714">
        <f>$Z83-SUM($N82:P82)</f>
        <v>19612.830494907685</v>
      </c>
      <c r="Q99" s="714">
        <f>$Z83-SUM($N82:Q82)</f>
        <v>18192.081725738393</v>
      </c>
      <c r="R99" s="714">
        <f>$Z83-SUM($N82:R82)</f>
        <v>14601.82023878313</v>
      </c>
      <c r="S99" s="714">
        <f>$Z83-SUM($N82:S82)</f>
        <v>12918.998098868908</v>
      </c>
      <c r="T99" s="714">
        <f>$Z83-SUM($N82:T82)</f>
        <v>10705.669044878323</v>
      </c>
      <c r="U99" s="714">
        <f>$Z83-SUM($N82:U82)</f>
        <v>9029.8626075622324</v>
      </c>
      <c r="V99" s="714">
        <f>$Z83-SUM($N82:V82)</f>
        <v>8137.9976223852173</v>
      </c>
      <c r="W99" s="714">
        <f>$Z83-SUM($N82:W82)</f>
        <v>7185.3994450520186</v>
      </c>
      <c r="X99" s="714">
        <f>$Z83-SUM($N82:X82)</f>
        <v>6263.6524259886646</v>
      </c>
      <c r="Y99" s="714">
        <f>$Z83-SUM($N82:Y82)</f>
        <v>5321.528964112953</v>
      </c>
      <c r="Z99" s="711"/>
      <c r="AA99" s="714">
        <f>AM83-AA82</f>
        <v>23773.503687586777</v>
      </c>
      <c r="AB99" s="714">
        <f>$AM83-SUM($AA82:AB82)</f>
        <v>22874.977743321851</v>
      </c>
      <c r="AC99" s="714">
        <f>$AM83-SUM($AA82:AC82)</f>
        <v>21980.487681660903</v>
      </c>
      <c r="AD99" s="714">
        <f>$AM83-SUM($AA82:AD82)</f>
        <v>21183.761824786248</v>
      </c>
      <c r="AE99" s="714">
        <f>$AM83-SUM($AA82:AE82)</f>
        <v>20416.45991158234</v>
      </c>
      <c r="AF99" s="714">
        <f>$AM83-SUM($AA82:AF82)</f>
        <v>19491.612720563295</v>
      </c>
      <c r="AG99" s="714">
        <f>$AM83-SUM($AA82:AG82)</f>
        <v>18528.214034929697</v>
      </c>
      <c r="AH99" s="714">
        <f>$AM83-SUM($AA82:AH82)</f>
        <v>17572.933881886798</v>
      </c>
      <c r="AI99" s="714">
        <f>$AM83-SUM($AA82:AI82)</f>
        <v>16646.698639008609</v>
      </c>
      <c r="AJ99" s="714">
        <f>$AM83-SUM($AA82:AJ82)</f>
        <v>15655.036463711544</v>
      </c>
      <c r="AK99" s="714">
        <f>$AM83-SUM($AA82:AK82)</f>
        <v>14701.867346355493</v>
      </c>
      <c r="AL99" s="714">
        <f>$AM83-SUM($AA82:AL82)</f>
        <v>13731.191004519564</v>
      </c>
      <c r="AM99" s="711"/>
      <c r="AN99" s="714">
        <f>AN83-AN82</f>
        <v>3906.8578315247159</v>
      </c>
      <c r="AO99" s="714">
        <f>AO83-AO82</f>
        <v>6147.6754738376476</v>
      </c>
      <c r="AP99" s="714">
        <f t="shared" ref="AP99:AX99" si="41">AP83-AP82</f>
        <v>2055.2759539341041</v>
      </c>
      <c r="AQ99" s="714">
        <f t="shared" si="41"/>
        <v>4543.2085127713708</v>
      </c>
      <c r="AR99" s="714">
        <f t="shared" si="41"/>
        <v>-7499.5835312840172</v>
      </c>
      <c r="AS99" s="714">
        <f t="shared" si="41"/>
        <v>-5873.1630203722889</v>
      </c>
      <c r="AT99" s="714">
        <f t="shared" si="41"/>
        <v>-7739.5811539648384</v>
      </c>
      <c r="AU99" s="714">
        <f t="shared" si="41"/>
        <v>-5784.5099814750938</v>
      </c>
      <c r="AV99" s="714">
        <f t="shared" si="41"/>
        <v>-7746.1024945519894</v>
      </c>
      <c r="AW99" s="714">
        <f t="shared" si="41"/>
        <v>-5624.6998288898103</v>
      </c>
      <c r="AX99" s="714">
        <f t="shared" si="41"/>
        <v>-6778.3443498616325</v>
      </c>
      <c r="AY99" s="764"/>
      <c r="AZ99" s="764"/>
    </row>
    <row r="100" spans="2:52">
      <c r="B100" t="s">
        <v>888</v>
      </c>
      <c r="C100" s="47"/>
      <c r="D100" s="366"/>
      <c r="E100" s="47"/>
      <c r="F100" s="47"/>
      <c r="N100" s="714">
        <f>$Z86-N85</f>
        <v>4544.9525073389323</v>
      </c>
      <c r="O100" s="714">
        <f>$Z86-SUM($N85:O85)</f>
        <v>4544.9525073389323</v>
      </c>
      <c r="P100" s="714">
        <f>$Z86-SUM($N85:P85)</f>
        <v>4544.9525073389323</v>
      </c>
      <c r="Q100" s="714">
        <f>$Z86-SUM($N85:Q85)</f>
        <v>4544.9525073389323</v>
      </c>
      <c r="R100" s="714">
        <f>$Z86-SUM($N85:R85)</f>
        <v>3713.9401719845027</v>
      </c>
      <c r="S100" s="714">
        <f>$Z86-SUM($N85:S85)</f>
        <v>2794.2848547190151</v>
      </c>
      <c r="T100" s="714">
        <f>$Z86-SUM($N85:T85)</f>
        <v>1747.2745684203128</v>
      </c>
      <c r="U100" s="714">
        <f>$Z86-SUM($N85:U85)</f>
        <v>781.37133575082953</v>
      </c>
      <c r="V100" s="714">
        <f>$Z86-SUM($N85:V85)</f>
        <v>-64.841610477003087</v>
      </c>
      <c r="W100" s="714">
        <f>$Z86-SUM($N85:W85)</f>
        <v>-64.841610477003087</v>
      </c>
      <c r="X100" s="714">
        <f>$Z86-SUM($N85:X85)</f>
        <v>-64.841610477003087</v>
      </c>
      <c r="Y100" s="714">
        <f>$Z86-SUM($N85:Y85)</f>
        <v>-64.841610477003087</v>
      </c>
      <c r="Z100" s="711"/>
      <c r="AA100" s="714">
        <f>AM86-AA85</f>
        <v>4545.9500620880044</v>
      </c>
      <c r="AB100" s="714">
        <f>$AM86-SUM($AA85:AB85)</f>
        <v>4545.9500620880044</v>
      </c>
      <c r="AC100" s="714">
        <f>$AM86-SUM($AA85:AC85)</f>
        <v>4545.9500620880044</v>
      </c>
      <c r="AD100" s="714">
        <f>$AM86-SUM($AA85:AD85)</f>
        <v>4545.9500620880044</v>
      </c>
      <c r="AE100" s="714">
        <f>$AM86-SUM($AA85:AE85)</f>
        <v>3813.6769152804663</v>
      </c>
      <c r="AF100" s="714">
        <f>$AM86-SUM($AA85:AF85)</f>
        <v>2965.6715328066448</v>
      </c>
      <c r="AG100" s="714">
        <f>$AM86-SUM($AA85:AG85)</f>
        <v>2084.5602684199434</v>
      </c>
      <c r="AH100" s="714">
        <f>$AM86-SUM($AA85:AH85)</f>
        <v>1203.7104165131595</v>
      </c>
      <c r="AI100" s="714">
        <f>$AM86-SUM($AA85:AI85)</f>
        <v>361.547539051895</v>
      </c>
      <c r="AJ100" s="714">
        <f>$AM86-SUM($AA85:AJ85)</f>
        <v>361.547539051895</v>
      </c>
      <c r="AK100" s="714">
        <f>$AM86-SUM($AA85:AK85)</f>
        <v>361.547539051895</v>
      </c>
      <c r="AL100" s="714">
        <f>$AM86-SUM($AA85:AL85)</f>
        <v>361.547539051895</v>
      </c>
      <c r="AM100" s="711"/>
      <c r="AN100" s="714">
        <f>AN86-AN85</f>
        <v>-300.01812371318374</v>
      </c>
      <c r="AO100" s="714">
        <f>AO86-AO85</f>
        <v>-365.6335428272514</v>
      </c>
      <c r="AP100" s="714">
        <f t="shared" ref="AP100:AX100" si="42">AP86-AP85</f>
        <v>-265.7421693189749</v>
      </c>
      <c r="AQ100" s="714">
        <f t="shared" si="42"/>
        <v>-435.53557482022734</v>
      </c>
      <c r="AR100" s="714">
        <f t="shared" si="42"/>
        <v>-1126.7832516552526</v>
      </c>
      <c r="AS100" s="714">
        <f t="shared" si="42"/>
        <v>-1386.6911328308402</v>
      </c>
      <c r="AT100" s="714">
        <f t="shared" si="42"/>
        <v>-1435.1481418557778</v>
      </c>
      <c r="AU100" s="714">
        <f t="shared" si="42"/>
        <v>-1365.4009481302855</v>
      </c>
      <c r="AV100" s="714">
        <f t="shared" si="42"/>
        <v>-1313.000605390605</v>
      </c>
      <c r="AW100" s="714">
        <f t="shared" si="42"/>
        <v>-1337.3607269386021</v>
      </c>
      <c r="AX100" s="714">
        <f t="shared" si="42"/>
        <v>-1311.954185176678</v>
      </c>
      <c r="AY100" s="764"/>
      <c r="AZ100" s="764"/>
    </row>
    <row r="101" spans="2:52">
      <c r="B101" t="s">
        <v>893</v>
      </c>
      <c r="C101" s="47"/>
      <c r="D101" s="366"/>
      <c r="E101" s="47"/>
      <c r="F101" s="47"/>
      <c r="N101" s="714">
        <f>$Z89-N88</f>
        <v>9718.8734565086106</v>
      </c>
      <c r="O101" s="714">
        <f>$Z89-SUM($N88:O88)</f>
        <v>8800.3838097307944</v>
      </c>
      <c r="P101" s="714">
        <f>$Z89-SUM($N88:P88)</f>
        <v>7814.4743703492431</v>
      </c>
      <c r="Q101" s="714">
        <f>$Z89-SUM($N88:Q88)</f>
        <v>6905.8505037477635</v>
      </c>
      <c r="R101" s="714">
        <f>$Z89-SUM($N88:R88)</f>
        <v>6074.8381683933339</v>
      </c>
      <c r="S101" s="714">
        <f>$Z89-SUM($N88:S88)</f>
        <v>5155.1828511278463</v>
      </c>
      <c r="T101" s="714">
        <f>$Z89-SUM($N88:T88)</f>
        <v>4108.172564829144</v>
      </c>
      <c r="U101" s="714">
        <f>$Z89-SUM($N88:U88)</f>
        <v>3142.2693321596607</v>
      </c>
      <c r="V101" s="714">
        <f>$Z89-SUM($N88:V88)</f>
        <v>2296.0563859318281</v>
      </c>
      <c r="W101" s="714">
        <f>$Z89-SUM($N88:W88)</f>
        <v>1376.8900257515525</v>
      </c>
      <c r="X101" s="714">
        <f>$Z89-SUM($N88:X88)</f>
        <v>485.62132259491227</v>
      </c>
      <c r="Y101" s="714">
        <f>$Z89-SUM($N88:Y88)</f>
        <v>-428.21418632252062</v>
      </c>
      <c r="Z101" s="711"/>
      <c r="AA101" s="714">
        <f>AM89-AA88</f>
        <v>9842.8089106552452</v>
      </c>
      <c r="AB101" s="714">
        <f>$AM89-SUM($AA88:AB88)</f>
        <v>8996.9404242786441</v>
      </c>
      <c r="AC101" s="714">
        <f>$AM89-SUM($AA88:AC88)</f>
        <v>8200.1363581147671</v>
      </c>
      <c r="AD101" s="714">
        <f>$AM89-SUM($AA88:AD88)</f>
        <v>7510.3743532555727</v>
      </c>
      <c r="AE101" s="714">
        <f>$AM89-SUM($AA88:AE88)</f>
        <v>6778.1012064480356</v>
      </c>
      <c r="AF101" s="714">
        <f>$AM89-SUM($AA88:AF88)</f>
        <v>5930.095823974214</v>
      </c>
      <c r="AG101" s="714">
        <f>$AM89-SUM($AA88:AG88)</f>
        <v>5048.9845595875122</v>
      </c>
      <c r="AH101" s="714">
        <f>$AM89-SUM($AA88:AH88)</f>
        <v>4168.1347076807278</v>
      </c>
      <c r="AI101" s="714">
        <f>$AM89-SUM($AA88:AI88)</f>
        <v>3325.9718302194633</v>
      </c>
      <c r="AJ101" s="714">
        <f>$AM89-SUM($AA88:AJ88)</f>
        <v>2415.1914209565311</v>
      </c>
      <c r="AK101" s="714">
        <f>$AM89-SUM($AA88:AK88)</f>
        <v>1534.0663928153826</v>
      </c>
      <c r="AL101" s="714">
        <f>$AM89-SUM($AA88:AL88)</f>
        <v>636.66386311993301</v>
      </c>
      <c r="AM101" s="711"/>
      <c r="AN101" s="714">
        <f>AN89-AN88</f>
        <v>-1186.8932821060698</v>
      </c>
      <c r="AO101" s="714">
        <f>AO89-AO88</f>
        <v>-1162.5669527110877</v>
      </c>
      <c r="AP101" s="714">
        <f t="shared" ref="AP101:AX101" si="43">AP89-AP88</f>
        <v>-1172.7519357879755</v>
      </c>
      <c r="AQ101" s="714">
        <f t="shared" si="43"/>
        <v>-1407.5393288030064</v>
      </c>
      <c r="AR101" s="714">
        <f t="shared" si="43"/>
        <v>-2844.4088281502354</v>
      </c>
      <c r="AS101" s="714">
        <f t="shared" si="43"/>
        <v>-3690.4256729592162</v>
      </c>
      <c r="AT101" s="714">
        <f t="shared" si="43"/>
        <v>-3814.1929955867836</v>
      </c>
      <c r="AU101" s="714">
        <f t="shared" si="43"/>
        <v>-3823.2129785845718</v>
      </c>
      <c r="AV101" s="714">
        <f t="shared" si="43"/>
        <v>-3523.9129000927041</v>
      </c>
      <c r="AW101" s="714">
        <f t="shared" si="43"/>
        <v>-3477.7255480167278</v>
      </c>
      <c r="AX101" s="714">
        <f t="shared" si="43"/>
        <v>-3400.7603508930679</v>
      </c>
      <c r="AY101" s="764"/>
      <c r="AZ101" s="764"/>
    </row>
    <row r="102" spans="2:52">
      <c r="C102" s="47"/>
      <c r="D102" s="366"/>
      <c r="E102" s="47"/>
      <c r="F102" s="47"/>
      <c r="N102" s="714"/>
      <c r="O102" s="714"/>
      <c r="P102" s="714"/>
      <c r="Q102" s="714"/>
      <c r="R102" s="714"/>
      <c r="S102" s="714"/>
      <c r="T102" s="714"/>
      <c r="U102" s="714"/>
      <c r="V102" s="714"/>
      <c r="W102" s="714"/>
      <c r="X102" s="714"/>
      <c r="Y102" s="714"/>
      <c r="Z102" s="711"/>
      <c r="AA102" s="714"/>
      <c r="AB102" s="714"/>
      <c r="AC102" s="714"/>
      <c r="AD102" s="714"/>
      <c r="AE102" s="714"/>
      <c r="AF102" s="714"/>
      <c r="AG102" s="714"/>
      <c r="AH102" s="714"/>
      <c r="AI102" s="714"/>
      <c r="AJ102" s="714"/>
      <c r="AK102" s="714"/>
      <c r="AL102" s="714"/>
      <c r="AM102" s="711"/>
      <c r="AN102" s="714"/>
      <c r="AO102" s="714"/>
      <c r="AP102" s="714"/>
      <c r="AQ102" s="714"/>
      <c r="AR102" s="714"/>
      <c r="AS102" s="714"/>
      <c r="AT102" s="714"/>
      <c r="AU102" s="714"/>
      <c r="AV102" s="714"/>
      <c r="AW102" s="714"/>
      <c r="AX102" s="714"/>
      <c r="AY102" s="764"/>
      <c r="AZ102" s="764"/>
    </row>
    <row r="103" spans="2:52">
      <c r="B103" t="s">
        <v>921</v>
      </c>
      <c r="C103" s="47"/>
      <c r="D103" s="366"/>
      <c r="E103" s="47"/>
      <c r="F103" s="47"/>
      <c r="N103" s="714"/>
      <c r="O103" s="714"/>
      <c r="P103" s="714"/>
      <c r="Q103" s="714"/>
      <c r="R103" s="714"/>
      <c r="S103" s="714"/>
      <c r="T103" s="714"/>
      <c r="U103" s="714"/>
      <c r="V103" s="714"/>
      <c r="W103" s="714"/>
      <c r="X103" s="714"/>
      <c r="Y103" s="714"/>
      <c r="Z103" s="711"/>
      <c r="AA103" s="714"/>
      <c r="AB103" s="714"/>
      <c r="AC103" s="714"/>
      <c r="AD103" s="714"/>
      <c r="AE103" s="714"/>
      <c r="AF103" s="714"/>
      <c r="AG103" s="714"/>
      <c r="AH103" s="714"/>
      <c r="AI103" s="714"/>
      <c r="AJ103" s="714"/>
      <c r="AK103" s="714"/>
      <c r="AL103" s="714"/>
      <c r="AM103" s="711"/>
      <c r="AN103" s="713"/>
      <c r="AO103" s="713"/>
      <c r="AP103" s="713"/>
      <c r="AQ103" s="713"/>
      <c r="AR103" s="713"/>
      <c r="AS103" s="713"/>
      <c r="AT103" s="713"/>
      <c r="AU103" s="713"/>
      <c r="AV103" s="713"/>
      <c r="AW103" s="713"/>
      <c r="AX103" s="713"/>
      <c r="AY103" s="914"/>
      <c r="AZ103" s="914"/>
    </row>
    <row r="104" spans="2:52">
      <c r="C104" s="47"/>
      <c r="D104" s="366"/>
      <c r="E104" s="47"/>
      <c r="F104" s="47"/>
      <c r="N104" s="714"/>
      <c r="O104" s="714"/>
      <c r="P104" s="714"/>
      <c r="Q104" s="714"/>
      <c r="R104" s="714"/>
      <c r="S104" s="714"/>
      <c r="T104" s="714"/>
      <c r="U104" s="714"/>
      <c r="V104" s="714"/>
      <c r="W104" s="714"/>
      <c r="X104" s="714"/>
      <c r="Y104" s="714"/>
      <c r="Z104" s="711"/>
      <c r="AA104" s="714"/>
      <c r="AB104" s="714"/>
      <c r="AC104" s="714"/>
      <c r="AD104" s="714"/>
      <c r="AE104" s="714"/>
      <c r="AF104" s="714"/>
      <c r="AG104" s="714"/>
      <c r="AH104" s="714"/>
      <c r="AI104" s="714"/>
      <c r="AJ104" s="714"/>
      <c r="AK104" s="714"/>
      <c r="AL104" s="714"/>
      <c r="AM104" s="711"/>
      <c r="AN104" s="714"/>
      <c r="AO104" s="714"/>
      <c r="AP104" s="714"/>
      <c r="AQ104" s="714"/>
      <c r="AR104" s="714"/>
      <c r="AS104" s="714"/>
      <c r="AT104" s="714"/>
      <c r="AU104" s="714"/>
      <c r="AV104" s="714"/>
      <c r="AW104" s="714"/>
      <c r="AX104" s="714"/>
      <c r="AY104" s="764"/>
      <c r="AZ104" s="764"/>
    </row>
    <row r="105" spans="2:52">
      <c r="B105" t="s">
        <v>3</v>
      </c>
      <c r="C105" s="47"/>
      <c r="D105" s="366"/>
      <c r="E105" s="47"/>
      <c r="F105" s="47"/>
      <c r="N105" s="714"/>
      <c r="O105" s="714"/>
      <c r="P105" s="714"/>
      <c r="Q105" s="714"/>
      <c r="R105" s="714"/>
      <c r="S105" s="714"/>
      <c r="T105" s="714"/>
      <c r="U105" s="714"/>
      <c r="V105" s="714"/>
      <c r="W105" s="714"/>
      <c r="X105" s="714"/>
      <c r="Y105" s="714"/>
      <c r="Z105" s="711"/>
      <c r="AA105" s="714"/>
      <c r="AB105" s="714"/>
      <c r="AC105" s="714"/>
      <c r="AD105" s="714"/>
      <c r="AE105" s="714"/>
      <c r="AF105" s="714"/>
      <c r="AG105" s="714"/>
      <c r="AH105" s="714"/>
      <c r="AI105" s="714"/>
      <c r="AJ105" s="714"/>
      <c r="AK105" s="714"/>
      <c r="AL105" s="714"/>
      <c r="AM105" s="711"/>
      <c r="AN105" s="714"/>
      <c r="AO105" s="714"/>
      <c r="AP105" s="714"/>
      <c r="AQ105" s="714"/>
      <c r="AR105" s="714"/>
      <c r="AS105" s="714"/>
      <c r="AT105" s="714"/>
      <c r="AU105" s="714"/>
      <c r="AV105" s="714"/>
      <c r="AW105" s="714"/>
      <c r="AX105" s="714"/>
      <c r="AY105" s="764"/>
      <c r="AZ105" s="764"/>
    </row>
    <row r="106" spans="2:52">
      <c r="B106" t="s">
        <v>510</v>
      </c>
      <c r="C106" s="47"/>
      <c r="D106" s="366"/>
      <c r="E106" s="47"/>
      <c r="F106" s="47"/>
      <c r="L106" s="544">
        <v>31393</v>
      </c>
      <c r="N106" s="714"/>
      <c r="O106" s="714"/>
      <c r="P106" s="714"/>
      <c r="Q106" s="714"/>
      <c r="R106" s="714"/>
      <c r="S106" s="714"/>
      <c r="T106" s="714"/>
      <c r="U106" s="714"/>
      <c r="V106" s="714"/>
      <c r="W106" s="714"/>
      <c r="X106" s="714"/>
      <c r="Y106" s="714">
        <f>IF(L106+Y99&gt;0,L106+Y99,0)</f>
        <v>36714.528964112949</v>
      </c>
      <c r="Z106" s="711"/>
      <c r="AA106" s="714"/>
      <c r="AB106" s="714"/>
      <c r="AC106" s="714"/>
      <c r="AD106" s="714"/>
      <c r="AE106" s="714"/>
      <c r="AF106" s="714"/>
      <c r="AG106" s="714"/>
      <c r="AH106" s="714"/>
      <c r="AI106" s="714"/>
      <c r="AJ106" s="714"/>
      <c r="AK106" s="714"/>
      <c r="AL106" s="714">
        <f>IF(Y106+AL99&gt;0,Y106+AL99,0)</f>
        <v>50445.719968632511</v>
      </c>
      <c r="AM106" s="711"/>
      <c r="AN106" s="714">
        <f>MAX(AL106+AN99,0)</f>
        <v>54352.577800157225</v>
      </c>
      <c r="AO106" s="714">
        <f>MAX(AN106+AO99+AO103,0)</f>
        <v>60500.253273994873</v>
      </c>
      <c r="AP106" s="714">
        <f t="shared" ref="AP106:AX106" si="44">MAX(AO106+AP99+AP103,0)</f>
        <v>62555.529227928979</v>
      </c>
      <c r="AQ106" s="714">
        <f t="shared" si="44"/>
        <v>67098.737740700351</v>
      </c>
      <c r="AR106" s="714">
        <f t="shared" si="44"/>
        <v>59599.154209416331</v>
      </c>
      <c r="AS106" s="714">
        <f t="shared" si="44"/>
        <v>53725.991189044042</v>
      </c>
      <c r="AT106" s="714">
        <f t="shared" si="44"/>
        <v>45986.4100350792</v>
      </c>
      <c r="AU106" s="714">
        <f t="shared" si="44"/>
        <v>40201.900053604106</v>
      </c>
      <c r="AV106" s="714">
        <f t="shared" si="44"/>
        <v>32455.797559052116</v>
      </c>
      <c r="AW106" s="714">
        <f t="shared" si="44"/>
        <v>26831.097730162306</v>
      </c>
      <c r="AX106" s="714">
        <f t="shared" si="44"/>
        <v>20052.753380300674</v>
      </c>
      <c r="AY106" s="764"/>
      <c r="AZ106" s="764"/>
    </row>
    <row r="107" spans="2:52">
      <c r="B107" t="s">
        <v>888</v>
      </c>
      <c r="C107" s="47"/>
      <c r="D107" s="366"/>
      <c r="E107" s="47"/>
      <c r="F107" s="47"/>
      <c r="N107" s="714"/>
      <c r="O107" s="714"/>
      <c r="P107" s="714"/>
      <c r="Q107" s="714"/>
      <c r="R107" s="714"/>
      <c r="S107" s="714"/>
      <c r="T107" s="714"/>
      <c r="U107" s="714"/>
      <c r="V107" s="714"/>
      <c r="W107" s="714"/>
      <c r="X107" s="714"/>
      <c r="Y107" s="714">
        <f>IF(L107+Y100&gt;0,L107+Y100,0)</f>
        <v>0</v>
      </c>
      <c r="Z107" s="711"/>
      <c r="AA107" s="714"/>
      <c r="AB107" s="714"/>
      <c r="AC107" s="714"/>
      <c r="AD107" s="714"/>
      <c r="AE107" s="714"/>
      <c r="AF107" s="714"/>
      <c r="AG107" s="714"/>
      <c r="AH107" s="714"/>
      <c r="AI107" s="714"/>
      <c r="AJ107" s="714"/>
      <c r="AK107" s="714"/>
      <c r="AL107" s="714">
        <f>IF(Y107+AL100&gt;0,Y107+AL100,0)</f>
        <v>361.547539051895</v>
      </c>
      <c r="AM107" s="711"/>
      <c r="AN107" s="714">
        <f>MAX(AL107+AN100,0)</f>
        <v>61.52941533871126</v>
      </c>
      <c r="AO107" s="714">
        <f t="shared" ref="AO107:AX107" si="45">MAX(AN107+AO100,0)</f>
        <v>0</v>
      </c>
      <c r="AP107" s="714">
        <f t="shared" si="45"/>
        <v>0</v>
      </c>
      <c r="AQ107" s="714">
        <f t="shared" si="45"/>
        <v>0</v>
      </c>
      <c r="AR107" s="714">
        <f t="shared" si="45"/>
        <v>0</v>
      </c>
      <c r="AS107" s="714">
        <f t="shared" si="45"/>
        <v>0</v>
      </c>
      <c r="AT107" s="714">
        <f t="shared" si="45"/>
        <v>0</v>
      </c>
      <c r="AU107" s="714">
        <f t="shared" si="45"/>
        <v>0</v>
      </c>
      <c r="AV107" s="714">
        <f t="shared" si="45"/>
        <v>0</v>
      </c>
      <c r="AW107" s="714">
        <f t="shared" si="45"/>
        <v>0</v>
      </c>
      <c r="AX107" s="714">
        <f t="shared" si="45"/>
        <v>0</v>
      </c>
      <c r="AY107" s="764"/>
      <c r="AZ107" s="764"/>
    </row>
    <row r="108" spans="2:52">
      <c r="B108" t="s">
        <v>893</v>
      </c>
      <c r="C108" s="47"/>
      <c r="D108" s="366"/>
      <c r="E108" s="47"/>
      <c r="F108" s="47"/>
      <c r="N108" s="714"/>
      <c r="O108" s="714"/>
      <c r="P108" s="714"/>
      <c r="Q108" s="714"/>
      <c r="R108" s="714"/>
      <c r="S108" s="714"/>
      <c r="T108" s="714"/>
      <c r="U108" s="714"/>
      <c r="V108" s="714"/>
      <c r="W108" s="714"/>
      <c r="X108" s="714"/>
      <c r="Y108" s="714">
        <f>IF(L108+Y101&gt;0,L108+Y101,0)</f>
        <v>0</v>
      </c>
      <c r="Z108" s="711"/>
      <c r="AA108" s="714"/>
      <c r="AB108" s="714"/>
      <c r="AC108" s="714"/>
      <c r="AD108" s="714"/>
      <c r="AE108" s="714"/>
      <c r="AF108" s="714"/>
      <c r="AG108" s="714"/>
      <c r="AH108" s="714"/>
      <c r="AI108" s="714"/>
      <c r="AJ108" s="714"/>
      <c r="AK108" s="714"/>
      <c r="AL108" s="714">
        <f>IF(Y108+AL101&gt;0,Y108+AL101,0)</f>
        <v>636.66386311993301</v>
      </c>
      <c r="AM108" s="711"/>
      <c r="AN108" s="714">
        <f>MAX(AL108+AN101,0)</f>
        <v>0</v>
      </c>
      <c r="AO108" s="714">
        <f t="shared" ref="AO108:AX108" si="46">MAX(AN108+AO101,0)</f>
        <v>0</v>
      </c>
      <c r="AP108" s="714">
        <f t="shared" si="46"/>
        <v>0</v>
      </c>
      <c r="AQ108" s="714">
        <f t="shared" si="46"/>
        <v>0</v>
      </c>
      <c r="AR108" s="714">
        <f t="shared" si="46"/>
        <v>0</v>
      </c>
      <c r="AS108" s="714">
        <f t="shared" si="46"/>
        <v>0</v>
      </c>
      <c r="AT108" s="714">
        <f t="shared" si="46"/>
        <v>0</v>
      </c>
      <c r="AU108" s="714">
        <f t="shared" si="46"/>
        <v>0</v>
      </c>
      <c r="AV108" s="714">
        <f t="shared" si="46"/>
        <v>0</v>
      </c>
      <c r="AW108" s="714">
        <f t="shared" si="46"/>
        <v>0</v>
      </c>
      <c r="AX108" s="714">
        <f t="shared" si="46"/>
        <v>0</v>
      </c>
      <c r="AY108" s="764"/>
      <c r="AZ108" s="764"/>
    </row>
    <row r="109" spans="2:52">
      <c r="C109" s="47"/>
      <c r="D109" s="366"/>
      <c r="E109" s="47"/>
      <c r="F109" s="47"/>
      <c r="N109" s="714"/>
      <c r="O109" s="714"/>
      <c r="P109" s="714"/>
      <c r="Q109" s="714"/>
      <c r="R109" s="714"/>
      <c r="S109" s="714"/>
      <c r="T109" s="714"/>
      <c r="U109" s="714"/>
      <c r="V109" s="714"/>
      <c r="W109" s="714"/>
      <c r="X109" s="714"/>
      <c r="Y109" s="714"/>
      <c r="Z109" s="711"/>
      <c r="AA109" s="714"/>
      <c r="AB109" s="714"/>
      <c r="AC109" s="714"/>
      <c r="AD109" s="714"/>
      <c r="AE109" s="714"/>
      <c r="AF109" s="714"/>
      <c r="AG109" s="714"/>
      <c r="AH109" s="714"/>
      <c r="AI109" s="714"/>
      <c r="AJ109" s="714"/>
      <c r="AK109" s="714"/>
      <c r="AL109" s="714"/>
      <c r="AM109" s="711"/>
      <c r="AN109" s="714"/>
      <c r="AO109" s="714"/>
      <c r="AP109" s="714"/>
      <c r="AQ109" s="714"/>
      <c r="AR109" s="714"/>
      <c r="AS109" s="714"/>
      <c r="AT109" s="714"/>
      <c r="AU109" s="714"/>
      <c r="AV109" s="714"/>
      <c r="AW109" s="714"/>
      <c r="AX109" s="714"/>
      <c r="AY109" s="764"/>
      <c r="AZ109" s="764"/>
    </row>
    <row r="110" spans="2:52">
      <c r="B110" t="s">
        <v>4</v>
      </c>
      <c r="C110" s="47"/>
      <c r="D110" s="366"/>
      <c r="E110" s="47"/>
      <c r="F110" s="47"/>
      <c r="N110" s="714"/>
      <c r="O110" s="714"/>
      <c r="P110" s="714"/>
      <c r="Q110" s="714"/>
      <c r="R110" s="714"/>
      <c r="S110" s="714"/>
      <c r="T110" s="714"/>
      <c r="U110" s="714"/>
      <c r="V110" s="714"/>
      <c r="W110" s="714"/>
      <c r="X110" s="714"/>
      <c r="Y110" s="714"/>
      <c r="Z110" s="711"/>
      <c r="AA110" s="714"/>
      <c r="AB110" s="714"/>
      <c r="AC110" s="714"/>
      <c r="AD110" s="714"/>
      <c r="AE110" s="714"/>
      <c r="AF110" s="714"/>
      <c r="AG110" s="714"/>
      <c r="AH110" s="714"/>
      <c r="AI110" s="714"/>
      <c r="AJ110" s="714"/>
      <c r="AK110" s="714"/>
      <c r="AL110" s="714"/>
      <c r="AM110" s="711"/>
      <c r="AN110" s="714"/>
      <c r="AO110" s="714"/>
      <c r="AP110" s="714"/>
      <c r="AQ110" s="714"/>
      <c r="AR110" s="714"/>
      <c r="AS110" s="714"/>
      <c r="AT110" s="714"/>
      <c r="AU110" s="714"/>
      <c r="AV110" s="714"/>
      <c r="AW110" s="714"/>
      <c r="AX110" s="714"/>
      <c r="AY110" s="764"/>
      <c r="AZ110" s="764"/>
    </row>
    <row r="111" spans="2:52">
      <c r="B111" t="s">
        <v>510</v>
      </c>
      <c r="C111" s="47"/>
      <c r="D111" s="366"/>
      <c r="E111" s="47"/>
      <c r="F111" s="47"/>
      <c r="N111" s="714"/>
      <c r="O111" s="714"/>
      <c r="P111" s="714"/>
      <c r="Q111" s="714"/>
      <c r="R111" s="714"/>
      <c r="S111" s="714"/>
      <c r="T111" s="714"/>
      <c r="U111" s="714"/>
      <c r="V111" s="714"/>
      <c r="W111" s="714"/>
      <c r="X111" s="714"/>
      <c r="Y111" s="714">
        <f>(IF(Y99+L106&lt;0,(Y99+L106)*Y92,0))/1000000</f>
        <v>0</v>
      </c>
      <c r="Z111" s="711"/>
      <c r="AA111" s="714"/>
      <c r="AB111" s="714"/>
      <c r="AC111" s="714"/>
      <c r="AD111" s="714"/>
      <c r="AE111" s="714"/>
      <c r="AF111" s="714"/>
      <c r="AG111" s="714"/>
      <c r="AH111" s="714"/>
      <c r="AI111" s="714"/>
      <c r="AJ111" s="714"/>
      <c r="AK111" s="714"/>
      <c r="AL111" s="714">
        <f>(IF(AL99+Y106&lt;0,(AL99+Y106)*AL92,0))/1000000</f>
        <v>0</v>
      </c>
      <c r="AM111" s="711"/>
      <c r="AN111" s="714">
        <f>(IF(AN99+AL106&lt;0,(AN99+AL106)*AN92,0))/1000000</f>
        <v>0</v>
      </c>
      <c r="AO111" s="714">
        <f>(IF(AO99+AN106&lt;0,(AO99+AN106)*AO92,0))/1000000</f>
        <v>0</v>
      </c>
      <c r="AP111" s="714">
        <f t="shared" ref="AP111:AX111" si="47">(IF(AP99+AO106&lt;0,(AP99+AO106)*AP92,0))/1000000</f>
        <v>0</v>
      </c>
      <c r="AQ111" s="714">
        <f t="shared" si="47"/>
        <v>0</v>
      </c>
      <c r="AR111" s="714">
        <f t="shared" si="47"/>
        <v>0</v>
      </c>
      <c r="AS111" s="714">
        <f t="shared" si="47"/>
        <v>0</v>
      </c>
      <c r="AT111" s="714">
        <f t="shared" si="47"/>
        <v>0</v>
      </c>
      <c r="AU111" s="714">
        <f t="shared" si="47"/>
        <v>0</v>
      </c>
      <c r="AV111" s="714">
        <f t="shared" si="47"/>
        <v>0</v>
      </c>
      <c r="AW111" s="714">
        <f t="shared" si="47"/>
        <v>0</v>
      </c>
      <c r="AX111" s="714">
        <f t="shared" si="47"/>
        <v>0</v>
      </c>
      <c r="AY111" s="764"/>
      <c r="AZ111" s="764"/>
    </row>
    <row r="112" spans="2:52">
      <c r="B112" t="s">
        <v>888</v>
      </c>
      <c r="C112" s="47"/>
      <c r="D112" s="366"/>
      <c r="E112" s="47"/>
      <c r="F112" s="47"/>
      <c r="N112" s="714"/>
      <c r="O112" s="714"/>
      <c r="P112" s="714"/>
      <c r="Q112" s="714"/>
      <c r="R112" s="714"/>
      <c r="S112" s="714"/>
      <c r="T112" s="714"/>
      <c r="U112" s="714"/>
      <c r="V112" s="714"/>
      <c r="W112" s="714"/>
      <c r="X112" s="714"/>
      <c r="Y112" s="714">
        <f>(IF(Y100+L107&lt;0,(Y100+L107)*Y93,0))/1000000</f>
        <v>0</v>
      </c>
      <c r="Z112" s="711"/>
      <c r="AA112" s="714"/>
      <c r="AB112" s="714"/>
      <c r="AC112" s="714"/>
      <c r="AD112" s="714"/>
      <c r="AE112" s="714"/>
      <c r="AF112" s="714"/>
      <c r="AG112" s="714"/>
      <c r="AH112" s="714"/>
      <c r="AI112" s="714"/>
      <c r="AJ112" s="714"/>
      <c r="AK112" s="714"/>
      <c r="AL112" s="714">
        <f>(IF(AL100+Y107&lt;0,(AL100+Y107)*AL93,0))/1000000</f>
        <v>0</v>
      </c>
      <c r="AM112" s="711"/>
      <c r="AN112" s="714">
        <f>(IF(AN100+AL107&lt;0,(AN100+AL107)*AN93,0))/1000000</f>
        <v>0</v>
      </c>
      <c r="AO112" s="714">
        <f>(IF(AO100+AN107&lt;0,(AO100+AN107)*AO93,0))/1000000</f>
        <v>-3.9229432446021674E-3</v>
      </c>
      <c r="AP112" s="714">
        <f t="shared" ref="AP112:AX112" si="48">(IF(AP100+AO107&lt;0,(AP100+AO107)*AP93,0))/1000000</f>
        <v>-3.5104540567036588E-3</v>
      </c>
      <c r="AQ112" s="714">
        <f t="shared" si="48"/>
        <v>-5.8971516830658771E-3</v>
      </c>
      <c r="AR112" s="714">
        <f t="shared" si="48"/>
        <v>-1.5651019365491459E-2</v>
      </c>
      <c r="AS112" s="714">
        <f t="shared" si="48"/>
        <v>-1.9774215554167779E-2</v>
      </c>
      <c r="AT112" s="714">
        <f t="shared" si="48"/>
        <v>-2.1024920278187142E-2</v>
      </c>
      <c r="AU112" s="714">
        <f t="shared" si="48"/>
        <v>-2.0535630259879492E-2</v>
      </c>
      <c r="AV112" s="714">
        <f t="shared" si="48"/>
        <v>-2.0285859353284849E-2</v>
      </c>
      <c r="AW112" s="714">
        <f t="shared" si="48"/>
        <v>-2.1237288343785004E-2</v>
      </c>
      <c r="AX112" s="714">
        <f t="shared" si="48"/>
        <v>-2.1397972760231622E-2</v>
      </c>
      <c r="AY112" s="764"/>
      <c r="AZ112" s="764"/>
    </row>
    <row r="113" spans="1:52">
      <c r="B113" t="s">
        <v>893</v>
      </c>
      <c r="C113" s="47"/>
      <c r="D113" s="366"/>
      <c r="E113" s="47"/>
      <c r="F113" s="47"/>
      <c r="N113" s="714"/>
      <c r="O113" s="714"/>
      <c r="P113" s="714"/>
      <c r="Q113" s="714"/>
      <c r="R113" s="714"/>
      <c r="S113" s="714"/>
      <c r="T113" s="714"/>
      <c r="U113" s="714"/>
      <c r="V113" s="714"/>
      <c r="W113" s="714"/>
      <c r="X113" s="714"/>
      <c r="Y113" s="714">
        <f>(IF(Y101+L108&lt;0,(Y101+L108)*Y94,0))/1000000</f>
        <v>-1.5933849873060991E-2</v>
      </c>
      <c r="Z113" s="711"/>
      <c r="AA113" s="714"/>
      <c r="AB113" s="714"/>
      <c r="AC113" s="714"/>
      <c r="AD113" s="714"/>
      <c r="AE113" s="714"/>
      <c r="AF113" s="714"/>
      <c r="AG113" s="714"/>
      <c r="AH113" s="714"/>
      <c r="AI113" s="714"/>
      <c r="AJ113" s="714"/>
      <c r="AK113" s="714"/>
      <c r="AL113" s="714">
        <f>(IF(AL101+Y108&lt;0,(AL101+Y108)*AL94,0))/1000000</f>
        <v>0</v>
      </c>
      <c r="AM113" s="711"/>
      <c r="AN113" s="714">
        <f>(IF(AN101+AL108&lt;0,(AN101+AL108)*AN94,0))/1000000</f>
        <v>-2.047403668047415E-2</v>
      </c>
      <c r="AO113" s="714">
        <f>(IF(AO101+AN108&lt;0,(AO101+AN108)*AO94,0))/1000000</f>
        <v>-4.325911631037957E-2</v>
      </c>
      <c r="AP113" s="714">
        <f t="shared" ref="AP113:AX113" si="49">(IF(AP101+AO108&lt;0,(AP101+AO108)*AP94,0))/1000000</f>
        <v>-4.4681848753521866E-2</v>
      </c>
      <c r="AQ113" s="714">
        <f t="shared" si="49"/>
        <v>-5.4978486183045433E-2</v>
      </c>
      <c r="AR113" s="714">
        <f t="shared" si="49"/>
        <v>-0.11400390583226143</v>
      </c>
      <c r="AS113" s="714">
        <f t="shared" si="49"/>
        <v>-0.15182411218554215</v>
      </c>
      <c r="AT113" s="714">
        <f t="shared" si="49"/>
        <v>-0.16111151213358577</v>
      </c>
      <c r="AU113" s="714">
        <f t="shared" si="49"/>
        <v>-0.16588921114078459</v>
      </c>
      <c r="AV113" s="714">
        <f t="shared" si="49"/>
        <v>-0.15706079795713182</v>
      </c>
      <c r="AW113" s="714">
        <f t="shared" si="49"/>
        <v>-0.15924505284368595</v>
      </c>
      <c r="AX113" s="714">
        <f t="shared" si="49"/>
        <v>-0.16007378971653671</v>
      </c>
      <c r="AY113" s="764"/>
      <c r="AZ113" s="764"/>
    </row>
    <row r="114" spans="1:52">
      <c r="C114" s="47"/>
      <c r="D114" s="366"/>
      <c r="E114" s="47"/>
      <c r="F114" s="47"/>
      <c r="N114" s="714"/>
      <c r="O114" s="714"/>
      <c r="P114" s="714"/>
      <c r="Q114" s="714"/>
      <c r="R114" s="714"/>
      <c r="S114" s="714"/>
      <c r="T114" s="714"/>
      <c r="U114" s="714"/>
      <c r="V114" s="714"/>
      <c r="W114" s="714"/>
      <c r="X114" s="714"/>
      <c r="Y114" s="714"/>
      <c r="Z114" s="711"/>
      <c r="AA114" s="714"/>
      <c r="AB114" s="714"/>
      <c r="AC114" s="714"/>
      <c r="AD114" s="714"/>
      <c r="AE114" s="714"/>
      <c r="AF114" s="714"/>
      <c r="AG114" s="714"/>
      <c r="AH114" s="714"/>
      <c r="AI114" s="714"/>
      <c r="AJ114" s="714"/>
      <c r="AK114" s="714"/>
      <c r="AL114" s="714"/>
      <c r="AM114" s="711"/>
      <c r="AN114" s="714"/>
      <c r="AO114" s="714"/>
      <c r="AP114" s="714"/>
      <c r="AQ114" s="714"/>
      <c r="AR114" s="714"/>
      <c r="AS114" s="714"/>
      <c r="AT114" s="714"/>
      <c r="AU114" s="714"/>
      <c r="AV114" s="714"/>
      <c r="AW114" s="714"/>
      <c r="AX114" s="714"/>
      <c r="AY114" s="764"/>
      <c r="AZ114" s="764"/>
    </row>
    <row r="115" spans="1:52">
      <c r="B115" t="s">
        <v>96</v>
      </c>
      <c r="C115" s="47"/>
      <c r="D115" s="366"/>
      <c r="E115" s="47"/>
      <c r="F115" s="47"/>
      <c r="N115" s="715">
        <f>(L117*1000000)/(L106+Z83)</f>
        <v>4.3552134189332774</v>
      </c>
      <c r="O115" s="715">
        <f>N115</f>
        <v>4.3552134189332774</v>
      </c>
      <c r="P115" s="715">
        <f t="shared" ref="P115:Y115" si="50">O115</f>
        <v>4.3552134189332774</v>
      </c>
      <c r="Q115" s="715">
        <f t="shared" si="50"/>
        <v>4.3552134189332774</v>
      </c>
      <c r="R115" s="715">
        <f t="shared" si="50"/>
        <v>4.3552134189332774</v>
      </c>
      <c r="S115" s="715">
        <f t="shared" si="50"/>
        <v>4.3552134189332774</v>
      </c>
      <c r="T115" s="715">
        <f t="shared" si="50"/>
        <v>4.3552134189332774</v>
      </c>
      <c r="U115" s="715">
        <f t="shared" si="50"/>
        <v>4.3552134189332774</v>
      </c>
      <c r="V115" s="715">
        <f t="shared" si="50"/>
        <v>4.3552134189332774</v>
      </c>
      <c r="W115" s="715">
        <f t="shared" si="50"/>
        <v>4.3552134189332774</v>
      </c>
      <c r="X115" s="715">
        <f t="shared" si="50"/>
        <v>4.3552134189332774</v>
      </c>
      <c r="Y115" s="715">
        <f t="shared" si="50"/>
        <v>4.3552134189332774</v>
      </c>
      <c r="Z115" s="711"/>
      <c r="AA115" s="715">
        <f>(Y117*1000000)/(Y106+AM83)</f>
        <v>2.6004830920281012</v>
      </c>
      <c r="AB115" s="715">
        <f>AA115</f>
        <v>2.6004830920281012</v>
      </c>
      <c r="AC115" s="715">
        <f t="shared" ref="AC115:AL115" si="51">AB115</f>
        <v>2.6004830920281012</v>
      </c>
      <c r="AD115" s="715">
        <f t="shared" si="51"/>
        <v>2.6004830920281012</v>
      </c>
      <c r="AE115" s="715">
        <f t="shared" si="51"/>
        <v>2.6004830920281012</v>
      </c>
      <c r="AF115" s="715">
        <f t="shared" si="51"/>
        <v>2.6004830920281012</v>
      </c>
      <c r="AG115" s="715">
        <f t="shared" si="51"/>
        <v>2.6004830920281012</v>
      </c>
      <c r="AH115" s="715">
        <f t="shared" si="51"/>
        <v>2.6004830920281012</v>
      </c>
      <c r="AI115" s="715">
        <f t="shared" si="51"/>
        <v>2.6004830920281012</v>
      </c>
      <c r="AJ115" s="715">
        <f t="shared" si="51"/>
        <v>2.6004830920281012</v>
      </c>
      <c r="AK115" s="715">
        <f t="shared" si="51"/>
        <v>2.6004830920281012</v>
      </c>
      <c r="AL115" s="715">
        <f t="shared" si="51"/>
        <v>2.6004830920281012</v>
      </c>
      <c r="AM115" s="711"/>
      <c r="AN115" s="714">
        <f>(AL117*1000000)/(AL106+AN83)</f>
        <v>1.9362613729305969</v>
      </c>
      <c r="AO115" s="714">
        <f>(AN117*1000000)/(AN106+AO83)</f>
        <v>1.4685832201910529</v>
      </c>
      <c r="AP115" s="714">
        <f>(AO117*1000000)/(AO106+AP83)</f>
        <v>1.1418331582825116</v>
      </c>
      <c r="AQ115" s="714">
        <f t="shared" ref="AQ115:AX115" si="52">(AP117*1000000)/(AP106+AQ83)</f>
        <v>0.89471836339942223</v>
      </c>
      <c r="AR115" s="714">
        <f t="shared" si="52"/>
        <v>0.71099096002178042</v>
      </c>
      <c r="AS115" s="714">
        <f t="shared" si="52"/>
        <v>0.55059094544281817</v>
      </c>
      <c r="AT115" s="714">
        <f t="shared" si="52"/>
        <v>0.41668366542203145</v>
      </c>
      <c r="AU115" s="714">
        <f t="shared" si="52"/>
        <v>0.30254182301089488</v>
      </c>
      <c r="AV115" s="714">
        <f t="shared" si="52"/>
        <v>0.21136927464914421</v>
      </c>
      <c r="AW115" s="714">
        <f t="shared" si="52"/>
        <v>0.13775543555913239</v>
      </c>
      <c r="AX115" s="714">
        <f t="shared" si="52"/>
        <v>8.3696020874145405E-2</v>
      </c>
      <c r="AY115" s="764"/>
      <c r="AZ115" s="764"/>
    </row>
    <row r="116" spans="1:52">
      <c r="B116" t="s">
        <v>97</v>
      </c>
      <c r="C116" s="47"/>
      <c r="D116" s="366"/>
      <c r="E116" s="47"/>
      <c r="F116" s="47"/>
      <c r="N116" s="714">
        <f>IF(N82*N115/1000000&lt;=L117,N82*N115/1000000,L117)</f>
        <v>7.6820392891954505E-3</v>
      </c>
      <c r="O116" s="714">
        <f>IF(O82*O115/1000000&lt;=N117,O82*O115/1000000,N117)</f>
        <v>6.8834353927498962E-3</v>
      </c>
      <c r="P116" s="714">
        <f>IF(P82*P115/1000000&lt;=O117,P82*P115/1000000,O117)</f>
        <v>7.444097902796579E-3</v>
      </c>
      <c r="Q116" s="714">
        <f t="shared" ref="Q116:Y116" si="53">IF(Q82*Q115/1000000&lt;=P117,Q82*Q115/1000000,P117)</f>
        <v>6.1876641044190227E-3</v>
      </c>
      <c r="R116" s="714">
        <f t="shared" si="53"/>
        <v>1.5636355005466906E-2</v>
      </c>
      <c r="S116" s="714">
        <f t="shared" si="53"/>
        <v>7.3290495654324368E-3</v>
      </c>
      <c r="T116" s="714">
        <f t="shared" si="53"/>
        <v>9.6395203964546872E-3</v>
      </c>
      <c r="U116" s="714">
        <f t="shared" si="53"/>
        <v>7.2984946833338053E-3</v>
      </c>
      <c r="V116" s="714">
        <f t="shared" si="53"/>
        <v>3.8842623513196633E-3</v>
      </c>
      <c r="W116" s="714">
        <f t="shared" si="53"/>
        <v>4.1487683647729269E-3</v>
      </c>
      <c r="X116" s="714">
        <f t="shared" si="53"/>
        <v>4.0144049862864701E-3</v>
      </c>
      <c r="Y116" s="714">
        <f t="shared" si="53"/>
        <v>4.1031487434529746E-3</v>
      </c>
      <c r="Z116" s="711">
        <f>SUM(N116:Y116)</f>
        <v>8.4251240785680831E-2</v>
      </c>
      <c r="AA116" s="714">
        <f>IF(AA82*AA115/1000000&lt;=Y117,AA82*AA115/1000000,Y117)</f>
        <v>2.6015030335303627E-3</v>
      </c>
      <c r="AB116" s="714">
        <f t="shared" ref="AB116:AL116" si="54">IF(AB82*AB115/1000000&lt;=AA117,AB82*AB115/1000000,AA117)</f>
        <v>2.336601525809522E-3</v>
      </c>
      <c r="AC116" s="714">
        <f t="shared" si="54"/>
        <v>2.3261062813364755E-3</v>
      </c>
      <c r="AD116" s="714">
        <f t="shared" si="54"/>
        <v>2.0718721197841411E-3</v>
      </c>
      <c r="AE116" s="714">
        <f t="shared" si="54"/>
        <v>1.9953556517675716E-3</v>
      </c>
      <c r="AF116" s="714">
        <f t="shared" si="54"/>
        <v>2.4050494829547173E-3</v>
      </c>
      <c r="AG116" s="714">
        <f t="shared" si="54"/>
        <v>2.5053019928722594E-3</v>
      </c>
      <c r="AH116" s="714">
        <f t="shared" si="54"/>
        <v>2.4841898861380756E-3</v>
      </c>
      <c r="AI116" s="714">
        <f t="shared" si="54"/>
        <v>2.4086590883452765E-3</v>
      </c>
      <c r="AJ116" s="714">
        <f t="shared" si="54"/>
        <v>2.5788007198638266E-3</v>
      </c>
      <c r="AK116" s="714">
        <f t="shared" si="54"/>
        <v>2.4787001735277598E-3</v>
      </c>
      <c r="AL116" s="714">
        <f t="shared" si="54"/>
        <v>2.524227414776026E-3</v>
      </c>
      <c r="AM116" s="711">
        <f>SUM(AA116:AL116)</f>
        <v>2.8716367370706014E-2</v>
      </c>
      <c r="AN116" s="714">
        <f>IF(AN82*AN115/1000000&lt;=AL117,AN82*AN115/1000000,AL117)</f>
        <v>2.5942444929963709E-2</v>
      </c>
      <c r="AO116" s="714">
        <f t="shared" ref="AO116:AX116" si="55">IF(AO82*AO115/1000000&lt;=AN117,AO82*AO115/1000000,AN117)</f>
        <v>1.6391140138151811E-2</v>
      </c>
      <c r="AP116" s="714">
        <f t="shared" si="55"/>
        <v>1.7421679269137583E-2</v>
      </c>
      <c r="AQ116" s="714">
        <f t="shared" si="55"/>
        <v>1.1393504688833652E-2</v>
      </c>
      <c r="AR116" s="714">
        <f t="shared" si="55"/>
        <v>1.7660012949687397E-2</v>
      </c>
      <c r="AS116" s="714">
        <f t="shared" si="55"/>
        <v>1.2793415584210779E-2</v>
      </c>
      <c r="AT116" s="714">
        <f t="shared" si="55"/>
        <v>1.0419258390610982E-2</v>
      </c>
      <c r="AU116" s="714">
        <f t="shared" si="55"/>
        <v>6.9990297622981121E-3</v>
      </c>
      <c r="AV116" s="714">
        <f t="shared" si="55"/>
        <v>5.3025977425028691E-3</v>
      </c>
      <c r="AW116" s="714">
        <f t="shared" si="55"/>
        <v>3.1640288338681544E-3</v>
      </c>
      <c r="AX116" s="714">
        <f t="shared" si="55"/>
        <v>2.0177938888464217E-3</v>
      </c>
      <c r="AY116" s="764"/>
      <c r="AZ116" s="764"/>
    </row>
    <row r="117" spans="1:52">
      <c r="B117" t="s">
        <v>917</v>
      </c>
      <c r="C117" s="47"/>
      <c r="D117" s="366"/>
      <c r="E117" s="47"/>
      <c r="F117" s="47"/>
      <c r="L117" s="520">
        <v>0.24415085</v>
      </c>
      <c r="N117" s="714">
        <f>L117-N116</f>
        <v>0.23646881071080456</v>
      </c>
      <c r="O117" s="714">
        <f>N117-O116</f>
        <v>0.22958537531805465</v>
      </c>
      <c r="P117" s="714">
        <f t="shared" ref="P117:X117" si="56">O117-P116</f>
        <v>0.22214127741525808</v>
      </c>
      <c r="Q117" s="714">
        <f t="shared" si="56"/>
        <v>0.21595361331083907</v>
      </c>
      <c r="R117" s="714">
        <f t="shared" si="56"/>
        <v>0.20031725830537217</v>
      </c>
      <c r="S117" s="714">
        <f t="shared" si="56"/>
        <v>0.19298820873993974</v>
      </c>
      <c r="T117" s="714">
        <f t="shared" si="56"/>
        <v>0.18334868834348506</v>
      </c>
      <c r="U117" s="714">
        <f t="shared" si="56"/>
        <v>0.17605019366015126</v>
      </c>
      <c r="V117" s="714">
        <f t="shared" si="56"/>
        <v>0.17216593130883159</v>
      </c>
      <c r="W117" s="714">
        <f t="shared" si="56"/>
        <v>0.16801716294405866</v>
      </c>
      <c r="X117" s="714">
        <f t="shared" si="56"/>
        <v>0.16400275795777219</v>
      </c>
      <c r="Y117" s="714">
        <f>X117-Y116</f>
        <v>0.15989960921431923</v>
      </c>
      <c r="Z117" s="711"/>
      <c r="AA117" s="714">
        <f>Y117-AA116</f>
        <v>0.15729810618078888</v>
      </c>
      <c r="AB117" s="714">
        <f>AA117-AB116</f>
        <v>0.15496150465497935</v>
      </c>
      <c r="AC117" s="714">
        <f t="shared" ref="AC117:AL117" si="57">AB117-AC116</f>
        <v>0.15263539837364287</v>
      </c>
      <c r="AD117" s="714">
        <f t="shared" si="57"/>
        <v>0.15056352625385874</v>
      </c>
      <c r="AE117" s="714">
        <f t="shared" si="57"/>
        <v>0.14856817060209118</v>
      </c>
      <c r="AF117" s="714">
        <f t="shared" si="57"/>
        <v>0.14616312111913646</v>
      </c>
      <c r="AG117" s="714">
        <f t="shared" si="57"/>
        <v>0.14365781912626419</v>
      </c>
      <c r="AH117" s="714">
        <f t="shared" si="57"/>
        <v>0.14117362924012611</v>
      </c>
      <c r="AI117" s="714">
        <f t="shared" si="57"/>
        <v>0.13876497015178083</v>
      </c>
      <c r="AJ117" s="714">
        <f t="shared" si="57"/>
        <v>0.136186169431917</v>
      </c>
      <c r="AK117" s="714">
        <f t="shared" si="57"/>
        <v>0.13370746925838925</v>
      </c>
      <c r="AL117" s="714">
        <f t="shared" si="57"/>
        <v>0.13118324184361321</v>
      </c>
      <c r="AM117" s="711"/>
      <c r="AN117" s="714">
        <f>AL117-AN116</f>
        <v>0.1052407969136495</v>
      </c>
      <c r="AO117" s="714">
        <f>AN117-AO116</f>
        <v>8.8849656775497693E-2</v>
      </c>
      <c r="AP117" s="714">
        <f>AO117-AP116</f>
        <v>7.142797750636011E-2</v>
      </c>
      <c r="AQ117" s="714">
        <f t="shared" ref="AQ117:AX117" si="58">AP117-AQ116</f>
        <v>6.0034472817526455E-2</v>
      </c>
      <c r="AR117" s="714">
        <f t="shared" si="58"/>
        <v>4.2374459867839054E-2</v>
      </c>
      <c r="AS117" s="714">
        <f t="shared" si="58"/>
        <v>2.9581044283628274E-2</v>
      </c>
      <c r="AT117" s="714">
        <f t="shared" si="58"/>
        <v>1.9161785893017293E-2</v>
      </c>
      <c r="AU117" s="714">
        <f t="shared" si="58"/>
        <v>1.2162756130719181E-2</v>
      </c>
      <c r="AV117" s="714">
        <f t="shared" si="58"/>
        <v>6.8601583882163114E-3</v>
      </c>
      <c r="AW117" s="714">
        <f t="shared" si="58"/>
        <v>3.696129554348157E-3</v>
      </c>
      <c r="AX117" s="714">
        <f t="shared" si="58"/>
        <v>1.6783356655017353E-3</v>
      </c>
      <c r="AY117" s="764"/>
      <c r="AZ117" s="764"/>
    </row>
    <row r="118" spans="1:52" s="346" customFormat="1" ht="6.6" customHeight="1">
      <c r="C118" s="367"/>
      <c r="D118" s="367"/>
      <c r="E118" s="367"/>
      <c r="F118" s="367"/>
      <c r="N118" s="716"/>
      <c r="O118" s="716"/>
      <c r="P118" s="716"/>
      <c r="Q118" s="716"/>
      <c r="R118" s="716"/>
      <c r="S118" s="716"/>
      <c r="T118" s="716"/>
      <c r="U118" s="716"/>
      <c r="V118" s="716"/>
      <c r="W118" s="716"/>
      <c r="X118" s="716"/>
      <c r="Y118" s="716"/>
      <c r="Z118" s="716"/>
      <c r="AA118" s="716"/>
      <c r="AB118" s="716"/>
      <c r="AC118" s="716"/>
      <c r="AD118" s="716"/>
      <c r="AE118" s="716"/>
      <c r="AF118" s="716"/>
      <c r="AG118" s="716"/>
      <c r="AH118" s="716"/>
      <c r="AI118" s="716"/>
      <c r="AJ118" s="716"/>
      <c r="AK118" s="716"/>
      <c r="AL118" s="716"/>
      <c r="AM118" s="716"/>
      <c r="AN118" s="716"/>
      <c r="AO118" s="716"/>
      <c r="AP118" s="716"/>
      <c r="AQ118" s="716"/>
      <c r="AR118" s="716"/>
      <c r="AS118" s="716"/>
      <c r="AT118" s="716"/>
      <c r="AU118" s="716"/>
      <c r="AV118" s="716"/>
      <c r="AW118" s="716"/>
      <c r="AX118" s="716"/>
      <c r="AY118" s="915"/>
      <c r="AZ118" s="915"/>
    </row>
    <row r="119" spans="1:52">
      <c r="B119" s="33" t="s">
        <v>549</v>
      </c>
      <c r="C119" s="47"/>
      <c r="D119" s="366"/>
      <c r="E119" s="47"/>
      <c r="F119" s="47"/>
      <c r="N119" s="714"/>
      <c r="O119" s="714"/>
      <c r="P119" s="714"/>
      <c r="Q119" s="714"/>
      <c r="R119" s="714"/>
      <c r="S119" s="714"/>
      <c r="T119" s="714"/>
      <c r="U119" s="714"/>
      <c r="V119" s="714"/>
      <c r="W119" s="714"/>
      <c r="X119" s="714"/>
      <c r="Y119" s="714"/>
      <c r="Z119" s="711"/>
      <c r="AA119" s="714"/>
      <c r="AB119" s="714"/>
      <c r="AC119" s="714"/>
      <c r="AD119" s="714"/>
      <c r="AE119" s="714"/>
      <c r="AF119" s="714"/>
      <c r="AG119" s="714"/>
      <c r="AH119" s="714"/>
      <c r="AI119" s="714"/>
      <c r="AJ119" s="714"/>
      <c r="AK119" s="714"/>
      <c r="AL119" s="714"/>
      <c r="AM119" s="711"/>
      <c r="AN119" s="714"/>
      <c r="AO119" s="714"/>
      <c r="AP119" s="714"/>
      <c r="AQ119" s="714"/>
      <c r="AR119" s="714"/>
      <c r="AS119" s="714"/>
      <c r="AT119" s="714"/>
      <c r="AU119" s="714"/>
      <c r="AV119" s="714"/>
      <c r="AW119" s="714"/>
      <c r="AX119" s="714"/>
      <c r="AY119" s="764"/>
      <c r="AZ119" s="764"/>
    </row>
    <row r="120" spans="1:52">
      <c r="A120" s="235" t="s">
        <v>729</v>
      </c>
      <c r="B120" s="236" t="s">
        <v>539</v>
      </c>
      <c r="C120" s="47"/>
      <c r="D120" s="366"/>
      <c r="E120" s="239"/>
      <c r="F120" s="239"/>
      <c r="G120" s="327"/>
      <c r="H120" s="327"/>
      <c r="I120" s="327"/>
      <c r="J120" s="327"/>
      <c r="K120" s="327"/>
      <c r="L120" s="327"/>
      <c r="M120" s="311"/>
      <c r="N120" s="717">
        <v>0</v>
      </c>
      <c r="O120" s="717">
        <v>0</v>
      </c>
      <c r="P120" s="717">
        <v>0</v>
      </c>
      <c r="Q120" s="717">
        <v>0</v>
      </c>
      <c r="R120" s="717">
        <v>0</v>
      </c>
      <c r="S120" s="717">
        <v>0</v>
      </c>
      <c r="T120" s="717">
        <v>0</v>
      </c>
      <c r="U120" s="717">
        <v>0</v>
      </c>
      <c r="V120" s="717">
        <v>0</v>
      </c>
      <c r="W120" s="717">
        <v>0</v>
      </c>
      <c r="X120" s="717">
        <v>0</v>
      </c>
      <c r="Y120" s="717">
        <v>0</v>
      </c>
      <c r="Z120" s="711">
        <f>SUM(N120:Y120)</f>
        <v>0</v>
      </c>
      <c r="AA120" s="717">
        <v>0</v>
      </c>
      <c r="AB120" s="717">
        <v>0</v>
      </c>
      <c r="AC120" s="717">
        <v>0</v>
      </c>
      <c r="AD120" s="717">
        <v>0</v>
      </c>
      <c r="AE120" s="717">
        <v>0</v>
      </c>
      <c r="AF120" s="717">
        <v>0</v>
      </c>
      <c r="AG120" s="717">
        <v>0</v>
      </c>
      <c r="AH120" s="717">
        <v>0</v>
      </c>
      <c r="AI120" s="717">
        <v>0</v>
      </c>
      <c r="AJ120" s="717">
        <v>0</v>
      </c>
      <c r="AK120" s="717">
        <v>0</v>
      </c>
      <c r="AL120" s="717">
        <v>0</v>
      </c>
      <c r="AM120" s="711">
        <f>SUM(AA120:AL120)</f>
        <v>0</v>
      </c>
      <c r="AN120" s="717">
        <v>0</v>
      </c>
      <c r="AO120" s="717">
        <v>0</v>
      </c>
      <c r="AP120" s="691"/>
      <c r="AQ120" s="691"/>
      <c r="AR120" s="691"/>
      <c r="AS120" s="691"/>
      <c r="AT120" s="691"/>
      <c r="AU120" s="691"/>
      <c r="AV120" s="691"/>
      <c r="AW120" s="691"/>
      <c r="AX120" s="691"/>
      <c r="AY120" s="908"/>
      <c r="AZ120" s="908"/>
    </row>
    <row r="121" spans="1:52">
      <c r="A121" s="235" t="s">
        <v>555</v>
      </c>
      <c r="B121" s="235" t="s">
        <v>540</v>
      </c>
      <c r="C121" s="47"/>
      <c r="D121" s="366"/>
      <c r="E121" s="239"/>
      <c r="F121" s="239"/>
      <c r="G121" s="327"/>
      <c r="H121" s="327"/>
      <c r="I121" s="327"/>
      <c r="J121" s="327"/>
      <c r="K121" s="327"/>
      <c r="L121" s="327"/>
      <c r="M121" s="311"/>
      <c r="N121" s="717">
        <v>0</v>
      </c>
      <c r="O121" s="717">
        <v>0</v>
      </c>
      <c r="P121" s="717">
        <v>0</v>
      </c>
      <c r="Q121" s="717">
        <v>0</v>
      </c>
      <c r="R121" s="717">
        <v>0</v>
      </c>
      <c r="S121" s="717">
        <v>0</v>
      </c>
      <c r="T121" s="717">
        <v>0</v>
      </c>
      <c r="U121" s="717">
        <v>0</v>
      </c>
      <c r="V121" s="717">
        <v>0</v>
      </c>
      <c r="W121" s="717">
        <v>0</v>
      </c>
      <c r="X121" s="717">
        <v>0</v>
      </c>
      <c r="Y121" s="717">
        <v>0</v>
      </c>
      <c r="Z121" s="711">
        <f t="shared" ref="Z121:Z134" si="59">SUM(N121:Y121)</f>
        <v>0</v>
      </c>
      <c r="AA121" s="717">
        <v>0</v>
      </c>
      <c r="AB121" s="717">
        <v>0</v>
      </c>
      <c r="AC121" s="717">
        <v>0</v>
      </c>
      <c r="AD121" s="717">
        <v>0</v>
      </c>
      <c r="AE121" s="717">
        <v>0</v>
      </c>
      <c r="AF121" s="717">
        <v>0</v>
      </c>
      <c r="AG121" s="717">
        <v>0</v>
      </c>
      <c r="AH121" s="717">
        <v>0</v>
      </c>
      <c r="AI121" s="717">
        <v>0</v>
      </c>
      <c r="AJ121" s="717">
        <v>0</v>
      </c>
      <c r="AK121" s="717">
        <v>0</v>
      </c>
      <c r="AL121" s="717">
        <v>0</v>
      </c>
      <c r="AM121" s="711">
        <f t="shared" ref="AM121:AM134" si="60">SUM(AA121:AL121)</f>
        <v>0</v>
      </c>
      <c r="AN121" s="717">
        <v>0</v>
      </c>
      <c r="AO121" s="717">
        <v>0</v>
      </c>
      <c r="AP121" s="691"/>
      <c r="AQ121" s="691"/>
      <c r="AR121" s="691"/>
      <c r="AS121" s="691"/>
      <c r="AT121" s="691"/>
      <c r="AU121" s="691"/>
      <c r="AV121" s="691"/>
      <c r="AW121" s="691"/>
      <c r="AX121" s="691"/>
      <c r="AY121" s="908"/>
      <c r="AZ121" s="908"/>
    </row>
    <row r="122" spans="1:52">
      <c r="A122" s="235" t="s">
        <v>724</v>
      </c>
      <c r="B122" s="236" t="s">
        <v>556</v>
      </c>
      <c r="C122" s="47"/>
      <c r="D122" s="366"/>
      <c r="E122" s="239"/>
      <c r="F122" s="239"/>
      <c r="G122" s="327"/>
      <c r="H122" s="327"/>
      <c r="I122" s="327"/>
      <c r="J122" s="327"/>
      <c r="K122" s="327"/>
      <c r="L122" s="327"/>
      <c r="M122" s="311"/>
      <c r="N122" s="717">
        <v>0</v>
      </c>
      <c r="O122" s="717">
        <v>0</v>
      </c>
      <c r="P122" s="717">
        <v>0</v>
      </c>
      <c r="Q122" s="717">
        <v>0</v>
      </c>
      <c r="R122" s="717">
        <v>0</v>
      </c>
      <c r="S122" s="717">
        <v>0</v>
      </c>
      <c r="T122" s="717">
        <v>0</v>
      </c>
      <c r="U122" s="717">
        <v>0</v>
      </c>
      <c r="V122" s="717">
        <v>0</v>
      </c>
      <c r="W122" s="717">
        <v>0</v>
      </c>
      <c r="X122" s="717">
        <v>0</v>
      </c>
      <c r="Y122" s="717">
        <v>0</v>
      </c>
      <c r="Z122" s="711">
        <f t="shared" si="59"/>
        <v>0</v>
      </c>
      <c r="AA122" s="717">
        <v>0</v>
      </c>
      <c r="AB122" s="717">
        <v>0</v>
      </c>
      <c r="AC122" s="717">
        <v>0</v>
      </c>
      <c r="AD122" s="717">
        <v>0</v>
      </c>
      <c r="AE122" s="717">
        <v>0</v>
      </c>
      <c r="AF122" s="717">
        <v>0</v>
      </c>
      <c r="AG122" s="717">
        <v>0</v>
      </c>
      <c r="AH122" s="717">
        <v>0</v>
      </c>
      <c r="AI122" s="717">
        <v>0</v>
      </c>
      <c r="AJ122" s="717">
        <v>0</v>
      </c>
      <c r="AK122" s="717">
        <v>0</v>
      </c>
      <c r="AL122" s="717">
        <v>0</v>
      </c>
      <c r="AM122" s="711">
        <f t="shared" si="60"/>
        <v>0</v>
      </c>
      <c r="AN122" s="717">
        <v>0</v>
      </c>
      <c r="AO122" s="717">
        <v>0</v>
      </c>
      <c r="AP122" s="691">
        <v>0</v>
      </c>
      <c r="AQ122" s="691">
        <v>0</v>
      </c>
      <c r="AR122" s="691">
        <v>0</v>
      </c>
      <c r="AS122" s="691">
        <v>0</v>
      </c>
      <c r="AT122" s="691">
        <v>0</v>
      </c>
      <c r="AU122" s="691">
        <v>0</v>
      </c>
      <c r="AV122" s="691">
        <v>0</v>
      </c>
      <c r="AW122" s="691">
        <v>0</v>
      </c>
      <c r="AX122" s="691">
        <v>0</v>
      </c>
      <c r="AY122" s="908"/>
      <c r="AZ122" s="908"/>
    </row>
    <row r="123" spans="1:52">
      <c r="A123" s="235" t="s">
        <v>555</v>
      </c>
      <c r="B123" s="235" t="s">
        <v>557</v>
      </c>
      <c r="C123" s="47"/>
      <c r="D123" s="366"/>
      <c r="E123" s="239"/>
      <c r="F123" s="239"/>
      <c r="G123" s="327"/>
      <c r="H123" s="327"/>
      <c r="I123" s="327"/>
      <c r="J123" s="327"/>
      <c r="K123" s="327"/>
      <c r="L123" s="327"/>
      <c r="M123" s="311"/>
      <c r="N123" s="717">
        <v>0.14286411719999997</v>
      </c>
      <c r="O123" s="717">
        <v>0.12638840832000001</v>
      </c>
      <c r="P123" s="717">
        <v>0.13634623567999998</v>
      </c>
      <c r="Q123" s="717">
        <v>0.12830938530799998</v>
      </c>
      <c r="R123" s="717">
        <v>0.103834186144</v>
      </c>
      <c r="S123" s="717">
        <v>0.13009194311999997</v>
      </c>
      <c r="T123" s="717">
        <v>0.13590568839999997</v>
      </c>
      <c r="U123" s="717">
        <v>0.13683334567999997</v>
      </c>
      <c r="V123" s="717">
        <v>0.13244855631999999</v>
      </c>
      <c r="W123" s="717">
        <v>0.13958074599999998</v>
      </c>
      <c r="X123" s="717">
        <v>0.13600620791999998</v>
      </c>
      <c r="Y123" s="717">
        <v>0.13804866764400001</v>
      </c>
      <c r="Z123" s="711">
        <f t="shared" si="59"/>
        <v>1.5866574877359998</v>
      </c>
      <c r="AA123" s="717">
        <v>0.1480111777924</v>
      </c>
      <c r="AB123" s="717">
        <v>0.13188040455199998</v>
      </c>
      <c r="AC123" s="717">
        <v>0.13813628221639995</v>
      </c>
      <c r="AD123" s="717">
        <v>9.6178741048000005E-2</v>
      </c>
      <c r="AE123" s="717">
        <v>0.10269551988799999</v>
      </c>
      <c r="AF123" s="717">
        <v>0.13499643591200003</v>
      </c>
      <c r="AG123" s="717">
        <v>0.13985460789560003</v>
      </c>
      <c r="AH123" s="717">
        <v>0.139764331928</v>
      </c>
      <c r="AI123" s="717">
        <v>0.135001036352</v>
      </c>
      <c r="AJ123" s="717">
        <v>0.14216075223999999</v>
      </c>
      <c r="AK123" s="717">
        <v>0.13813260697599999</v>
      </c>
      <c r="AL123" s="717">
        <v>0.13885906245639998</v>
      </c>
      <c r="AM123" s="711">
        <f t="shared" si="60"/>
        <v>1.5856709592567999</v>
      </c>
      <c r="AN123" s="717">
        <v>1.6515235021716002</v>
      </c>
      <c r="AO123" s="717">
        <v>1.7228283161375997</v>
      </c>
      <c r="AP123" s="691"/>
      <c r="AQ123" s="691"/>
      <c r="AR123" s="691"/>
      <c r="AS123" s="691"/>
      <c r="AT123" s="691"/>
      <c r="AU123" s="691"/>
      <c r="AV123" s="691"/>
      <c r="AW123" s="691"/>
      <c r="AX123" s="691"/>
      <c r="AY123" s="908"/>
      <c r="AZ123" s="908"/>
    </row>
    <row r="124" spans="1:52">
      <c r="A124" s="235" t="s">
        <v>724</v>
      </c>
      <c r="B124" s="235" t="s">
        <v>558</v>
      </c>
      <c r="C124" s="47"/>
      <c r="D124" s="366"/>
      <c r="E124" s="239"/>
      <c r="F124" s="239"/>
      <c r="G124" s="327"/>
      <c r="H124" s="327"/>
      <c r="I124" s="327"/>
      <c r="J124" s="327"/>
      <c r="K124" s="327"/>
      <c r="L124" s="327"/>
      <c r="M124" s="311"/>
      <c r="N124" s="717">
        <v>2.0302947000000002E-2</v>
      </c>
      <c r="O124" s="717">
        <v>1.7961523200000003E-2</v>
      </c>
      <c r="P124" s="717">
        <v>1.9376666799999994E-2</v>
      </c>
      <c r="Q124" s="717">
        <v>1.823452033E-2</v>
      </c>
      <c r="R124" s="717">
        <v>1.4756259440000002E-2</v>
      </c>
      <c r="S124" s="717">
        <v>1.8487846200000001E-2</v>
      </c>
      <c r="T124" s="717">
        <v>1.9314058999999998E-2</v>
      </c>
      <c r="U124" s="717">
        <v>1.9445891799999997E-2</v>
      </c>
      <c r="V124" s="717">
        <v>1.88227532E-2</v>
      </c>
      <c r="W124" s="717">
        <v>1.9836335E-2</v>
      </c>
      <c r="X124" s="717">
        <v>1.93283442E-2</v>
      </c>
      <c r="Y124" s="717">
        <v>1.9618605689999999E-2</v>
      </c>
      <c r="Z124" s="711">
        <f t="shared" si="59"/>
        <v>0.22548575186000003</v>
      </c>
      <c r="AA124" s="717">
        <v>2.1166791409000001E-2</v>
      </c>
      <c r="AB124" s="717">
        <v>1.885996082E-2</v>
      </c>
      <c r="AC124" s="717">
        <v>1.9754601748999998E-2</v>
      </c>
      <c r="AD124" s="717">
        <v>1.375433518E-2</v>
      </c>
      <c r="AE124" s="717">
        <v>1.4686287079999999E-2</v>
      </c>
      <c r="AF124" s="717">
        <v>1.9305578419999997E-2</v>
      </c>
      <c r="AG124" s="717">
        <v>2.0000336171000003E-2</v>
      </c>
      <c r="AH124" s="717">
        <v>1.9987425979999997E-2</v>
      </c>
      <c r="AI124" s="717">
        <v>1.930623632E-2</v>
      </c>
      <c r="AJ124" s="717">
        <v>2.0330133399999999E-2</v>
      </c>
      <c r="AK124" s="717">
        <v>1.9754076159999998E-2</v>
      </c>
      <c r="AL124" s="717">
        <v>1.9857965148999998E-2</v>
      </c>
      <c r="AM124" s="711">
        <f t="shared" si="60"/>
        <v>0.22676372783799997</v>
      </c>
      <c r="AN124" s="717">
        <v>0.23774512448100002</v>
      </c>
      <c r="AO124" s="717">
        <v>0.249722574216</v>
      </c>
      <c r="AP124" s="691"/>
      <c r="AQ124" s="691"/>
      <c r="AR124" s="691"/>
      <c r="AS124" s="691"/>
      <c r="AT124" s="691"/>
      <c r="AU124" s="691"/>
      <c r="AV124" s="691"/>
      <c r="AW124" s="691"/>
      <c r="AX124" s="691"/>
      <c r="AY124" s="908"/>
      <c r="AZ124" s="908"/>
    </row>
    <row r="125" spans="1:52">
      <c r="A125" s="235" t="s">
        <v>729</v>
      </c>
      <c r="B125" s="236" t="s">
        <v>559</v>
      </c>
      <c r="C125" s="47"/>
      <c r="D125" s="366"/>
      <c r="E125" s="239"/>
      <c r="F125" s="239"/>
      <c r="G125" s="327"/>
      <c r="H125" s="327"/>
      <c r="I125" s="327"/>
      <c r="J125" s="327"/>
      <c r="K125" s="327"/>
      <c r="L125" s="327"/>
      <c r="M125" s="311"/>
      <c r="N125" s="717">
        <v>0.23591452499999999</v>
      </c>
      <c r="O125" s="717">
        <v>0.20870784000000003</v>
      </c>
      <c r="P125" s="717">
        <v>0.22515141</v>
      </c>
      <c r="Q125" s="717">
        <v>0.21187998974999997</v>
      </c>
      <c r="R125" s="717">
        <v>0.17146357800000003</v>
      </c>
      <c r="S125" s="717">
        <v>0.21482356499999999</v>
      </c>
      <c r="T125" s="717">
        <v>0.22442392500000002</v>
      </c>
      <c r="U125" s="717">
        <v>0.22595578499999999</v>
      </c>
      <c r="V125" s="717">
        <v>0.21871509000000003</v>
      </c>
      <c r="W125" s="717">
        <v>0.23049262500000001</v>
      </c>
      <c r="X125" s="717">
        <v>0.22458991500000003</v>
      </c>
      <c r="Y125" s="717">
        <v>0.22796267175000004</v>
      </c>
      <c r="Z125" s="711">
        <f t="shared" si="59"/>
        <v>2.6200809194999999</v>
      </c>
      <c r="AA125" s="717">
        <v>0.24612548150000002</v>
      </c>
      <c r="AB125" s="717">
        <v>0.21930186999999998</v>
      </c>
      <c r="AC125" s="717">
        <v>0.22970467149999999</v>
      </c>
      <c r="AD125" s="717">
        <v>0.15993413000000004</v>
      </c>
      <c r="AE125" s="717">
        <v>0.17077078000000001</v>
      </c>
      <c r="AF125" s="717">
        <v>0.22448347000000002</v>
      </c>
      <c r="AG125" s="717">
        <v>0.23256204850000003</v>
      </c>
      <c r="AH125" s="717">
        <v>0.23241193000000002</v>
      </c>
      <c r="AI125" s="717">
        <v>0.22449111999999999</v>
      </c>
      <c r="AJ125" s="717">
        <v>0.23639690000000002</v>
      </c>
      <c r="AK125" s="717">
        <v>0.22969856</v>
      </c>
      <c r="AL125" s="717">
        <v>0.23090657149999999</v>
      </c>
      <c r="AM125" s="711">
        <f t="shared" si="60"/>
        <v>2.6367875329999997</v>
      </c>
      <c r="AN125" s="717">
        <v>3.8290348731768864</v>
      </c>
      <c r="AO125" s="717">
        <v>4.3659504827398008</v>
      </c>
      <c r="AP125" s="691">
        <v>6.0616722500000009</v>
      </c>
      <c r="AQ125" s="691">
        <v>6.3672818900000001</v>
      </c>
      <c r="AR125" s="691">
        <v>6.9191718299999998</v>
      </c>
      <c r="AS125" s="691">
        <v>7.4093926200000002</v>
      </c>
      <c r="AT125" s="691">
        <v>7.5665809299999998</v>
      </c>
      <c r="AU125" s="691">
        <v>7.7278440999999995</v>
      </c>
      <c r="AV125" s="691">
        <v>7.737520739999999</v>
      </c>
      <c r="AW125" s="691">
        <v>8.1502420400000002</v>
      </c>
      <c r="AX125" s="691">
        <v>8.2660531900000009</v>
      </c>
      <c r="AY125" s="908"/>
      <c r="AZ125" s="908"/>
    </row>
    <row r="126" spans="1:52">
      <c r="A126" s="235" t="s">
        <v>724</v>
      </c>
      <c r="B126" s="235" t="s">
        <v>560</v>
      </c>
      <c r="C126" s="47"/>
      <c r="D126" s="366"/>
      <c r="E126" s="239"/>
      <c r="F126" s="239"/>
      <c r="G126" s="327"/>
      <c r="H126" s="327"/>
      <c r="I126" s="327"/>
      <c r="J126" s="327"/>
      <c r="K126" s="327"/>
      <c r="L126" s="327"/>
      <c r="M126" s="311"/>
      <c r="N126" s="717">
        <v>5.5422502982753205E-3</v>
      </c>
      <c r="O126" s="717">
        <v>5.00132007544077E-3</v>
      </c>
      <c r="P126" s="717">
        <v>5.3118408480810403E-3</v>
      </c>
      <c r="Q126" s="717">
        <v>5.1623687899453501E-3</v>
      </c>
      <c r="R126" s="717">
        <v>5.4012714595639806E-3</v>
      </c>
      <c r="S126" s="717">
        <v>5.1499460380338606E-3</v>
      </c>
      <c r="T126" s="717">
        <v>5.4225768239831995E-3</v>
      </c>
      <c r="U126" s="717">
        <v>0.10292704557317818</v>
      </c>
      <c r="V126" s="717">
        <v>0.14537207587707943</v>
      </c>
      <c r="W126" s="717">
        <v>4.8169906699982869E-2</v>
      </c>
      <c r="X126" s="717">
        <v>5.2239307238760605E-3</v>
      </c>
      <c r="Y126" s="717">
        <v>5.4420093930966397E-3</v>
      </c>
      <c r="Z126" s="711">
        <f t="shared" si="59"/>
        <v>0.34412654260053671</v>
      </c>
      <c r="AA126" s="717">
        <v>5.1608552271011996E-3</v>
      </c>
      <c r="AB126" s="717">
        <v>4.6448522844190644E-3</v>
      </c>
      <c r="AC126" s="717">
        <v>3.5589716370387292E-3</v>
      </c>
      <c r="AD126" s="717">
        <v>4.2214944786877493E-3</v>
      </c>
      <c r="AE126" s="717">
        <v>5.0098492844845507E-3</v>
      </c>
      <c r="AF126" s="717">
        <v>4.8305516656409761E-3</v>
      </c>
      <c r="AG126" s="717">
        <v>5.0349508545781503E-3</v>
      </c>
      <c r="AH126" s="717">
        <v>0.10255438043527559</v>
      </c>
      <c r="AI126" s="717">
        <v>0.14498005918481985</v>
      </c>
      <c r="AJ126" s="717">
        <v>4.769394042289949E-2</v>
      </c>
      <c r="AK126" s="717">
        <v>4.7669191854536989E-3</v>
      </c>
      <c r="AL126" s="717">
        <v>4.9485090465772501E-3</v>
      </c>
      <c r="AM126" s="711">
        <f t="shared" si="60"/>
        <v>0.33740533370697623</v>
      </c>
      <c r="AN126" s="717">
        <v>0.34775243577434106</v>
      </c>
      <c r="AO126" s="717">
        <v>0.35224876911448555</v>
      </c>
      <c r="AP126" s="691"/>
      <c r="AQ126" s="691"/>
      <c r="AR126" s="691"/>
      <c r="AS126" s="691"/>
      <c r="AT126" s="691"/>
      <c r="AU126" s="691"/>
      <c r="AV126" s="691"/>
      <c r="AW126" s="691"/>
      <c r="AX126" s="691"/>
      <c r="AY126" s="908"/>
      <c r="AZ126" s="908"/>
    </row>
    <row r="127" spans="1:52">
      <c r="A127" s="235" t="s">
        <v>555</v>
      </c>
      <c r="B127" s="235" t="s">
        <v>561</v>
      </c>
      <c r="C127" s="47"/>
      <c r="D127" s="366"/>
      <c r="E127" s="239"/>
      <c r="F127" s="239"/>
      <c r="G127" s="327"/>
      <c r="H127" s="327"/>
      <c r="I127" s="327"/>
      <c r="J127" s="327"/>
      <c r="K127" s="327"/>
      <c r="L127" s="327"/>
      <c r="M127" s="311"/>
      <c r="N127" s="717">
        <v>7.9421429260563031E-2</v>
      </c>
      <c r="O127" s="717">
        <v>7.1669803275514352E-2</v>
      </c>
      <c r="P127" s="717">
        <v>7.6119620994114887E-2</v>
      </c>
      <c r="Q127" s="717">
        <v>7.3977659903806725E-2</v>
      </c>
      <c r="R127" s="717">
        <v>7.7401177510216551E-2</v>
      </c>
      <c r="S127" s="717">
        <v>7.3799639666707925E-2</v>
      </c>
      <c r="T127" s="717">
        <v>7.7706487159190402E-2</v>
      </c>
      <c r="U127" s="717">
        <v>7.7770525127338952E-2</v>
      </c>
      <c r="V127" s="717">
        <v>0.10565025531962904</v>
      </c>
      <c r="W127" s="717">
        <v>0.10991822380892736</v>
      </c>
      <c r="X127" s="717">
        <v>7.485985333024632E-2</v>
      </c>
      <c r="Y127" s="717">
        <v>7.7984959319438066E-2</v>
      </c>
      <c r="Z127" s="711">
        <f t="shared" si="59"/>
        <v>0.97627963467569367</v>
      </c>
      <c r="AA127" s="717">
        <v>8.28512648403264E-2</v>
      </c>
      <c r="AB127" s="717">
        <v>7.4567464078382079E-2</v>
      </c>
      <c r="AC127" s="717">
        <v>5.7134968660054561E-2</v>
      </c>
      <c r="AD127" s="717">
        <v>6.7770968509067997E-2</v>
      </c>
      <c r="AE127" s="717">
        <v>8.0427047768997617E-2</v>
      </c>
      <c r="AF127" s="717">
        <v>7.7548642184969471E-2</v>
      </c>
      <c r="AG127" s="717">
        <v>8.0830023000856802E-2</v>
      </c>
      <c r="AH127" s="717">
        <v>8.1141941329363199E-2</v>
      </c>
      <c r="AI127" s="717">
        <v>0.10818535741401668</v>
      </c>
      <c r="AJ127" s="717">
        <v>0.11161896101666401</v>
      </c>
      <c r="AK127" s="717">
        <v>7.65270999722064E-2</v>
      </c>
      <c r="AL127" s="717">
        <v>7.9442304723011989E-2</v>
      </c>
      <c r="AM127" s="711">
        <f t="shared" si="60"/>
        <v>0.97804604349791724</v>
      </c>
      <c r="AN127" s="717">
        <v>1.0764043807653734</v>
      </c>
      <c r="AO127" s="717">
        <v>1.0844384620657526</v>
      </c>
      <c r="AP127" s="691"/>
      <c r="AQ127" s="691"/>
      <c r="AR127" s="691"/>
      <c r="AS127" s="691"/>
      <c r="AT127" s="691"/>
      <c r="AU127" s="691"/>
      <c r="AV127" s="691"/>
      <c r="AW127" s="691"/>
      <c r="AX127" s="691"/>
      <c r="AY127" s="908"/>
      <c r="AZ127" s="908"/>
    </row>
    <row r="128" spans="1:52">
      <c r="A128" s="235" t="s">
        <v>729</v>
      </c>
      <c r="B128" s="235" t="s">
        <v>562</v>
      </c>
      <c r="C128" s="47"/>
      <c r="D128" s="366"/>
      <c r="E128" s="239"/>
      <c r="F128" s="239"/>
      <c r="G128" s="327"/>
      <c r="H128" s="327"/>
      <c r="I128" s="327"/>
      <c r="J128" s="327"/>
      <c r="K128" s="327"/>
      <c r="L128" s="327"/>
      <c r="M128" s="311"/>
      <c r="N128" s="717">
        <v>0.9349378154819239</v>
      </c>
      <c r="O128" s="717">
        <v>0.84368677237720102</v>
      </c>
      <c r="P128" s="717">
        <v>0.89606939625912807</v>
      </c>
      <c r="Q128" s="717">
        <v>0.87085453370547239</v>
      </c>
      <c r="R128" s="717">
        <v>0.9111556980385862</v>
      </c>
      <c r="S128" s="717">
        <v>0.86875890469030193</v>
      </c>
      <c r="T128" s="717">
        <v>0.91474975998024</v>
      </c>
      <c r="U128" s="717">
        <v>0.91550360587052604</v>
      </c>
      <c r="V128" s="717">
        <v>0.86405740872791426</v>
      </c>
      <c r="W128" s="717">
        <v>0.91429932924081603</v>
      </c>
      <c r="X128" s="717">
        <v>0.88123958976184202</v>
      </c>
      <c r="Y128" s="717">
        <v>0.91802789480604807</v>
      </c>
      <c r="Z128" s="711">
        <f t="shared" si="59"/>
        <v>10.73334070894</v>
      </c>
      <c r="AA128" s="717">
        <v>1.0565255891712095</v>
      </c>
      <c r="AB128" s="717">
        <v>0.95088993596232529</v>
      </c>
      <c r="AC128" s="717">
        <v>0.72858943725456959</v>
      </c>
      <c r="AD128" s="717">
        <v>0.86422051094500196</v>
      </c>
      <c r="AE128" s="717">
        <v>1.0256117899129764</v>
      </c>
      <c r="AF128" s="717">
        <v>0.98890614442403979</v>
      </c>
      <c r="AG128" s="717">
        <v>1.0307505605169252</v>
      </c>
      <c r="AH128" s="717">
        <v>1.0347281666094046</v>
      </c>
      <c r="AI128" s="717">
        <v>0.96833341513117077</v>
      </c>
      <c r="AJ128" s="717">
        <v>1.0121189877021961</v>
      </c>
      <c r="AK128" s="717">
        <v>0.97587936094302963</v>
      </c>
      <c r="AL128" s="717">
        <v>1.0130542721871179</v>
      </c>
      <c r="AM128" s="711">
        <f t="shared" si="60"/>
        <v>11.649608170759969</v>
      </c>
      <c r="AN128" s="717">
        <v>14.363820306762562</v>
      </c>
      <c r="AO128" s="717">
        <v>15.151461416620307</v>
      </c>
      <c r="AP128" s="691">
        <v>17.84359001</v>
      </c>
      <c r="AQ128" s="691">
        <v>18.749252609999999</v>
      </c>
      <c r="AR128" s="691">
        <v>19.383936520000002</v>
      </c>
      <c r="AS128" s="691">
        <v>21.327208160000001</v>
      </c>
      <c r="AT128" s="691">
        <v>21.78772163</v>
      </c>
      <c r="AU128" s="691">
        <v>22.31633137</v>
      </c>
      <c r="AV128" s="691">
        <v>22.83098094</v>
      </c>
      <c r="AW128" s="691">
        <v>22.398684499999998</v>
      </c>
      <c r="AX128" s="691">
        <v>23.909605539999998</v>
      </c>
      <c r="AY128" s="908"/>
      <c r="AZ128" s="908"/>
    </row>
    <row r="129" spans="1:52">
      <c r="A129" s="235" t="s">
        <v>724</v>
      </c>
      <c r="B129" s="235" t="s">
        <v>563</v>
      </c>
      <c r="C129" s="47"/>
      <c r="D129" s="366"/>
      <c r="E129" s="239"/>
      <c r="F129" s="239"/>
      <c r="G129" s="327"/>
      <c r="H129" s="327"/>
      <c r="I129" s="327"/>
      <c r="J129" s="327"/>
      <c r="K129" s="327"/>
      <c r="L129" s="327"/>
      <c r="M129" s="311"/>
      <c r="N129" s="717">
        <v>6.0500840299200003E-3</v>
      </c>
      <c r="O129" s="717">
        <v>5.4284327999999998E-3</v>
      </c>
      <c r="P129" s="717">
        <v>5.8603478018399999E-3</v>
      </c>
      <c r="Q129" s="717">
        <v>5.5561563640799984E-3</v>
      </c>
      <c r="R129" s="717">
        <v>5.7073308818399995E-3</v>
      </c>
      <c r="S129" s="717">
        <v>5.3898531119999996E-3</v>
      </c>
      <c r="T129" s="717">
        <v>5.6638118779200001E-3</v>
      </c>
      <c r="U129" s="717">
        <v>3.8962034985839999E-2</v>
      </c>
      <c r="V129" s="717">
        <v>3.3333000000000002E-2</v>
      </c>
      <c r="W129" s="717">
        <v>3.3334000000000003E-2</v>
      </c>
      <c r="X129" s="717">
        <v>0</v>
      </c>
      <c r="Y129" s="717">
        <v>0</v>
      </c>
      <c r="Z129" s="711">
        <f t="shared" si="59"/>
        <v>0.14528505185344001</v>
      </c>
      <c r="AA129" s="717">
        <v>0</v>
      </c>
      <c r="AB129" s="717">
        <v>0</v>
      </c>
      <c r="AC129" s="717">
        <v>0</v>
      </c>
      <c r="AD129" s="717">
        <v>0</v>
      </c>
      <c r="AE129" s="717">
        <v>0</v>
      </c>
      <c r="AF129" s="717">
        <v>0</v>
      </c>
      <c r="AG129" s="717">
        <v>0</v>
      </c>
      <c r="AH129" s="717">
        <v>3.3333000000000002E-2</v>
      </c>
      <c r="AI129" s="717">
        <v>3.3333000000000002E-2</v>
      </c>
      <c r="AJ129" s="717">
        <v>3.3334000000000003E-2</v>
      </c>
      <c r="AK129" s="717">
        <v>0</v>
      </c>
      <c r="AL129" s="717">
        <v>0</v>
      </c>
      <c r="AM129" s="711">
        <f t="shared" si="60"/>
        <v>0.1</v>
      </c>
      <c r="AN129" s="717">
        <v>0</v>
      </c>
      <c r="AO129" s="717">
        <v>0</v>
      </c>
      <c r="AP129" s="691"/>
      <c r="AQ129" s="691"/>
      <c r="AR129" s="691"/>
      <c r="AS129" s="691"/>
      <c r="AT129" s="691"/>
      <c r="AU129" s="691"/>
      <c r="AV129" s="691"/>
      <c r="AW129" s="691"/>
      <c r="AX129" s="691"/>
      <c r="AY129" s="908"/>
      <c r="AZ129" s="908"/>
    </row>
    <row r="130" spans="1:52">
      <c r="A130" s="235" t="s">
        <v>555</v>
      </c>
      <c r="B130" s="235" t="s">
        <v>564</v>
      </c>
      <c r="C130" s="47"/>
      <c r="D130" s="366"/>
      <c r="E130" s="239"/>
      <c r="F130" s="239"/>
      <c r="G130" s="329"/>
      <c r="H130" s="240"/>
      <c r="I130" s="240"/>
      <c r="J130" s="240"/>
      <c r="K130" s="240"/>
      <c r="L130" s="240"/>
      <c r="M130" s="311"/>
      <c r="N130" s="717">
        <v>0.11163845531400002</v>
      </c>
      <c r="O130" s="717">
        <v>0.10016751</v>
      </c>
      <c r="P130" s="717">
        <v>0.10813737015299998</v>
      </c>
      <c r="Q130" s="717">
        <v>0.10252431386099999</v>
      </c>
      <c r="R130" s="717">
        <v>0.10531384365300001</v>
      </c>
      <c r="S130" s="717">
        <v>9.9455622899999985E-2</v>
      </c>
      <c r="T130" s="717">
        <v>0.10451081441400001</v>
      </c>
      <c r="U130" s="717">
        <v>0.10386909795299999</v>
      </c>
      <c r="V130" s="717">
        <v>0</v>
      </c>
      <c r="W130" s="717">
        <v>0</v>
      </c>
      <c r="X130" s="717">
        <v>0</v>
      </c>
      <c r="Y130" s="717">
        <v>0</v>
      </c>
      <c r="Z130" s="711">
        <f t="shared" si="59"/>
        <v>0.8356170282480001</v>
      </c>
      <c r="AA130" s="717">
        <v>0</v>
      </c>
      <c r="AB130" s="717">
        <v>0</v>
      </c>
      <c r="AC130" s="717">
        <v>0</v>
      </c>
      <c r="AD130" s="717">
        <v>0</v>
      </c>
      <c r="AE130" s="717">
        <v>0</v>
      </c>
      <c r="AF130" s="717">
        <v>0</v>
      </c>
      <c r="AG130" s="717">
        <v>0</v>
      </c>
      <c r="AH130" s="717">
        <v>0</v>
      </c>
      <c r="AI130" s="717">
        <v>0</v>
      </c>
      <c r="AJ130" s="717">
        <v>0</v>
      </c>
      <c r="AK130" s="717">
        <v>0</v>
      </c>
      <c r="AL130" s="717">
        <v>0</v>
      </c>
      <c r="AM130" s="711">
        <f t="shared" si="60"/>
        <v>0</v>
      </c>
      <c r="AN130" s="717">
        <v>0</v>
      </c>
      <c r="AO130" s="717">
        <v>0</v>
      </c>
      <c r="AP130" s="691"/>
      <c r="AQ130" s="691"/>
      <c r="AR130" s="691"/>
      <c r="AS130" s="691"/>
      <c r="AT130" s="691"/>
      <c r="AU130" s="691"/>
      <c r="AV130" s="691"/>
      <c r="AW130" s="691"/>
      <c r="AX130" s="691"/>
      <c r="AY130" s="908"/>
      <c r="AZ130" s="908"/>
    </row>
    <row r="131" spans="1:52">
      <c r="A131" s="235" t="s">
        <v>729</v>
      </c>
      <c r="B131" s="235" t="s">
        <v>565</v>
      </c>
      <c r="C131" s="47"/>
      <c r="D131" s="366"/>
      <c r="E131" s="239"/>
      <c r="F131" s="239"/>
      <c r="G131" s="327"/>
      <c r="H131" s="327"/>
      <c r="I131" s="327"/>
      <c r="J131" s="327"/>
      <c r="K131" s="327"/>
      <c r="L131" s="327"/>
      <c r="M131" s="311"/>
      <c r="N131" s="717">
        <v>0.53471833700850002</v>
      </c>
      <c r="O131" s="717">
        <v>0.47977557749999999</v>
      </c>
      <c r="P131" s="717">
        <v>0.5179490756482501</v>
      </c>
      <c r="Q131" s="717">
        <v>0.49106403753524991</v>
      </c>
      <c r="R131" s="717">
        <v>0.50442513902325004</v>
      </c>
      <c r="S131" s="717">
        <v>0.47636582872500011</v>
      </c>
      <c r="T131" s="717">
        <v>0.50057884378350004</v>
      </c>
      <c r="U131" s="717">
        <v>0.49750519359825002</v>
      </c>
      <c r="V131" s="717">
        <v>0</v>
      </c>
      <c r="W131" s="717">
        <v>0</v>
      </c>
      <c r="X131" s="717">
        <v>0</v>
      </c>
      <c r="Y131" s="717">
        <v>0</v>
      </c>
      <c r="Z131" s="711">
        <f t="shared" si="59"/>
        <v>4.0023820328220001</v>
      </c>
      <c r="AA131" s="717">
        <v>0</v>
      </c>
      <c r="AB131" s="717">
        <v>0</v>
      </c>
      <c r="AC131" s="717">
        <v>0</v>
      </c>
      <c r="AD131" s="717">
        <v>0</v>
      </c>
      <c r="AE131" s="717">
        <v>0</v>
      </c>
      <c r="AF131" s="717">
        <v>0</v>
      </c>
      <c r="AG131" s="717">
        <v>0</v>
      </c>
      <c r="AH131" s="717">
        <v>0</v>
      </c>
      <c r="AI131" s="717">
        <v>0</v>
      </c>
      <c r="AJ131" s="717">
        <v>0</v>
      </c>
      <c r="AK131" s="717">
        <v>0</v>
      </c>
      <c r="AL131" s="717">
        <v>0</v>
      </c>
      <c r="AM131" s="711">
        <f t="shared" si="60"/>
        <v>0</v>
      </c>
      <c r="AN131" s="717">
        <v>0</v>
      </c>
      <c r="AO131" s="717">
        <v>0</v>
      </c>
      <c r="AP131" s="691">
        <v>0</v>
      </c>
      <c r="AQ131" s="691">
        <v>0</v>
      </c>
      <c r="AR131" s="691">
        <v>10.72340415</v>
      </c>
      <c r="AS131" s="691">
        <v>11.777146690000002</v>
      </c>
      <c r="AT131" s="691">
        <v>11.343313720000003</v>
      </c>
      <c r="AU131" s="691">
        <v>12.361329810000003</v>
      </c>
      <c r="AV131" s="691">
        <v>11.672022920000002</v>
      </c>
      <c r="AW131" s="691">
        <v>13.048588639999997</v>
      </c>
      <c r="AX131" s="691">
        <v>11.747585189999999</v>
      </c>
      <c r="AY131" s="908"/>
      <c r="AZ131" s="908"/>
    </row>
    <row r="132" spans="1:52">
      <c r="A132" s="235" t="s">
        <v>734</v>
      </c>
      <c r="B132" s="238" t="s">
        <v>566</v>
      </c>
      <c r="C132" s="47"/>
      <c r="D132" s="366"/>
      <c r="E132" s="239"/>
      <c r="F132" s="239"/>
      <c r="G132" s="327"/>
      <c r="H132" s="327"/>
      <c r="I132" s="327"/>
      <c r="J132" s="327"/>
      <c r="K132" s="327"/>
      <c r="L132" s="327"/>
      <c r="M132" s="311"/>
      <c r="N132" s="717">
        <v>0.12252878223812404</v>
      </c>
      <c r="O132" s="717">
        <v>0.10993884666000001</v>
      </c>
      <c r="P132" s="717">
        <v>0.11868616635739802</v>
      </c>
      <c r="Q132" s="717">
        <v>0.11252555664492601</v>
      </c>
      <c r="R132" s="717">
        <v>0.11558720495839801</v>
      </c>
      <c r="S132" s="717">
        <v>0.10915751500140002</v>
      </c>
      <c r="T132" s="717">
        <v>0.11470584024872402</v>
      </c>
      <c r="U132" s="717">
        <v>0.114001524372198</v>
      </c>
      <c r="V132" s="717">
        <v>0</v>
      </c>
      <c r="W132" s="717">
        <v>0</v>
      </c>
      <c r="X132" s="717">
        <v>0</v>
      </c>
      <c r="Y132" s="717">
        <v>0</v>
      </c>
      <c r="Z132" s="711">
        <f t="shared" si="59"/>
        <v>0.91713143648116813</v>
      </c>
      <c r="AA132" s="717">
        <v>0</v>
      </c>
      <c r="AB132" s="717">
        <v>0</v>
      </c>
      <c r="AC132" s="717">
        <v>0</v>
      </c>
      <c r="AD132" s="717">
        <v>0</v>
      </c>
      <c r="AE132" s="717">
        <v>0</v>
      </c>
      <c r="AF132" s="717">
        <v>0</v>
      </c>
      <c r="AG132" s="717">
        <v>0</v>
      </c>
      <c r="AH132" s="717">
        <v>0</v>
      </c>
      <c r="AI132" s="717">
        <v>0</v>
      </c>
      <c r="AJ132" s="717">
        <v>0</v>
      </c>
      <c r="AK132" s="717">
        <v>0</v>
      </c>
      <c r="AL132" s="717">
        <v>0</v>
      </c>
      <c r="AM132" s="711">
        <f t="shared" si="60"/>
        <v>0</v>
      </c>
      <c r="AN132" s="717">
        <v>0</v>
      </c>
      <c r="AO132" s="717">
        <v>0</v>
      </c>
      <c r="AP132" s="691"/>
      <c r="AQ132" s="691"/>
      <c r="AR132" s="691"/>
      <c r="AS132" s="691"/>
      <c r="AT132" s="691"/>
      <c r="AU132" s="691"/>
      <c r="AV132" s="691"/>
      <c r="AW132" s="691"/>
      <c r="AX132" s="691"/>
      <c r="AY132" s="908"/>
      <c r="AZ132" s="908"/>
    </row>
    <row r="133" spans="1:52">
      <c r="A133" s="235" t="s">
        <v>548</v>
      </c>
      <c r="B133" s="477" t="s">
        <v>567</v>
      </c>
      <c r="C133" s="47"/>
      <c r="D133" s="366"/>
      <c r="E133" s="239"/>
      <c r="F133" s="239"/>
      <c r="G133" s="327"/>
      <c r="H133" s="327"/>
      <c r="I133" s="327"/>
      <c r="J133" s="327"/>
      <c r="K133" s="327"/>
      <c r="L133" s="327"/>
      <c r="M133" s="311"/>
      <c r="N133" s="717">
        <v>0.55072590939456467</v>
      </c>
      <c r="O133" s="717">
        <v>0.49292018000357762</v>
      </c>
      <c r="P133" s="717">
        <v>0.5375307237875423</v>
      </c>
      <c r="Q133" s="717">
        <v>0.1954280028235392</v>
      </c>
      <c r="R133" s="717">
        <v>0.36072824773534556</v>
      </c>
      <c r="S133" s="717">
        <v>0.50746437259290722</v>
      </c>
      <c r="T133" s="717">
        <v>0.5328558560333807</v>
      </c>
      <c r="U133" s="717">
        <v>0.55137481053833282</v>
      </c>
      <c r="V133" s="717">
        <v>0.55174655019044627</v>
      </c>
      <c r="W133" s="717">
        <v>0.56667224790154069</v>
      </c>
      <c r="X133" s="717">
        <v>0.5466828864829536</v>
      </c>
      <c r="Y133" s="717">
        <v>0.55391498301657605</v>
      </c>
      <c r="Z133" s="711">
        <f t="shared" si="59"/>
        <v>5.9480447705007071</v>
      </c>
      <c r="AA133" s="717">
        <v>0.61357305372752469</v>
      </c>
      <c r="AB133" s="717">
        <v>0.55343479708346499</v>
      </c>
      <c r="AC133" s="717">
        <v>0.62145197417856124</v>
      </c>
      <c r="AD133" s="717">
        <v>0.54904474786893886</v>
      </c>
      <c r="AE133" s="717">
        <v>0.40616458205269096</v>
      </c>
      <c r="AF133" s="717">
        <v>0.56455657176186502</v>
      </c>
      <c r="AG133" s="717">
        <v>0.59103483171026516</v>
      </c>
      <c r="AH133" s="717">
        <v>0.60855343979886656</v>
      </c>
      <c r="AI133" s="717">
        <v>0.605582620730164</v>
      </c>
      <c r="AJ133" s="717">
        <v>0.63583055360528173</v>
      </c>
      <c r="AK133" s="717">
        <v>0.60443850080434136</v>
      </c>
      <c r="AL133" s="717">
        <v>0.61239877076562088</v>
      </c>
      <c r="AM133" s="711">
        <f t="shared" si="60"/>
        <v>6.9660644440875856</v>
      </c>
      <c r="AN133" s="717">
        <v>7.3646867529440225</v>
      </c>
      <c r="AO133" s="717">
        <v>7.8737479985917966</v>
      </c>
      <c r="AP133" s="691">
        <v>8.134726012372278</v>
      </c>
      <c r="AQ133" s="691">
        <v>7.9997992499698345</v>
      </c>
      <c r="AR133" s="691">
        <v>8.9056036433689325</v>
      </c>
      <c r="AS133" s="691">
        <v>9.4405573444004247</v>
      </c>
      <c r="AT133" s="691">
        <v>8.6051410858102564</v>
      </c>
      <c r="AU133" s="691">
        <v>9.8680344902347503</v>
      </c>
      <c r="AV133" s="691">
        <v>10.078224447536005</v>
      </c>
      <c r="AW133" s="691">
        <v>10.388325575551303</v>
      </c>
      <c r="AX133" s="691">
        <v>10.538641767160669</v>
      </c>
      <c r="AY133" s="908"/>
      <c r="AZ133" s="908"/>
    </row>
    <row r="134" spans="1:52">
      <c r="A134" s="328" t="s">
        <v>734</v>
      </c>
      <c r="B134" s="238" t="s">
        <v>128</v>
      </c>
      <c r="C134" s="47"/>
      <c r="D134" s="366"/>
      <c r="E134" s="239"/>
      <c r="F134" s="239"/>
      <c r="G134" s="327"/>
      <c r="H134" s="327"/>
      <c r="I134" s="327"/>
      <c r="J134" s="327"/>
      <c r="K134" s="327"/>
      <c r="L134" s="327"/>
      <c r="M134" s="311"/>
      <c r="N134" s="717">
        <v>0</v>
      </c>
      <c r="O134" s="717">
        <v>0</v>
      </c>
      <c r="P134" s="717">
        <v>0</v>
      </c>
      <c r="Q134" s="717">
        <v>0</v>
      </c>
      <c r="R134" s="717">
        <v>0</v>
      </c>
      <c r="S134" s="717">
        <v>0</v>
      </c>
      <c r="T134" s="717">
        <v>0</v>
      </c>
      <c r="U134" s="717">
        <v>0</v>
      </c>
      <c r="V134" s="717">
        <v>0</v>
      </c>
      <c r="W134" s="717">
        <v>0</v>
      </c>
      <c r="X134" s="717">
        <v>0</v>
      </c>
      <c r="Y134" s="717">
        <v>0</v>
      </c>
      <c r="Z134" s="711">
        <f t="shared" si="59"/>
        <v>0</v>
      </c>
      <c r="AA134" s="717">
        <v>0</v>
      </c>
      <c r="AB134" s="717">
        <v>0</v>
      </c>
      <c r="AC134" s="717">
        <v>0</v>
      </c>
      <c r="AD134" s="717">
        <v>0</v>
      </c>
      <c r="AE134" s="717">
        <v>0</v>
      </c>
      <c r="AF134" s="717">
        <v>0</v>
      </c>
      <c r="AG134" s="717">
        <v>0</v>
      </c>
      <c r="AH134" s="717">
        <v>0</v>
      </c>
      <c r="AI134" s="717">
        <v>0</v>
      </c>
      <c r="AJ134" s="717">
        <v>0</v>
      </c>
      <c r="AK134" s="717">
        <v>0</v>
      </c>
      <c r="AL134" s="717">
        <v>0</v>
      </c>
      <c r="AM134" s="711">
        <f t="shared" si="60"/>
        <v>0</v>
      </c>
      <c r="AN134" s="717">
        <v>0.13369882898410798</v>
      </c>
      <c r="AO134" s="717">
        <v>0.1784607433500644</v>
      </c>
      <c r="AP134" s="718"/>
      <c r="AQ134" s="718"/>
      <c r="AR134" s="718"/>
      <c r="AS134" s="718"/>
      <c r="AT134" s="718"/>
      <c r="AU134" s="718"/>
      <c r="AV134" s="718"/>
      <c r="AW134" s="718"/>
      <c r="AX134" s="718"/>
      <c r="AY134" s="916"/>
      <c r="AZ134" s="916"/>
    </row>
    <row r="135" spans="1:52" ht="13.5" thickBot="1">
      <c r="C135" s="364"/>
      <c r="D135" s="365"/>
      <c r="E135" s="364"/>
      <c r="F135" s="364"/>
      <c r="G135" s="241"/>
      <c r="H135" s="241"/>
      <c r="I135" s="241"/>
      <c r="J135" s="241"/>
      <c r="K135" s="241"/>
      <c r="L135" s="241"/>
      <c r="M135" s="283"/>
      <c r="N135" s="489">
        <f t="shared" ref="N135:AX135" si="61">SUM(N120:N134)</f>
        <v>2.7446446522258707</v>
      </c>
      <c r="O135" s="489">
        <f t="shared" si="61"/>
        <v>2.4616462142117337</v>
      </c>
      <c r="P135" s="489">
        <f t="shared" si="61"/>
        <v>2.6465388543293544</v>
      </c>
      <c r="Q135" s="489">
        <f t="shared" si="61"/>
        <v>2.2155165250160196</v>
      </c>
      <c r="R135" s="489">
        <f t="shared" si="61"/>
        <v>2.3757739368442001</v>
      </c>
      <c r="S135" s="489">
        <f t="shared" si="61"/>
        <v>2.5089450370463511</v>
      </c>
      <c r="T135" s="489">
        <f t="shared" si="61"/>
        <v>2.6358376627209381</v>
      </c>
      <c r="U135" s="489">
        <f t="shared" si="61"/>
        <v>2.7841488604986639</v>
      </c>
      <c r="V135" s="489">
        <f t="shared" si="61"/>
        <v>2.0701456896350692</v>
      </c>
      <c r="W135" s="489">
        <f t="shared" si="61"/>
        <v>2.062303413651267</v>
      </c>
      <c r="X135" s="489">
        <f t="shared" si="61"/>
        <v>1.8879307274189181</v>
      </c>
      <c r="Y135" s="489">
        <f t="shared" si="61"/>
        <v>1.9409997916191588</v>
      </c>
      <c r="Z135" s="705">
        <f t="shared" si="61"/>
        <v>28.334431365217544</v>
      </c>
      <c r="AA135" s="489">
        <f t="shared" si="61"/>
        <v>2.173414213667562</v>
      </c>
      <c r="AB135" s="489">
        <f t="shared" si="61"/>
        <v>1.9535792847805913</v>
      </c>
      <c r="AC135" s="489">
        <f t="shared" si="61"/>
        <v>1.7983309071956239</v>
      </c>
      <c r="AD135" s="489">
        <f t="shared" si="61"/>
        <v>1.7551249280296966</v>
      </c>
      <c r="AE135" s="489">
        <f t="shared" si="61"/>
        <v>1.8053658559871495</v>
      </c>
      <c r="AF135" s="489">
        <f t="shared" si="61"/>
        <v>2.0146273943685156</v>
      </c>
      <c r="AG135" s="489">
        <f t="shared" si="61"/>
        <v>2.1000673586492251</v>
      </c>
      <c r="AH135" s="489">
        <f t="shared" si="61"/>
        <v>2.2524746160809102</v>
      </c>
      <c r="AI135" s="489">
        <f t="shared" si="61"/>
        <v>2.2392128451321716</v>
      </c>
      <c r="AJ135" s="489">
        <f t="shared" si="61"/>
        <v>2.2394842283870413</v>
      </c>
      <c r="AK135" s="489">
        <f t="shared" si="61"/>
        <v>2.0491971240410312</v>
      </c>
      <c r="AL135" s="489">
        <f t="shared" si="61"/>
        <v>2.0994674558277282</v>
      </c>
      <c r="AM135" s="705">
        <f t="shared" si="61"/>
        <v>24.48034621214725</v>
      </c>
      <c r="AN135" s="704">
        <f t="shared" si="61"/>
        <v>29.004666205059898</v>
      </c>
      <c r="AO135" s="704">
        <f t="shared" si="61"/>
        <v>30.978858762835806</v>
      </c>
      <c r="AP135" s="704">
        <f t="shared" si="61"/>
        <v>32.039988272372277</v>
      </c>
      <c r="AQ135" s="704">
        <f t="shared" si="61"/>
        <v>33.116333749969833</v>
      </c>
      <c r="AR135" s="704">
        <f t="shared" si="61"/>
        <v>45.932116143368937</v>
      </c>
      <c r="AS135" s="704">
        <f t="shared" si="61"/>
        <v>49.95430481440043</v>
      </c>
      <c r="AT135" s="704">
        <f t="shared" si="61"/>
        <v>49.302757365810265</v>
      </c>
      <c r="AU135" s="704">
        <f t="shared" si="61"/>
        <v>52.273539770234748</v>
      </c>
      <c r="AV135" s="704">
        <f t="shared" si="61"/>
        <v>52.318749047536002</v>
      </c>
      <c r="AW135" s="704">
        <f t="shared" si="61"/>
        <v>53.985840755551294</v>
      </c>
      <c r="AX135" s="704">
        <f t="shared" si="61"/>
        <v>54.46188568716066</v>
      </c>
      <c r="AY135" s="766"/>
      <c r="AZ135" s="766"/>
    </row>
    <row r="136" spans="1:52" ht="13.5" thickTop="1">
      <c r="C136" s="47"/>
      <c r="D136" s="366"/>
      <c r="E136" s="47"/>
      <c r="F136" s="47"/>
      <c r="N136" s="714"/>
      <c r="O136" s="714"/>
      <c r="P136" s="714"/>
      <c r="Q136" s="714"/>
      <c r="R136" s="714"/>
      <c r="S136" s="714"/>
      <c r="T136" s="714"/>
      <c r="U136" s="714"/>
      <c r="V136" s="714"/>
      <c r="W136" s="714"/>
      <c r="X136" s="714"/>
      <c r="Y136" s="714"/>
      <c r="Z136" s="711"/>
      <c r="AA136" s="714"/>
      <c r="AB136" s="714"/>
      <c r="AC136" s="714"/>
      <c r="AD136" s="714"/>
      <c r="AE136" s="714"/>
      <c r="AF136" s="714"/>
      <c r="AG136" s="714"/>
      <c r="AH136" s="714"/>
      <c r="AI136" s="714"/>
      <c r="AJ136" s="714"/>
      <c r="AK136" s="714"/>
      <c r="AL136" s="714"/>
      <c r="AM136" s="711"/>
      <c r="AN136" s="714"/>
      <c r="AO136" s="714"/>
      <c r="AP136" s="714"/>
      <c r="AQ136" s="714"/>
      <c r="AR136" s="714"/>
      <c r="AS136" s="714"/>
      <c r="AT136" s="714"/>
      <c r="AU136" s="714"/>
      <c r="AV136" s="714"/>
      <c r="AW136" s="714"/>
      <c r="AX136" s="714"/>
      <c r="AY136" s="764"/>
      <c r="AZ136" s="764"/>
    </row>
    <row r="137" spans="1:52" s="346" customFormat="1" ht="7.15" customHeight="1">
      <c r="C137" s="367"/>
      <c r="D137" s="367"/>
      <c r="E137" s="367"/>
      <c r="F137" s="367"/>
      <c r="N137" s="716"/>
      <c r="O137" s="716"/>
      <c r="P137" s="716"/>
      <c r="Q137" s="716"/>
      <c r="R137" s="716"/>
      <c r="S137" s="716"/>
      <c r="T137" s="716"/>
      <c r="U137" s="716"/>
      <c r="V137" s="716"/>
      <c r="W137" s="716"/>
      <c r="X137" s="716"/>
      <c r="Y137" s="716"/>
      <c r="Z137" s="716"/>
      <c r="AA137" s="716"/>
      <c r="AB137" s="716"/>
      <c r="AC137" s="716"/>
      <c r="AD137" s="716"/>
      <c r="AE137" s="716"/>
      <c r="AF137" s="716"/>
      <c r="AG137" s="716"/>
      <c r="AH137" s="716"/>
      <c r="AI137" s="716"/>
      <c r="AJ137" s="716"/>
      <c r="AK137" s="716"/>
      <c r="AL137" s="716"/>
      <c r="AM137" s="716"/>
      <c r="AN137" s="716"/>
      <c r="AO137" s="716"/>
      <c r="AP137" s="716"/>
      <c r="AQ137" s="716"/>
      <c r="AR137" s="716"/>
      <c r="AS137" s="716"/>
      <c r="AT137" s="716"/>
      <c r="AU137" s="716"/>
      <c r="AV137" s="716"/>
      <c r="AW137" s="716"/>
      <c r="AX137" s="716"/>
      <c r="AY137" s="915"/>
      <c r="AZ137" s="915"/>
    </row>
    <row r="138" spans="1:52">
      <c r="B138" t="s">
        <v>110</v>
      </c>
      <c r="C138" s="47"/>
      <c r="D138" s="366"/>
      <c r="E138" s="47"/>
      <c r="F138" s="47"/>
      <c r="N138" s="714"/>
      <c r="O138" s="714"/>
      <c r="P138" s="714"/>
      <c r="Q138" s="714"/>
      <c r="R138" s="714"/>
      <c r="S138" s="714"/>
      <c r="T138" s="714"/>
      <c r="U138" s="714"/>
      <c r="V138" s="714"/>
      <c r="W138" s="714"/>
      <c r="X138" s="714"/>
      <c r="Y138" s="714"/>
      <c r="Z138" s="711"/>
      <c r="AA138" s="714"/>
      <c r="AB138" s="714"/>
      <c r="AC138" s="714"/>
      <c r="AD138" s="714"/>
      <c r="AE138" s="714"/>
      <c r="AF138" s="714"/>
      <c r="AG138" s="714"/>
      <c r="AH138" s="714"/>
      <c r="AI138" s="714"/>
      <c r="AJ138" s="714"/>
      <c r="AK138" s="714"/>
      <c r="AL138" s="714"/>
      <c r="AM138" s="711"/>
      <c r="AN138" s="714"/>
      <c r="AO138" s="714"/>
      <c r="AP138" s="714"/>
      <c r="AQ138" s="714"/>
      <c r="AR138" s="714"/>
      <c r="AS138" s="714"/>
      <c r="AT138" s="714"/>
      <c r="AU138" s="714"/>
      <c r="AV138" s="714"/>
      <c r="AW138" s="714"/>
      <c r="AX138" s="714"/>
      <c r="AY138" s="764"/>
      <c r="AZ138" s="764"/>
    </row>
    <row r="139" spans="1:52">
      <c r="A139" s="78">
        <v>509.1</v>
      </c>
      <c r="B139" t="s">
        <v>98</v>
      </c>
      <c r="C139" s="47"/>
      <c r="D139" s="366"/>
      <c r="E139" s="47"/>
      <c r="F139" s="47"/>
      <c r="N139" s="714">
        <f t="shared" ref="N139:AX139" si="62">N116</f>
        <v>7.6820392891954505E-3</v>
      </c>
      <c r="O139" s="714">
        <f t="shared" si="62"/>
        <v>6.8834353927498962E-3</v>
      </c>
      <c r="P139" s="714">
        <f t="shared" si="62"/>
        <v>7.444097902796579E-3</v>
      </c>
      <c r="Q139" s="714">
        <f t="shared" si="62"/>
        <v>6.1876641044190227E-3</v>
      </c>
      <c r="R139" s="714">
        <f t="shared" si="62"/>
        <v>1.5636355005466906E-2</v>
      </c>
      <c r="S139" s="714">
        <f t="shared" si="62"/>
        <v>7.3290495654324368E-3</v>
      </c>
      <c r="T139" s="714">
        <f t="shared" si="62"/>
        <v>9.6395203964546872E-3</v>
      </c>
      <c r="U139" s="714">
        <f t="shared" si="62"/>
        <v>7.2984946833338053E-3</v>
      </c>
      <c r="V139" s="714">
        <f t="shared" si="62"/>
        <v>3.8842623513196633E-3</v>
      </c>
      <c r="W139" s="714">
        <f t="shared" si="62"/>
        <v>4.1487683647729269E-3</v>
      </c>
      <c r="X139" s="714">
        <f t="shared" si="62"/>
        <v>4.0144049862864701E-3</v>
      </c>
      <c r="Y139" s="714">
        <f t="shared" si="62"/>
        <v>4.1031487434529746E-3</v>
      </c>
      <c r="Z139" s="711">
        <f t="shared" si="62"/>
        <v>8.4251240785680831E-2</v>
      </c>
      <c r="AA139" s="714">
        <f t="shared" si="62"/>
        <v>2.6015030335303627E-3</v>
      </c>
      <c r="AB139" s="714">
        <f t="shared" si="62"/>
        <v>2.336601525809522E-3</v>
      </c>
      <c r="AC139" s="714">
        <f t="shared" si="62"/>
        <v>2.3261062813364755E-3</v>
      </c>
      <c r="AD139" s="714">
        <f t="shared" si="62"/>
        <v>2.0718721197841411E-3</v>
      </c>
      <c r="AE139" s="714">
        <f t="shared" si="62"/>
        <v>1.9953556517675716E-3</v>
      </c>
      <c r="AF139" s="714">
        <f t="shared" si="62"/>
        <v>2.4050494829547173E-3</v>
      </c>
      <c r="AG139" s="714">
        <f t="shared" si="62"/>
        <v>2.5053019928722594E-3</v>
      </c>
      <c r="AH139" s="714">
        <f t="shared" si="62"/>
        <v>2.4841898861380756E-3</v>
      </c>
      <c r="AI139" s="714">
        <f t="shared" si="62"/>
        <v>2.4086590883452765E-3</v>
      </c>
      <c r="AJ139" s="714">
        <f t="shared" si="62"/>
        <v>2.5788007198638266E-3</v>
      </c>
      <c r="AK139" s="714">
        <f t="shared" si="62"/>
        <v>2.4787001735277598E-3</v>
      </c>
      <c r="AL139" s="714">
        <f t="shared" si="62"/>
        <v>2.524227414776026E-3</v>
      </c>
      <c r="AM139" s="711">
        <f t="shared" si="62"/>
        <v>2.8716367370706014E-2</v>
      </c>
      <c r="AN139" s="719">
        <f t="shared" si="62"/>
        <v>2.5942444929963709E-2</v>
      </c>
      <c r="AO139" s="719">
        <f t="shared" si="62"/>
        <v>1.6391140138151811E-2</v>
      </c>
      <c r="AP139" s="719">
        <f t="shared" si="62"/>
        <v>1.7421679269137583E-2</v>
      </c>
      <c r="AQ139" s="719">
        <f t="shared" si="62"/>
        <v>1.1393504688833652E-2</v>
      </c>
      <c r="AR139" s="719">
        <f t="shared" si="62"/>
        <v>1.7660012949687397E-2</v>
      </c>
      <c r="AS139" s="719">
        <f t="shared" si="62"/>
        <v>1.2793415584210779E-2</v>
      </c>
      <c r="AT139" s="719">
        <f t="shared" si="62"/>
        <v>1.0419258390610982E-2</v>
      </c>
      <c r="AU139" s="719">
        <f t="shared" si="62"/>
        <v>6.9990297622981121E-3</v>
      </c>
      <c r="AV139" s="719">
        <f t="shared" si="62"/>
        <v>5.3025977425028691E-3</v>
      </c>
      <c r="AW139" s="719">
        <f t="shared" si="62"/>
        <v>3.1640288338681544E-3</v>
      </c>
      <c r="AX139" s="719">
        <f t="shared" si="62"/>
        <v>2.0177938888464217E-3</v>
      </c>
      <c r="AY139" s="766"/>
      <c r="AZ139" s="766"/>
    </row>
    <row r="140" spans="1:52">
      <c r="A140" s="78">
        <v>509.1</v>
      </c>
      <c r="B140" t="s">
        <v>758</v>
      </c>
      <c r="C140" s="364"/>
      <c r="D140" s="365"/>
      <c r="E140" s="364"/>
      <c r="F140" s="364"/>
      <c r="G140" s="64"/>
      <c r="H140" s="64"/>
      <c r="I140" s="64"/>
      <c r="J140" s="64"/>
      <c r="K140" s="64"/>
      <c r="L140" s="64"/>
      <c r="M140" s="206"/>
      <c r="N140" s="714">
        <f t="shared" ref="N140:AX140" si="63">N71</f>
        <v>0</v>
      </c>
      <c r="O140" s="714">
        <f t="shared" si="63"/>
        <v>0</v>
      </c>
      <c r="P140" s="714">
        <f t="shared" si="63"/>
        <v>0</v>
      </c>
      <c r="Q140" s="714">
        <f t="shared" si="63"/>
        <v>0</v>
      </c>
      <c r="R140" s="714">
        <f t="shared" si="63"/>
        <v>0</v>
      </c>
      <c r="S140" s="714">
        <f t="shared" si="63"/>
        <v>0</v>
      </c>
      <c r="T140" s="714">
        <f t="shared" si="63"/>
        <v>0</v>
      </c>
      <c r="U140" s="714">
        <f t="shared" si="63"/>
        <v>0</v>
      </c>
      <c r="V140" s="714">
        <f t="shared" si="63"/>
        <v>0</v>
      </c>
      <c r="W140" s="714">
        <f t="shared" si="63"/>
        <v>0</v>
      </c>
      <c r="X140" s="714">
        <f t="shared" si="63"/>
        <v>0</v>
      </c>
      <c r="Y140" s="714">
        <f t="shared" si="63"/>
        <v>1.5933849873060991E-2</v>
      </c>
      <c r="Z140" s="711">
        <f t="shared" si="63"/>
        <v>1.5933849873060991E-2</v>
      </c>
      <c r="AA140" s="714">
        <f t="shared" si="63"/>
        <v>0</v>
      </c>
      <c r="AB140" s="714">
        <f t="shared" si="63"/>
        <v>0</v>
      </c>
      <c r="AC140" s="714">
        <f t="shared" si="63"/>
        <v>0</v>
      </c>
      <c r="AD140" s="714">
        <f t="shared" si="63"/>
        <v>0</v>
      </c>
      <c r="AE140" s="714">
        <f t="shared" si="63"/>
        <v>0</v>
      </c>
      <c r="AF140" s="714">
        <f t="shared" si="63"/>
        <v>0</v>
      </c>
      <c r="AG140" s="714">
        <f t="shared" si="63"/>
        <v>0</v>
      </c>
      <c r="AH140" s="714">
        <f t="shared" si="63"/>
        <v>0</v>
      </c>
      <c r="AI140" s="714">
        <f t="shared" si="63"/>
        <v>0</v>
      </c>
      <c r="AJ140" s="714">
        <f t="shared" si="63"/>
        <v>0</v>
      </c>
      <c r="AK140" s="714">
        <f t="shared" si="63"/>
        <v>0</v>
      </c>
      <c r="AL140" s="714">
        <f t="shared" si="63"/>
        <v>0</v>
      </c>
      <c r="AM140" s="711">
        <f t="shared" si="63"/>
        <v>0</v>
      </c>
      <c r="AN140" s="714">
        <f t="shared" si="63"/>
        <v>2.047403668047415E-2</v>
      </c>
      <c r="AO140" s="714">
        <f t="shared" si="63"/>
        <v>4.718205955498174E-2</v>
      </c>
      <c r="AP140" s="714">
        <f t="shared" si="63"/>
        <v>4.8192302810225525E-2</v>
      </c>
      <c r="AQ140" s="714">
        <f t="shared" si="63"/>
        <v>6.0875637866111311E-2</v>
      </c>
      <c r="AR140" s="714">
        <f t="shared" si="63"/>
        <v>0.1296549251977529</v>
      </c>
      <c r="AS140" s="714">
        <f t="shared" si="63"/>
        <v>0.17159832773970993</v>
      </c>
      <c r="AT140" s="714">
        <f t="shared" si="63"/>
        <v>0.18213643241177291</v>
      </c>
      <c r="AU140" s="714">
        <f t="shared" si="63"/>
        <v>0.18642484140066407</v>
      </c>
      <c r="AV140" s="714">
        <f t="shared" si="63"/>
        <v>0.17734665731041666</v>
      </c>
      <c r="AW140" s="714">
        <f t="shared" si="63"/>
        <v>0.18048234118747095</v>
      </c>
      <c r="AX140" s="714">
        <f t="shared" si="63"/>
        <v>0.18147176247676833</v>
      </c>
      <c r="AY140" s="764"/>
      <c r="AZ140" s="764"/>
    </row>
    <row r="141" spans="1:52">
      <c r="A141" s="78">
        <v>411.8</v>
      </c>
      <c r="B141" t="s">
        <v>759</v>
      </c>
      <c r="C141" s="364"/>
      <c r="D141" s="365"/>
      <c r="E141" s="364"/>
      <c r="F141" s="364"/>
      <c r="G141" s="64"/>
      <c r="H141" s="64"/>
      <c r="I141" s="64"/>
      <c r="J141" s="64"/>
      <c r="K141" s="64"/>
      <c r="L141" s="64"/>
      <c r="M141" s="206"/>
      <c r="N141" s="714">
        <f t="shared" ref="N141:AX141" si="64">N72</f>
        <v>0</v>
      </c>
      <c r="O141" s="714">
        <f t="shared" si="64"/>
        <v>0</v>
      </c>
      <c r="P141" s="714">
        <f t="shared" si="64"/>
        <v>0</v>
      </c>
      <c r="Q141" s="714">
        <f t="shared" si="64"/>
        <v>0</v>
      </c>
      <c r="R141" s="714">
        <f t="shared" si="64"/>
        <v>0</v>
      </c>
      <c r="S141" s="714">
        <f t="shared" si="64"/>
        <v>0</v>
      </c>
      <c r="T141" s="714">
        <f t="shared" si="64"/>
        <v>0</v>
      </c>
      <c r="U141" s="714">
        <f t="shared" si="64"/>
        <v>0</v>
      </c>
      <c r="V141" s="714">
        <f t="shared" si="64"/>
        <v>0</v>
      </c>
      <c r="W141" s="714">
        <f t="shared" si="64"/>
        <v>0</v>
      </c>
      <c r="X141" s="714">
        <f t="shared" si="64"/>
        <v>0</v>
      </c>
      <c r="Y141" s="714">
        <f t="shared" si="64"/>
        <v>0</v>
      </c>
      <c r="Z141" s="711">
        <f t="shared" si="64"/>
        <v>0</v>
      </c>
      <c r="AA141" s="714">
        <f t="shared" si="64"/>
        <v>0</v>
      </c>
      <c r="AB141" s="714">
        <f t="shared" si="64"/>
        <v>0</v>
      </c>
      <c r="AC141" s="714">
        <f t="shared" si="64"/>
        <v>0</v>
      </c>
      <c r="AD141" s="714">
        <f t="shared" si="64"/>
        <v>0</v>
      </c>
      <c r="AE141" s="714">
        <f t="shared" si="64"/>
        <v>0</v>
      </c>
      <c r="AF141" s="714">
        <f t="shared" si="64"/>
        <v>0</v>
      </c>
      <c r="AG141" s="714">
        <f t="shared" si="64"/>
        <v>0</v>
      </c>
      <c r="AH141" s="714">
        <f t="shared" si="64"/>
        <v>0</v>
      </c>
      <c r="AI141" s="714">
        <f t="shared" si="64"/>
        <v>0</v>
      </c>
      <c r="AJ141" s="714">
        <f t="shared" si="64"/>
        <v>0</v>
      </c>
      <c r="AK141" s="714">
        <f t="shared" si="64"/>
        <v>0</v>
      </c>
      <c r="AL141" s="714">
        <f t="shared" si="64"/>
        <v>0</v>
      </c>
      <c r="AM141" s="711">
        <f t="shared" si="64"/>
        <v>0</v>
      </c>
      <c r="AN141" s="714">
        <f t="shared" si="64"/>
        <v>0</v>
      </c>
      <c r="AO141" s="714">
        <f t="shared" si="64"/>
        <v>0</v>
      </c>
      <c r="AP141" s="714">
        <f t="shared" si="64"/>
        <v>0</v>
      </c>
      <c r="AQ141" s="714">
        <f t="shared" si="64"/>
        <v>0</v>
      </c>
      <c r="AR141" s="714">
        <f t="shared" si="64"/>
        <v>0</v>
      </c>
      <c r="AS141" s="714">
        <f t="shared" si="64"/>
        <v>0</v>
      </c>
      <c r="AT141" s="714">
        <f t="shared" si="64"/>
        <v>0</v>
      </c>
      <c r="AU141" s="714">
        <f t="shared" si="64"/>
        <v>0</v>
      </c>
      <c r="AV141" s="714">
        <f t="shared" si="64"/>
        <v>0</v>
      </c>
      <c r="AW141" s="714">
        <f t="shared" si="64"/>
        <v>0</v>
      </c>
      <c r="AX141" s="714">
        <f t="shared" si="64"/>
        <v>0</v>
      </c>
      <c r="AY141" s="764"/>
      <c r="AZ141" s="764"/>
    </row>
    <row r="142" spans="1:52" ht="13.5" thickBot="1">
      <c r="C142" s="364"/>
      <c r="D142" s="365"/>
      <c r="E142" s="364"/>
      <c r="F142" s="364"/>
      <c r="G142" s="241"/>
      <c r="H142" s="241"/>
      <c r="I142" s="241"/>
      <c r="J142" s="241"/>
      <c r="K142" s="241"/>
      <c r="L142" s="241"/>
      <c r="M142" s="283"/>
      <c r="N142" s="489">
        <f t="shared" ref="N142:X142" si="65">SUM(N139:N141)</f>
        <v>7.6820392891954505E-3</v>
      </c>
      <c r="O142" s="489">
        <f t="shared" si="65"/>
        <v>6.8834353927498962E-3</v>
      </c>
      <c r="P142" s="489">
        <f t="shared" si="65"/>
        <v>7.444097902796579E-3</v>
      </c>
      <c r="Q142" s="489">
        <f t="shared" si="65"/>
        <v>6.1876641044190227E-3</v>
      </c>
      <c r="R142" s="489">
        <f t="shared" si="65"/>
        <v>1.5636355005466906E-2</v>
      </c>
      <c r="S142" s="489">
        <f t="shared" si="65"/>
        <v>7.3290495654324368E-3</v>
      </c>
      <c r="T142" s="489">
        <f t="shared" si="65"/>
        <v>9.6395203964546872E-3</v>
      </c>
      <c r="U142" s="489">
        <f t="shared" si="65"/>
        <v>7.2984946833338053E-3</v>
      </c>
      <c r="V142" s="489">
        <f t="shared" si="65"/>
        <v>3.8842623513196633E-3</v>
      </c>
      <c r="W142" s="489">
        <f t="shared" si="65"/>
        <v>4.1487683647729269E-3</v>
      </c>
      <c r="X142" s="489">
        <f t="shared" si="65"/>
        <v>4.0144049862864701E-3</v>
      </c>
      <c r="Y142" s="489">
        <f>SUM(Y139:Y141)</f>
        <v>2.0036998616513965E-2</v>
      </c>
      <c r="Z142" s="705">
        <f>SUM(Z139:Z141)</f>
        <v>0.10018509065874182</v>
      </c>
      <c r="AA142" s="489">
        <f>SUM(AA139:AA141)</f>
        <v>2.6015030335303627E-3</v>
      </c>
      <c r="AB142" s="489">
        <f t="shared" ref="AB142:AL142" si="66">SUM(AB139:AB141)</f>
        <v>2.336601525809522E-3</v>
      </c>
      <c r="AC142" s="489">
        <f t="shared" si="66"/>
        <v>2.3261062813364755E-3</v>
      </c>
      <c r="AD142" s="489">
        <f t="shared" si="66"/>
        <v>2.0718721197841411E-3</v>
      </c>
      <c r="AE142" s="489">
        <f t="shared" si="66"/>
        <v>1.9953556517675716E-3</v>
      </c>
      <c r="AF142" s="489">
        <f t="shared" si="66"/>
        <v>2.4050494829547173E-3</v>
      </c>
      <c r="AG142" s="489">
        <f t="shared" si="66"/>
        <v>2.5053019928722594E-3</v>
      </c>
      <c r="AH142" s="489">
        <f t="shared" si="66"/>
        <v>2.4841898861380756E-3</v>
      </c>
      <c r="AI142" s="489">
        <f t="shared" si="66"/>
        <v>2.4086590883452765E-3</v>
      </c>
      <c r="AJ142" s="489">
        <f t="shared" si="66"/>
        <v>2.5788007198638266E-3</v>
      </c>
      <c r="AK142" s="489">
        <f t="shared" si="66"/>
        <v>2.4787001735277598E-3</v>
      </c>
      <c r="AL142" s="489">
        <f t="shared" si="66"/>
        <v>2.524227414776026E-3</v>
      </c>
      <c r="AM142" s="705">
        <f>SUM(AM139:AM141)</f>
        <v>2.8716367370706014E-2</v>
      </c>
      <c r="AN142" s="489">
        <f>SUM(AN139:AN141)</f>
        <v>4.6416481610437862E-2</v>
      </c>
      <c r="AO142" s="489">
        <f t="shared" ref="AO142:AX142" si="67">SUM(AO139:AO141)</f>
        <v>6.3573199693133547E-2</v>
      </c>
      <c r="AP142" s="489">
        <f t="shared" si="67"/>
        <v>6.5613982079363115E-2</v>
      </c>
      <c r="AQ142" s="489">
        <f t="shared" si="67"/>
        <v>7.226914255494496E-2</v>
      </c>
      <c r="AR142" s="489">
        <f t="shared" si="67"/>
        <v>0.14731493814744029</v>
      </c>
      <c r="AS142" s="489">
        <f t="shared" si="67"/>
        <v>0.18439174332392072</v>
      </c>
      <c r="AT142" s="489">
        <f t="shared" si="67"/>
        <v>0.19255569080238388</v>
      </c>
      <c r="AU142" s="489">
        <f t="shared" si="67"/>
        <v>0.19342387116296217</v>
      </c>
      <c r="AV142" s="489">
        <f t="shared" si="67"/>
        <v>0.18264925505291951</v>
      </c>
      <c r="AW142" s="489">
        <f t="shared" si="67"/>
        <v>0.1836463700213391</v>
      </c>
      <c r="AX142" s="489">
        <f t="shared" si="67"/>
        <v>0.18348955636561476</v>
      </c>
      <c r="AY142" s="764"/>
      <c r="AZ142" s="764"/>
    </row>
    <row r="143" spans="1:52" ht="13.5" thickTop="1">
      <c r="C143" s="47"/>
      <c r="D143" s="366"/>
      <c r="E143" s="47"/>
      <c r="F143" s="47"/>
      <c r="N143" s="714"/>
      <c r="O143" s="714"/>
      <c r="P143" s="714"/>
      <c r="Q143" s="714"/>
      <c r="R143" s="714"/>
      <c r="S143" s="714"/>
      <c r="T143" s="714"/>
      <c r="U143" s="714"/>
      <c r="V143" s="714"/>
      <c r="W143" s="714"/>
      <c r="X143" s="714"/>
      <c r="Y143" s="714"/>
      <c r="Z143" s="711"/>
      <c r="AA143" s="714"/>
      <c r="AB143" s="714"/>
      <c r="AC143" s="714"/>
      <c r="AD143" s="714"/>
      <c r="AE143" s="714"/>
      <c r="AF143" s="714"/>
      <c r="AG143" s="714"/>
      <c r="AH143" s="714"/>
      <c r="AI143" s="714"/>
      <c r="AJ143" s="714"/>
      <c r="AK143" s="714"/>
      <c r="AL143" s="714"/>
      <c r="AM143" s="711"/>
      <c r="AN143" s="714"/>
      <c r="AO143" s="714"/>
      <c r="AP143" s="714"/>
      <c r="AQ143" s="714"/>
      <c r="AR143" s="714"/>
      <c r="AS143" s="714"/>
      <c r="AT143" s="714"/>
      <c r="AU143" s="714"/>
      <c r="AV143" s="714"/>
      <c r="AW143" s="714"/>
      <c r="AX143" s="714"/>
      <c r="AY143" s="764"/>
      <c r="AZ143" s="764"/>
    </row>
    <row r="144" spans="1:52">
      <c r="B144" t="s">
        <v>384</v>
      </c>
      <c r="C144" s="47"/>
      <c r="D144" s="366"/>
      <c r="E144" s="47"/>
      <c r="F144" s="47"/>
      <c r="N144" s="714"/>
      <c r="O144" s="714"/>
      <c r="P144" s="714"/>
      <c r="Q144" s="714"/>
      <c r="R144" s="714"/>
      <c r="S144" s="714"/>
      <c r="T144" s="714"/>
      <c r="U144" s="714"/>
      <c r="V144" s="714"/>
      <c r="W144" s="714"/>
      <c r="X144" s="714"/>
      <c r="Y144" s="714"/>
      <c r="Z144" s="711"/>
      <c r="AA144" s="714"/>
      <c r="AB144" s="714"/>
      <c r="AC144" s="714"/>
      <c r="AD144" s="714"/>
      <c r="AE144" s="714"/>
      <c r="AF144" s="714"/>
      <c r="AG144" s="714"/>
      <c r="AH144" s="714"/>
      <c r="AI144" s="714"/>
      <c r="AJ144" s="714"/>
      <c r="AK144" s="714"/>
      <c r="AL144" s="714"/>
      <c r="AM144" s="711"/>
      <c r="AN144" s="714"/>
      <c r="AO144" s="714"/>
      <c r="AP144" s="714"/>
      <c r="AQ144" s="714"/>
      <c r="AR144" s="714"/>
      <c r="AS144" s="714"/>
      <c r="AT144" s="714"/>
      <c r="AU144" s="714"/>
      <c r="AV144" s="714"/>
      <c r="AW144" s="714"/>
      <c r="AX144" s="714"/>
      <c r="AY144" s="764"/>
      <c r="AZ144" s="764"/>
    </row>
    <row r="145" spans="1:52">
      <c r="A145" s="288" t="s">
        <v>83</v>
      </c>
      <c r="B145" s="262" t="s">
        <v>379</v>
      </c>
      <c r="C145" s="368"/>
      <c r="D145" s="369"/>
      <c r="E145" s="368"/>
      <c r="F145" s="368"/>
      <c r="G145" s="5"/>
      <c r="H145" s="5"/>
      <c r="I145" s="5"/>
      <c r="J145" s="5"/>
      <c r="K145" s="5"/>
      <c r="L145" s="5"/>
      <c r="M145" s="171"/>
      <c r="N145" s="714">
        <f t="shared" ref="N145:Y145" si="68">+N63</f>
        <v>0.88063521120000021</v>
      </c>
      <c r="O145" s="714">
        <f t="shared" si="68"/>
        <v>0.8216226095000001</v>
      </c>
      <c r="P145" s="714">
        <f t="shared" si="68"/>
        <v>0.8798948847000001</v>
      </c>
      <c r="Q145" s="714">
        <f t="shared" si="68"/>
        <v>0.86164446549999996</v>
      </c>
      <c r="R145" s="714">
        <f t="shared" si="68"/>
        <v>0.87437931959999982</v>
      </c>
      <c r="S145" s="714">
        <f t="shared" si="68"/>
        <v>0.40397904569999998</v>
      </c>
      <c r="T145" s="714">
        <f t="shared" si="68"/>
        <v>0.40915283999999996</v>
      </c>
      <c r="U145" s="714">
        <f t="shared" si="68"/>
        <v>0.40722250719999997</v>
      </c>
      <c r="V145" s="714">
        <f t="shared" si="68"/>
        <v>0.40396330159999999</v>
      </c>
      <c r="W145" s="714">
        <f t="shared" si="68"/>
        <v>0.8799035528000001</v>
      </c>
      <c r="X145" s="714">
        <f t="shared" si="68"/>
        <v>0.85969980379999988</v>
      </c>
      <c r="Y145" s="714">
        <f t="shared" si="68"/>
        <v>0.88420098450000006</v>
      </c>
      <c r="Z145" s="711">
        <f>SUM(N145:Y145)</f>
        <v>8.5662985261000006</v>
      </c>
      <c r="AA145" s="714">
        <f t="shared" ref="AA145:AL145" si="69">+AA63</f>
        <v>0.88869821120000014</v>
      </c>
      <c r="AB145" s="714">
        <f t="shared" si="69"/>
        <v>0.82968560950000003</v>
      </c>
      <c r="AC145" s="714">
        <f t="shared" si="69"/>
        <v>0.88795788470000003</v>
      </c>
      <c r="AD145" s="714">
        <f t="shared" si="69"/>
        <v>0.86970746550000011</v>
      </c>
      <c r="AE145" s="714">
        <f t="shared" si="69"/>
        <v>0.88244231959999997</v>
      </c>
      <c r="AF145" s="714">
        <f t="shared" si="69"/>
        <v>0.41204204570000003</v>
      </c>
      <c r="AG145" s="714">
        <f t="shared" si="69"/>
        <v>0.41721584</v>
      </c>
      <c r="AH145" s="714">
        <f t="shared" si="69"/>
        <v>0.41528550720000001</v>
      </c>
      <c r="AI145" s="714">
        <f t="shared" si="69"/>
        <v>0.41202630160000003</v>
      </c>
      <c r="AJ145" s="714">
        <f t="shared" si="69"/>
        <v>0.88796655280000003</v>
      </c>
      <c r="AK145" s="714">
        <f t="shared" si="69"/>
        <v>0.86776280380000004</v>
      </c>
      <c r="AL145" s="714">
        <f t="shared" si="69"/>
        <v>0.89226398450000022</v>
      </c>
      <c r="AM145" s="711">
        <f>SUM(AA145:AL145)</f>
        <v>8.6630545260999998</v>
      </c>
      <c r="AN145" s="714">
        <f t="shared" ref="AN145:AX145" si="70">+AN63</f>
        <v>12.422228399999998</v>
      </c>
      <c r="AO145" s="714">
        <f t="shared" si="70"/>
        <v>12.422228399999998</v>
      </c>
      <c r="AP145" s="714">
        <f t="shared" si="70"/>
        <v>12.4222284</v>
      </c>
      <c r="AQ145" s="714">
        <f t="shared" si="70"/>
        <v>13.04333982</v>
      </c>
      <c r="AR145" s="714">
        <f t="shared" si="70"/>
        <v>13.04333982</v>
      </c>
      <c r="AS145" s="714">
        <f t="shared" si="70"/>
        <v>13.04333982</v>
      </c>
      <c r="AT145" s="714">
        <f t="shared" si="70"/>
        <v>13.695506811000001</v>
      </c>
      <c r="AU145" s="714">
        <f t="shared" si="70"/>
        <v>13.695506811000001</v>
      </c>
      <c r="AV145" s="714">
        <f t="shared" si="70"/>
        <v>13.695506811000001</v>
      </c>
      <c r="AW145" s="714">
        <f t="shared" si="70"/>
        <v>14.38028215155</v>
      </c>
      <c r="AX145" s="714">
        <f t="shared" si="70"/>
        <v>14.38028215155</v>
      </c>
      <c r="AY145" s="764"/>
      <c r="AZ145" s="764"/>
    </row>
    <row r="146" spans="1:52">
      <c r="A146" s="287" t="s">
        <v>546</v>
      </c>
      <c r="B146" s="289" t="s">
        <v>380</v>
      </c>
      <c r="C146" s="368"/>
      <c r="D146" s="369"/>
      <c r="E146" s="368"/>
      <c r="F146" s="368"/>
      <c r="G146" s="5"/>
      <c r="H146" s="5"/>
      <c r="I146" s="5"/>
      <c r="J146" s="5"/>
      <c r="K146" s="5"/>
      <c r="L146" s="5"/>
      <c r="M146" s="171"/>
      <c r="N146" s="714">
        <f t="shared" ref="N146:Y146" si="71">+N66</f>
        <v>4.2337784999999996E-2</v>
      </c>
      <c r="O146" s="714">
        <f t="shared" si="71"/>
        <v>3.7758135000000005E-2</v>
      </c>
      <c r="P146" s="714">
        <f t="shared" si="71"/>
        <v>4.9842029999999996E-2</v>
      </c>
      <c r="Q146" s="714">
        <f t="shared" si="71"/>
        <v>5.1810839999999997E-2</v>
      </c>
      <c r="R146" s="714">
        <f t="shared" si="71"/>
        <v>5.1375045000000001E-2</v>
      </c>
      <c r="S146" s="714">
        <f t="shared" si="71"/>
        <v>4.3315065E-2</v>
      </c>
      <c r="T146" s="714">
        <f t="shared" si="71"/>
        <v>4.4605485E-2</v>
      </c>
      <c r="U146" s="714">
        <f t="shared" si="71"/>
        <v>4.0118010000000003E-2</v>
      </c>
      <c r="V146" s="714">
        <f t="shared" si="71"/>
        <v>4.9318154999999995E-2</v>
      </c>
      <c r="W146" s="714">
        <f t="shared" si="71"/>
        <v>5.8424984999999999E-2</v>
      </c>
      <c r="X146" s="714">
        <f t="shared" si="71"/>
        <v>5.721147E-2</v>
      </c>
      <c r="Y146" s="714">
        <f t="shared" si="71"/>
        <v>5.2862399999999997E-2</v>
      </c>
      <c r="Z146" s="711">
        <f>SUM(N146:Y146)</f>
        <v>0.57897940499999989</v>
      </c>
      <c r="AA146" s="714">
        <f t="shared" ref="AA146:AL146" si="72">+AA66</f>
        <v>4.7917784999999997E-2</v>
      </c>
      <c r="AB146" s="714">
        <f t="shared" si="72"/>
        <v>4.2796635E-2</v>
      </c>
      <c r="AC146" s="714">
        <f t="shared" si="72"/>
        <v>5.5422029999999997E-2</v>
      </c>
      <c r="AD146" s="714">
        <f t="shared" si="72"/>
        <v>5.7207839999999996E-2</v>
      </c>
      <c r="AE146" s="714">
        <f t="shared" si="72"/>
        <v>5.5455045000000001E-2</v>
      </c>
      <c r="AF146" s="714">
        <f t="shared" si="72"/>
        <v>4.8713565E-2</v>
      </c>
      <c r="AG146" s="714">
        <f t="shared" si="72"/>
        <v>5.0185485000000002E-2</v>
      </c>
      <c r="AH146" s="714">
        <f t="shared" si="72"/>
        <v>4.5696510000000003E-2</v>
      </c>
      <c r="AI146" s="714">
        <f t="shared" si="72"/>
        <v>5.4718154999999997E-2</v>
      </c>
      <c r="AJ146" s="714">
        <f t="shared" si="72"/>
        <v>6.3986984999999996E-2</v>
      </c>
      <c r="AK146" s="714">
        <f t="shared" si="72"/>
        <v>6.2620469999999998E-2</v>
      </c>
      <c r="AL146" s="714">
        <f t="shared" si="72"/>
        <v>5.7989399999999997E-2</v>
      </c>
      <c r="AM146" s="711">
        <f>SUM(AA146:AL146)</f>
        <v>0.64270990500000003</v>
      </c>
      <c r="AN146" s="714">
        <f t="shared" ref="AN146:AX146" si="73">+AN66</f>
        <v>0.66945943499999994</v>
      </c>
      <c r="AO146" s="714">
        <f t="shared" si="73"/>
        <v>0.67100294999999999</v>
      </c>
      <c r="AP146" s="714">
        <f t="shared" si="73"/>
        <v>0.71322104999999991</v>
      </c>
      <c r="AQ146" s="714">
        <f t="shared" si="73"/>
        <v>0.70968254999999991</v>
      </c>
      <c r="AR146" s="714">
        <f t="shared" si="73"/>
        <v>0.70785254999999991</v>
      </c>
      <c r="AS146" s="714">
        <f t="shared" si="73"/>
        <v>0.71141504999999994</v>
      </c>
      <c r="AT146" s="714">
        <f t="shared" si="73"/>
        <v>0.70091354999999989</v>
      </c>
      <c r="AU146" s="714">
        <f t="shared" si="73"/>
        <v>0.69904006499999993</v>
      </c>
      <c r="AV146" s="714">
        <f t="shared" si="73"/>
        <v>0.69354554999999996</v>
      </c>
      <c r="AW146" s="714">
        <f t="shared" si="73"/>
        <v>0.69855406499999995</v>
      </c>
      <c r="AX146" s="714">
        <f t="shared" si="73"/>
        <v>0.68930203499999987</v>
      </c>
      <c r="AY146" s="764"/>
      <c r="AZ146" s="764"/>
    </row>
    <row r="147" spans="1:52">
      <c r="A147" s="287" t="s">
        <v>646</v>
      </c>
      <c r="B147" s="262" t="s">
        <v>381</v>
      </c>
      <c r="C147" s="368"/>
      <c r="D147" s="369"/>
      <c r="E147" s="368"/>
      <c r="F147" s="368"/>
      <c r="G147" s="5"/>
      <c r="H147" s="5"/>
      <c r="I147" s="5"/>
      <c r="J147" s="5"/>
      <c r="K147" s="5"/>
      <c r="L147" s="5"/>
      <c r="M147" s="171"/>
      <c r="N147" s="714">
        <f t="shared" ref="N147:Y147" si="74">+N64</f>
        <v>0.62215626539999991</v>
      </c>
      <c r="O147" s="714">
        <f t="shared" si="74"/>
        <v>0.5916125467000003</v>
      </c>
      <c r="P147" s="714">
        <f t="shared" si="74"/>
        <v>0.45243363639999995</v>
      </c>
      <c r="Q147" s="714">
        <f t="shared" si="74"/>
        <v>0.74139876890000012</v>
      </c>
      <c r="R147" s="714">
        <f t="shared" si="74"/>
        <v>1.1763295668000002</v>
      </c>
      <c r="S147" s="714">
        <f t="shared" si="74"/>
        <v>0.77883408830000023</v>
      </c>
      <c r="T147" s="714">
        <f t="shared" si="74"/>
        <v>0.87873033169999948</v>
      </c>
      <c r="U147" s="714">
        <f t="shared" si="74"/>
        <v>0.66235122650000022</v>
      </c>
      <c r="V147" s="714">
        <f t="shared" si="74"/>
        <v>7.9055902199999986E-2</v>
      </c>
      <c r="W147" s="714">
        <f t="shared" si="74"/>
        <v>9.232072400000001E-3</v>
      </c>
      <c r="X147" s="714">
        <f t="shared" si="74"/>
        <v>3.7960289700000024E-2</v>
      </c>
      <c r="Y147" s="714">
        <f t="shared" si="74"/>
        <v>0.14278794460000002</v>
      </c>
      <c r="Z147" s="711">
        <f>SUM(N147:Y147)</f>
        <v>6.1728826396000001</v>
      </c>
      <c r="AA147" s="714">
        <f t="shared" ref="AA147:AL147" si="75">+AA64</f>
        <v>0.21997349500000005</v>
      </c>
      <c r="AB147" s="714">
        <f t="shared" si="75"/>
        <v>8.6748361100000018E-2</v>
      </c>
      <c r="AC147" s="714">
        <f t="shared" si="75"/>
        <v>0.22969405729999984</v>
      </c>
      <c r="AD147" s="714">
        <f t="shared" si="75"/>
        <v>0.24713617959999995</v>
      </c>
      <c r="AE147" s="714">
        <f t="shared" si="75"/>
        <v>0.29614133809999987</v>
      </c>
      <c r="AF147" s="714">
        <f t="shared" si="75"/>
        <v>0.15432896970000004</v>
      </c>
      <c r="AG147" s="714">
        <f t="shared" si="75"/>
        <v>0.16274008689999994</v>
      </c>
      <c r="AH147" s="714">
        <f t="shared" si="75"/>
        <v>0.2073111713000001</v>
      </c>
      <c r="AI147" s="714">
        <f t="shared" si="75"/>
        <v>7.2268148200000007E-2</v>
      </c>
      <c r="AJ147" s="714">
        <f t="shared" si="75"/>
        <v>8.1094002000000019E-3</v>
      </c>
      <c r="AK147" s="714">
        <f t="shared" si="75"/>
        <v>3.74187978E-2</v>
      </c>
      <c r="AL147" s="714">
        <f t="shared" si="75"/>
        <v>0.2224089942000001</v>
      </c>
      <c r="AM147" s="711">
        <f>SUM(AA147:AL147)</f>
        <v>1.9442789994</v>
      </c>
      <c r="AN147" s="714">
        <f t="shared" ref="AN147:AX147" si="76">+AN64</f>
        <v>2.5058812575999996</v>
      </c>
      <c r="AO147" s="714">
        <f t="shared" si="76"/>
        <v>3.1282986090999998</v>
      </c>
      <c r="AP147" s="714">
        <f t="shared" si="76"/>
        <v>3.7426968239999994</v>
      </c>
      <c r="AQ147" s="714">
        <f t="shared" si="76"/>
        <v>3.6104256716999994</v>
      </c>
      <c r="AR147" s="714">
        <f t="shared" si="76"/>
        <v>0.18195605590000002</v>
      </c>
      <c r="AS147" s="714">
        <f t="shared" si="76"/>
        <v>0.11185580340000001</v>
      </c>
      <c r="AT147" s="714">
        <f t="shared" si="76"/>
        <v>0.1032558918</v>
      </c>
      <c r="AU147" s="714">
        <f t="shared" si="76"/>
        <v>7.6136057999999993E-2</v>
      </c>
      <c r="AV147" s="714">
        <f t="shared" si="76"/>
        <v>9.4355474100000017E-2</v>
      </c>
      <c r="AW147" s="714">
        <f t="shared" si="76"/>
        <v>0.12069862090000001</v>
      </c>
      <c r="AX147" s="714">
        <f t="shared" si="76"/>
        <v>0.17989253219999995</v>
      </c>
      <c r="AY147" s="764"/>
      <c r="AZ147" s="764"/>
    </row>
    <row r="148" spans="1:52" ht="13.5" thickBot="1">
      <c r="C148" s="368"/>
      <c r="D148" s="369"/>
      <c r="E148" s="368"/>
      <c r="F148" s="368"/>
      <c r="G148" s="290"/>
      <c r="H148" s="290"/>
      <c r="I148" s="290"/>
      <c r="J148" s="290"/>
      <c r="K148" s="290"/>
      <c r="L148" s="290"/>
      <c r="M148" s="306"/>
      <c r="N148" s="489">
        <f t="shared" ref="N148:Y148" si="77">SUM(N145:N147)</f>
        <v>1.5451292616000001</v>
      </c>
      <c r="O148" s="489">
        <f t="shared" si="77"/>
        <v>1.4509932912000005</v>
      </c>
      <c r="P148" s="489">
        <f t="shared" si="77"/>
        <v>1.3821705511</v>
      </c>
      <c r="Q148" s="489">
        <f t="shared" si="77"/>
        <v>1.6548540744000002</v>
      </c>
      <c r="R148" s="489">
        <f t="shared" si="77"/>
        <v>2.1020839314000002</v>
      </c>
      <c r="S148" s="489">
        <f t="shared" si="77"/>
        <v>1.2261281990000001</v>
      </c>
      <c r="T148" s="489">
        <f t="shared" si="77"/>
        <v>1.3324886566999994</v>
      </c>
      <c r="U148" s="489">
        <f t="shared" si="77"/>
        <v>1.1096917437000002</v>
      </c>
      <c r="V148" s="489">
        <f t="shared" si="77"/>
        <v>0.53233735879999999</v>
      </c>
      <c r="W148" s="489">
        <f t="shared" si="77"/>
        <v>0.94756061020000015</v>
      </c>
      <c r="X148" s="489">
        <f t="shared" si="77"/>
        <v>0.95487156349999991</v>
      </c>
      <c r="Y148" s="489">
        <f t="shared" si="77"/>
        <v>1.0798513291</v>
      </c>
      <c r="Z148" s="705">
        <f>SUM(N148:Y148)</f>
        <v>15.3181605707</v>
      </c>
      <c r="AA148" s="489">
        <f t="shared" ref="AA148:AL148" si="78">SUM(AA145:AA147)</f>
        <v>1.1565894912000001</v>
      </c>
      <c r="AB148" s="489">
        <f t="shared" si="78"/>
        <v>0.95923060560000006</v>
      </c>
      <c r="AC148" s="489">
        <f t="shared" si="78"/>
        <v>1.1730739719999999</v>
      </c>
      <c r="AD148" s="489">
        <f t="shared" si="78"/>
        <v>1.1740514851000001</v>
      </c>
      <c r="AE148" s="489">
        <f t="shared" si="78"/>
        <v>1.2340387026999999</v>
      </c>
      <c r="AF148" s="489">
        <f t="shared" si="78"/>
        <v>0.61508458040000002</v>
      </c>
      <c r="AG148" s="489">
        <f t="shared" si="78"/>
        <v>0.63014141189999995</v>
      </c>
      <c r="AH148" s="489">
        <f t="shared" si="78"/>
        <v>0.66829318850000008</v>
      </c>
      <c r="AI148" s="489">
        <f t="shared" si="78"/>
        <v>0.53901260480000002</v>
      </c>
      <c r="AJ148" s="489">
        <f t="shared" si="78"/>
        <v>0.96006293799999998</v>
      </c>
      <c r="AK148" s="489">
        <f t="shared" si="78"/>
        <v>0.96780207160000009</v>
      </c>
      <c r="AL148" s="489">
        <f t="shared" si="78"/>
        <v>1.1726623787000003</v>
      </c>
      <c r="AM148" s="705">
        <f>SUM(AA148:AL148)</f>
        <v>11.2500434305</v>
      </c>
      <c r="AN148" s="489">
        <f t="shared" ref="AN148:AX148" si="79">SUM(AN145:AN147)</f>
        <v>15.597569092599997</v>
      </c>
      <c r="AO148" s="489">
        <f t="shared" si="79"/>
        <v>16.221529959099996</v>
      </c>
      <c r="AP148" s="489">
        <f t="shared" si="79"/>
        <v>16.878146273999999</v>
      </c>
      <c r="AQ148" s="489">
        <f t="shared" si="79"/>
        <v>17.3634480417</v>
      </c>
      <c r="AR148" s="489">
        <f t="shared" si="79"/>
        <v>13.933148425900001</v>
      </c>
      <c r="AS148" s="489">
        <f t="shared" si="79"/>
        <v>13.866610673399999</v>
      </c>
      <c r="AT148" s="489">
        <f t="shared" si="79"/>
        <v>14.4996762528</v>
      </c>
      <c r="AU148" s="489">
        <f t="shared" si="79"/>
        <v>14.470682934000001</v>
      </c>
      <c r="AV148" s="489">
        <f t="shared" si="79"/>
        <v>14.483407835100001</v>
      </c>
      <c r="AW148" s="489">
        <f t="shared" si="79"/>
        <v>15.199534837450001</v>
      </c>
      <c r="AX148" s="489">
        <f t="shared" si="79"/>
        <v>15.24947671875</v>
      </c>
      <c r="AY148" s="764"/>
      <c r="AZ148" s="764"/>
    </row>
    <row r="149" spans="1:52" ht="13.5" thickTop="1">
      <c r="C149" s="47"/>
      <c r="D149" s="366"/>
      <c r="E149" s="47"/>
      <c r="F149" s="47"/>
      <c r="N149" s="714"/>
      <c r="O149" s="714"/>
      <c r="P149" s="714"/>
      <c r="Q149" s="714"/>
      <c r="R149" s="714"/>
      <c r="S149" s="714"/>
      <c r="T149" s="714"/>
      <c r="U149" s="714"/>
      <c r="V149" s="714"/>
      <c r="W149" s="714"/>
      <c r="X149" s="714"/>
      <c r="Y149" s="714"/>
      <c r="Z149" s="711"/>
      <c r="AA149" s="714"/>
      <c r="AB149" s="714"/>
      <c r="AC149" s="714"/>
      <c r="AD149" s="714"/>
      <c r="AE149" s="714"/>
      <c r="AF149" s="714"/>
      <c r="AG149" s="714"/>
      <c r="AH149" s="714"/>
      <c r="AI149" s="714"/>
      <c r="AJ149" s="714"/>
      <c r="AK149" s="714"/>
      <c r="AL149" s="714"/>
      <c r="AM149" s="711"/>
      <c r="AN149" s="714"/>
      <c r="AO149" s="714"/>
      <c r="AP149" s="714"/>
      <c r="AQ149" s="714"/>
      <c r="AR149" s="714"/>
      <c r="AS149" s="714"/>
      <c r="AT149" s="714"/>
      <c r="AU149" s="714"/>
      <c r="AV149" s="714"/>
      <c r="AW149" s="714"/>
      <c r="AX149" s="714"/>
      <c r="AY149" s="764"/>
      <c r="AZ149" s="764"/>
    </row>
    <row r="150" spans="1:52">
      <c r="B150" t="s">
        <v>385</v>
      </c>
      <c r="C150" s="47"/>
      <c r="D150" s="366"/>
      <c r="E150" s="47"/>
      <c r="F150" s="47"/>
      <c r="N150" s="714"/>
      <c r="O150" s="714"/>
      <c r="P150" s="714"/>
      <c r="Q150" s="714"/>
      <c r="R150" s="714"/>
      <c r="S150" s="714"/>
      <c r="T150" s="714"/>
      <c r="U150" s="714"/>
      <c r="V150" s="714"/>
      <c r="W150" s="714"/>
      <c r="X150" s="714"/>
      <c r="Y150" s="714"/>
      <c r="Z150" s="711"/>
      <c r="AA150" s="714"/>
      <c r="AB150" s="714"/>
      <c r="AC150" s="714"/>
      <c r="AD150" s="714"/>
      <c r="AE150" s="714"/>
      <c r="AF150" s="714"/>
      <c r="AG150" s="714"/>
      <c r="AH150" s="714"/>
      <c r="AI150" s="714"/>
      <c r="AJ150" s="714"/>
      <c r="AK150" s="714"/>
      <c r="AL150" s="714"/>
      <c r="AM150" s="711"/>
      <c r="AN150" s="714"/>
      <c r="AO150" s="714"/>
      <c r="AP150" s="714"/>
      <c r="AQ150" s="714"/>
      <c r="AR150" s="714"/>
      <c r="AS150" s="714"/>
      <c r="AT150" s="714"/>
      <c r="AU150" s="714"/>
      <c r="AV150" s="714"/>
      <c r="AW150" s="714"/>
      <c r="AX150" s="714"/>
      <c r="AY150" s="764"/>
      <c r="AZ150" s="764"/>
    </row>
    <row r="151" spans="1:52">
      <c r="A151" s="292" t="s">
        <v>915</v>
      </c>
      <c r="B151" s="293" t="s">
        <v>386</v>
      </c>
      <c r="C151" s="47"/>
      <c r="D151" s="366"/>
      <c r="E151" s="47"/>
      <c r="F151" s="47"/>
      <c r="N151" s="714">
        <f>-N10*N77</f>
        <v>-3.5832022533844055</v>
      </c>
      <c r="O151" s="714">
        <f t="shared" ref="O151:Y151" si="80">-O10*O77</f>
        <v>-3.3714956045813005</v>
      </c>
      <c r="P151" s="714">
        <f t="shared" si="80"/>
        <v>-3.9447198841739168</v>
      </c>
      <c r="Q151" s="714">
        <f t="shared" si="80"/>
        <v>-2.4615969789114112</v>
      </c>
      <c r="R151" s="714">
        <f t="shared" si="80"/>
        <v>-1.9742129510805424</v>
      </c>
      <c r="S151" s="714">
        <f t="shared" si="80"/>
        <v>-1.9839802552353518</v>
      </c>
      <c r="T151" s="714">
        <f t="shared" si="80"/>
        <v>-3.4172134995957673</v>
      </c>
      <c r="U151" s="714">
        <f t="shared" si="80"/>
        <v>-6.5409816462873076</v>
      </c>
      <c r="V151" s="714">
        <f t="shared" si="80"/>
        <v>-4.6731979653710018</v>
      </c>
      <c r="W151" s="714">
        <f t="shared" si="80"/>
        <v>-6.8936346099604453</v>
      </c>
      <c r="X151" s="714">
        <f t="shared" si="80"/>
        <v>-5.7948949477747211</v>
      </c>
      <c r="Y151" s="714">
        <f t="shared" si="80"/>
        <v>-4.7089354599070559</v>
      </c>
      <c r="Z151" s="711">
        <f>SUM(N151:Y151)</f>
        <v>-49.348066056263221</v>
      </c>
      <c r="AA151" s="714">
        <f>-AA10*AA77</f>
        <v>-5.7566989981360068</v>
      </c>
      <c r="AB151" s="714">
        <f t="shared" ref="AB151:AX151" si="81">-AB10*AB77</f>
        <v>-5.2967042770114903</v>
      </c>
      <c r="AC151" s="714">
        <f t="shared" si="81"/>
        <v>-3.8270949399697463</v>
      </c>
      <c r="AD151" s="714">
        <f t="shared" si="81"/>
        <v>-3.5831114882960575</v>
      </c>
      <c r="AE151" s="714">
        <f t="shared" si="81"/>
        <v>-3.3177176280984106</v>
      </c>
      <c r="AF151" s="714">
        <f t="shared" si="81"/>
        <v>-4.1394084150745902</v>
      </c>
      <c r="AG151" s="714">
        <f t="shared" si="81"/>
        <v>-4.1009745028856948</v>
      </c>
      <c r="AH151" s="714">
        <f t="shared" si="81"/>
        <v>-4.1266500839949272</v>
      </c>
      <c r="AI151" s="714">
        <f t="shared" si="81"/>
        <v>-4.625795757196026</v>
      </c>
      <c r="AJ151" s="714">
        <f t="shared" si="81"/>
        <v>-6.9088881393163701</v>
      </c>
      <c r="AK151" s="714">
        <f t="shared" si="81"/>
        <v>-5.7656739052663459</v>
      </c>
      <c r="AL151" s="714">
        <f t="shared" si="81"/>
        <v>-4.5455792902488623</v>
      </c>
      <c r="AM151" s="711">
        <f>SUM(AA151:AL151)</f>
        <v>-55.994297425494523</v>
      </c>
      <c r="AN151" s="714">
        <f t="shared" si="81"/>
        <v>-58.736209835812559</v>
      </c>
      <c r="AO151" s="714">
        <f t="shared" si="81"/>
        <v>-57.872900048375776</v>
      </c>
      <c r="AP151" s="714">
        <f t="shared" si="81"/>
        <v>-59.135910536332723</v>
      </c>
      <c r="AQ151" s="714">
        <f t="shared" si="81"/>
        <v>-64.595536280598083</v>
      </c>
      <c r="AR151" s="714">
        <f t="shared" si="81"/>
        <v>-231.54893638856259</v>
      </c>
      <c r="AS151" s="714">
        <f t="shared" si="81"/>
        <v>-324.33297923495741</v>
      </c>
      <c r="AT151" s="714">
        <f t="shared" si="81"/>
        <v>-348.02709461864919</v>
      </c>
      <c r="AU151" s="714">
        <f t="shared" si="81"/>
        <v>-373.92693574530119</v>
      </c>
      <c r="AV151" s="714">
        <f t="shared" si="81"/>
        <v>-349.96812270278002</v>
      </c>
      <c r="AW151" s="714">
        <f t="shared" si="81"/>
        <v>-361.8305305149529</v>
      </c>
      <c r="AX151" s="714">
        <f t="shared" si="81"/>
        <v>-352.51002671368315</v>
      </c>
      <c r="AY151" s="764"/>
      <c r="AZ151" s="764"/>
    </row>
    <row r="152" spans="1:52">
      <c r="C152" s="47"/>
      <c r="D152" s="366"/>
      <c r="E152" s="47"/>
      <c r="F152" s="47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</row>
    <row r="153" spans="1:52">
      <c r="C153" s="47"/>
      <c r="D153" s="366"/>
      <c r="E153" s="47"/>
      <c r="F153" s="47"/>
    </row>
    <row r="154" spans="1:52">
      <c r="C154" s="47"/>
      <c r="D154" s="366"/>
      <c r="E154" s="47"/>
      <c r="F154" s="47"/>
    </row>
    <row r="155" spans="1:52">
      <c r="C155" s="47"/>
      <c r="D155" s="366"/>
      <c r="E155" s="47"/>
      <c r="F155" s="47"/>
    </row>
    <row r="156" spans="1:52">
      <c r="C156" s="47"/>
      <c r="D156" s="366"/>
      <c r="E156" s="47"/>
      <c r="F156" s="47"/>
    </row>
    <row r="157" spans="1:52">
      <c r="C157" s="47"/>
      <c r="D157" s="366"/>
      <c r="E157" s="47"/>
      <c r="F157" s="47"/>
    </row>
    <row r="158" spans="1:52">
      <c r="C158" s="47"/>
      <c r="D158" s="366"/>
      <c r="E158" s="47"/>
      <c r="F158" s="47"/>
    </row>
    <row r="159" spans="1:52">
      <c r="C159" s="47"/>
      <c r="D159" s="366"/>
      <c r="E159" s="47"/>
      <c r="F159" s="47"/>
    </row>
    <row r="160" spans="1:52">
      <c r="C160" s="47"/>
      <c r="D160" s="366"/>
      <c r="E160" s="47"/>
      <c r="F160" s="47"/>
    </row>
    <row r="161" spans="3:6">
      <c r="C161" s="47"/>
      <c r="D161" s="366"/>
      <c r="E161" s="47"/>
      <c r="F161" s="47"/>
    </row>
    <row r="162" spans="3:6">
      <c r="C162" s="47"/>
      <c r="D162" s="366"/>
      <c r="E162" s="47"/>
      <c r="F162" s="47"/>
    </row>
    <row r="163" spans="3:6">
      <c r="C163" s="47"/>
      <c r="D163" s="366"/>
      <c r="E163" s="47"/>
      <c r="F163" s="47"/>
    </row>
    <row r="164" spans="3:6">
      <c r="C164" s="47"/>
      <c r="D164" s="366"/>
      <c r="E164" s="47"/>
      <c r="F164" s="47"/>
    </row>
    <row r="165" spans="3:6">
      <c r="C165" s="47"/>
      <c r="D165" s="366"/>
      <c r="E165" s="47"/>
      <c r="F165" s="47"/>
    </row>
    <row r="166" spans="3:6">
      <c r="C166" s="47"/>
      <c r="D166" s="366"/>
      <c r="E166" s="47"/>
      <c r="F166" s="47"/>
    </row>
    <row r="167" spans="3:6">
      <c r="C167" s="47"/>
      <c r="D167" s="366"/>
      <c r="E167" s="47"/>
      <c r="F167" s="47"/>
    </row>
    <row r="168" spans="3:6">
      <c r="C168" s="47"/>
      <c r="D168" s="366"/>
      <c r="E168" s="47"/>
      <c r="F168" s="47"/>
    </row>
    <row r="169" spans="3:6">
      <c r="C169" s="47"/>
      <c r="D169" s="366"/>
      <c r="E169" s="47"/>
      <c r="F169" s="47"/>
    </row>
    <row r="170" spans="3:6">
      <c r="C170" s="47"/>
      <c r="D170" s="366"/>
      <c r="E170" s="47"/>
      <c r="F170" s="47"/>
    </row>
    <row r="171" spans="3:6">
      <c r="C171" s="47"/>
      <c r="D171" s="366"/>
      <c r="E171" s="47"/>
      <c r="F171" s="47"/>
    </row>
    <row r="172" spans="3:6">
      <c r="C172" s="47"/>
      <c r="D172" s="366"/>
      <c r="E172" s="47"/>
      <c r="F172" s="47"/>
    </row>
    <row r="173" spans="3:6">
      <c r="C173" s="47"/>
      <c r="D173" s="366"/>
      <c r="E173" s="47"/>
      <c r="F173" s="47"/>
    </row>
    <row r="174" spans="3:6">
      <c r="C174" s="47"/>
      <c r="D174" s="366"/>
      <c r="E174" s="47"/>
      <c r="F174" s="47"/>
    </row>
    <row r="175" spans="3:6">
      <c r="C175" s="47"/>
      <c r="D175" s="366"/>
      <c r="E175" s="47"/>
      <c r="F175" s="47"/>
    </row>
    <row r="176" spans="3:6">
      <c r="C176" s="47"/>
      <c r="D176" s="366"/>
      <c r="E176" s="47"/>
      <c r="F176" s="47"/>
    </row>
    <row r="177" spans="3:6">
      <c r="C177" s="47"/>
      <c r="D177" s="366"/>
      <c r="E177" s="47"/>
      <c r="F177" s="47"/>
    </row>
    <row r="178" spans="3:6">
      <c r="C178" s="47"/>
      <c r="D178" s="366"/>
      <c r="E178" s="47"/>
      <c r="F178" s="47"/>
    </row>
    <row r="179" spans="3:6">
      <c r="C179" s="47"/>
      <c r="D179" s="366"/>
      <c r="E179" s="47"/>
      <c r="F179" s="47"/>
    </row>
    <row r="180" spans="3:6">
      <c r="C180" s="47"/>
      <c r="D180" s="366"/>
      <c r="E180" s="47"/>
      <c r="F180" s="47"/>
    </row>
    <row r="181" spans="3:6">
      <c r="C181" s="47"/>
      <c r="D181" s="366"/>
      <c r="E181" s="47"/>
      <c r="F181" s="47"/>
    </row>
    <row r="182" spans="3:6">
      <c r="C182" s="47"/>
      <c r="D182" s="366"/>
      <c r="E182" s="47"/>
      <c r="F182" s="47"/>
    </row>
    <row r="183" spans="3:6">
      <c r="C183" s="47"/>
      <c r="D183" s="366"/>
      <c r="E183" s="47"/>
      <c r="F183" s="47"/>
    </row>
    <row r="184" spans="3:6">
      <c r="C184" s="47"/>
      <c r="D184" s="366"/>
      <c r="E184" s="47"/>
      <c r="F184" s="47"/>
    </row>
    <row r="185" spans="3:6">
      <c r="C185" s="47"/>
      <c r="D185" s="366"/>
      <c r="E185" s="47"/>
      <c r="F185" s="47"/>
    </row>
    <row r="186" spans="3:6">
      <c r="C186" s="47"/>
      <c r="D186" s="366"/>
      <c r="E186" s="47"/>
      <c r="F186" s="47"/>
    </row>
    <row r="187" spans="3:6">
      <c r="C187" s="47"/>
      <c r="D187" s="366"/>
      <c r="E187" s="47"/>
      <c r="F187" s="47"/>
    </row>
    <row r="188" spans="3:6">
      <c r="C188" s="47"/>
      <c r="D188" s="366"/>
      <c r="E188" s="47"/>
      <c r="F188" s="47"/>
    </row>
    <row r="189" spans="3:6">
      <c r="C189" s="47"/>
      <c r="D189" s="366"/>
      <c r="E189" s="47"/>
      <c r="F189" s="47"/>
    </row>
    <row r="190" spans="3:6">
      <c r="C190" s="47"/>
      <c r="D190" s="366"/>
      <c r="E190" s="47"/>
      <c r="F190" s="47"/>
    </row>
    <row r="191" spans="3:6">
      <c r="C191" s="47"/>
      <c r="D191" s="366"/>
      <c r="E191" s="47"/>
      <c r="F191" s="47"/>
    </row>
    <row r="192" spans="3:6">
      <c r="C192" s="47"/>
      <c r="D192" s="366"/>
      <c r="E192" s="47"/>
      <c r="F192" s="47"/>
    </row>
    <row r="193" spans="3:6">
      <c r="C193" s="47"/>
      <c r="D193" s="366"/>
      <c r="E193" s="47"/>
      <c r="F193" s="47"/>
    </row>
    <row r="194" spans="3:6">
      <c r="C194" s="47"/>
      <c r="D194" s="366"/>
      <c r="E194" s="47"/>
      <c r="F194" s="47"/>
    </row>
    <row r="432" spans="1:2" ht="18">
      <c r="A432" s="267" t="s">
        <v>817</v>
      </c>
      <c r="B432" s="13"/>
    </row>
    <row r="433" spans="1:52">
      <c r="A433" s="884" t="s">
        <v>607</v>
      </c>
      <c r="B433" s="881" t="s">
        <v>1026</v>
      </c>
      <c r="Z433" s="88">
        <f>SUM(N433:Y433)</f>
        <v>0</v>
      </c>
      <c r="AM433" s="88">
        <f>SUM(AA433:AL433)</f>
        <v>0</v>
      </c>
    </row>
    <row r="434" spans="1:52">
      <c r="A434" s="884" t="s">
        <v>818</v>
      </c>
      <c r="B434" s="881" t="s">
        <v>1027</v>
      </c>
      <c r="Z434" s="88">
        <f t="shared" ref="Z434:Z495" si="82">SUM(N434:Y434)</f>
        <v>0</v>
      </c>
      <c r="AM434" s="88">
        <f t="shared" ref="AM434:AM495" si="83">SUM(AA434:AL434)</f>
        <v>0</v>
      </c>
    </row>
    <row r="435" spans="1:52">
      <c r="A435" s="884" t="s">
        <v>607</v>
      </c>
      <c r="B435" s="881" t="s">
        <v>1026</v>
      </c>
      <c r="Z435" s="88">
        <f t="shared" si="82"/>
        <v>0</v>
      </c>
      <c r="AM435" s="88">
        <f t="shared" si="83"/>
        <v>0</v>
      </c>
    </row>
    <row r="436" spans="1:52">
      <c r="A436" s="884" t="s">
        <v>818</v>
      </c>
      <c r="B436" s="881" t="s">
        <v>1028</v>
      </c>
      <c r="Z436" s="88">
        <f t="shared" si="82"/>
        <v>0</v>
      </c>
      <c r="AM436" s="88">
        <f t="shared" si="83"/>
        <v>0</v>
      </c>
    </row>
    <row r="437" spans="1:52">
      <c r="A437" s="884" t="s">
        <v>607</v>
      </c>
      <c r="B437" s="881" t="s">
        <v>1026</v>
      </c>
      <c r="Z437" s="88">
        <f t="shared" si="82"/>
        <v>0</v>
      </c>
      <c r="AM437" s="88">
        <f t="shared" si="83"/>
        <v>0</v>
      </c>
    </row>
    <row r="438" spans="1:52">
      <c r="A438" s="884" t="s">
        <v>818</v>
      </c>
      <c r="B438" s="881" t="s">
        <v>1028</v>
      </c>
      <c r="Z438" s="88">
        <f t="shared" si="82"/>
        <v>0</v>
      </c>
      <c r="AM438" s="88">
        <f t="shared" si="83"/>
        <v>0</v>
      </c>
    </row>
    <row r="439" spans="1:52">
      <c r="A439" s="884" t="s">
        <v>607</v>
      </c>
      <c r="B439" s="881" t="s">
        <v>1026</v>
      </c>
      <c r="Z439" s="88">
        <f t="shared" si="82"/>
        <v>0</v>
      </c>
      <c r="AM439" s="88">
        <f t="shared" si="83"/>
        <v>0</v>
      </c>
    </row>
    <row r="440" spans="1:52">
      <c r="A440" s="884" t="s">
        <v>818</v>
      </c>
      <c r="B440" s="881" t="s">
        <v>1027</v>
      </c>
      <c r="Z440" s="88">
        <f t="shared" si="82"/>
        <v>0</v>
      </c>
      <c r="AM440" s="88">
        <f t="shared" si="83"/>
        <v>0</v>
      </c>
    </row>
    <row r="441" spans="1:52">
      <c r="A441" s="884" t="s">
        <v>612</v>
      </c>
      <c r="B441" s="881" t="s">
        <v>819</v>
      </c>
      <c r="Z441" s="88">
        <f t="shared" si="82"/>
        <v>0</v>
      </c>
      <c r="AM441" s="88">
        <f t="shared" si="83"/>
        <v>0</v>
      </c>
    </row>
    <row r="442" spans="1:52">
      <c r="A442" s="884">
        <v>403.5</v>
      </c>
      <c r="B442" s="881" t="s">
        <v>820</v>
      </c>
      <c r="Z442" s="88">
        <f t="shared" si="82"/>
        <v>0</v>
      </c>
      <c r="AM442" s="88">
        <f t="shared" si="83"/>
        <v>0</v>
      </c>
    </row>
    <row r="443" spans="1:52">
      <c r="A443" s="884">
        <v>403.5</v>
      </c>
      <c r="B443" s="881" t="s">
        <v>821</v>
      </c>
      <c r="Z443" s="88">
        <f t="shared" si="82"/>
        <v>0</v>
      </c>
      <c r="AM443" s="88">
        <f t="shared" si="83"/>
        <v>0</v>
      </c>
    </row>
    <row r="444" spans="1:52">
      <c r="A444" s="884" t="s">
        <v>586</v>
      </c>
      <c r="B444" s="881" t="s">
        <v>822</v>
      </c>
      <c r="Z444" s="88">
        <f t="shared" si="82"/>
        <v>0</v>
      </c>
      <c r="AM444" s="88">
        <f t="shared" si="83"/>
        <v>0</v>
      </c>
    </row>
    <row r="445" spans="1:52">
      <c r="A445" s="884">
        <v>404.11</v>
      </c>
      <c r="B445" s="881" t="s">
        <v>1001</v>
      </c>
      <c r="Z445" s="88">
        <f t="shared" si="82"/>
        <v>0</v>
      </c>
      <c r="AM445" s="88">
        <f t="shared" si="83"/>
        <v>0</v>
      </c>
    </row>
    <row r="446" spans="1:52">
      <c r="A446" s="884" t="s">
        <v>823</v>
      </c>
      <c r="B446" s="881" t="s">
        <v>824</v>
      </c>
      <c r="Z446" s="88">
        <f t="shared" si="82"/>
        <v>0</v>
      </c>
      <c r="AM446" s="88">
        <f t="shared" si="83"/>
        <v>0</v>
      </c>
    </row>
    <row r="447" spans="1:52">
      <c r="A447" s="884" t="s">
        <v>825</v>
      </c>
      <c r="B447" s="881" t="s">
        <v>826</v>
      </c>
      <c r="Z447" s="88">
        <f t="shared" si="82"/>
        <v>0</v>
      </c>
      <c r="AM447" s="88">
        <f t="shared" si="83"/>
        <v>0</v>
      </c>
    </row>
    <row r="448" spans="1:52">
      <c r="A448" s="884" t="s">
        <v>827</v>
      </c>
      <c r="B448" s="881" t="s">
        <v>828</v>
      </c>
      <c r="E448" s="64">
        <f>+E141</f>
        <v>0</v>
      </c>
      <c r="F448" s="64">
        <f>+F141</f>
        <v>0</v>
      </c>
      <c r="G448" s="64"/>
      <c r="H448" s="64"/>
      <c r="I448" s="64"/>
      <c r="J448" s="64"/>
      <c r="K448" s="64"/>
      <c r="L448" s="64"/>
      <c r="N448" s="64">
        <f t="shared" ref="N448:Y448" si="84">+N141</f>
        <v>0</v>
      </c>
      <c r="O448" s="64">
        <f t="shared" si="84"/>
        <v>0</v>
      </c>
      <c r="P448" s="64">
        <f t="shared" si="84"/>
        <v>0</v>
      </c>
      <c r="Q448" s="64">
        <f t="shared" si="84"/>
        <v>0</v>
      </c>
      <c r="R448" s="64">
        <f t="shared" si="84"/>
        <v>0</v>
      </c>
      <c r="S448" s="64">
        <f t="shared" si="84"/>
        <v>0</v>
      </c>
      <c r="T448" s="64">
        <f t="shared" si="84"/>
        <v>0</v>
      </c>
      <c r="U448" s="64">
        <f t="shared" si="84"/>
        <v>0</v>
      </c>
      <c r="V448" s="64">
        <f t="shared" si="84"/>
        <v>0</v>
      </c>
      <c r="W448" s="64">
        <f t="shared" si="84"/>
        <v>0</v>
      </c>
      <c r="X448" s="64">
        <f t="shared" si="84"/>
        <v>0</v>
      </c>
      <c r="Y448" s="64">
        <f t="shared" si="84"/>
        <v>0</v>
      </c>
      <c r="Z448" s="88">
        <f t="shared" si="82"/>
        <v>0</v>
      </c>
      <c r="AA448" s="64">
        <f t="shared" ref="AA448:AL448" si="85">+AA141</f>
        <v>0</v>
      </c>
      <c r="AB448" s="64">
        <f t="shared" si="85"/>
        <v>0</v>
      </c>
      <c r="AC448" s="64">
        <f t="shared" si="85"/>
        <v>0</v>
      </c>
      <c r="AD448" s="64">
        <f t="shared" si="85"/>
        <v>0</v>
      </c>
      <c r="AE448" s="64">
        <f t="shared" si="85"/>
        <v>0</v>
      </c>
      <c r="AF448" s="64">
        <f t="shared" si="85"/>
        <v>0</v>
      </c>
      <c r="AG448" s="64">
        <f t="shared" si="85"/>
        <v>0</v>
      </c>
      <c r="AH448" s="64">
        <f t="shared" si="85"/>
        <v>0</v>
      </c>
      <c r="AI448" s="64">
        <f t="shared" si="85"/>
        <v>0</v>
      </c>
      <c r="AJ448" s="64">
        <f t="shared" si="85"/>
        <v>0</v>
      </c>
      <c r="AK448" s="64">
        <f t="shared" si="85"/>
        <v>0</v>
      </c>
      <c r="AL448" s="64">
        <f t="shared" si="85"/>
        <v>0</v>
      </c>
      <c r="AM448" s="88">
        <f t="shared" si="83"/>
        <v>0</v>
      </c>
      <c r="AN448" s="64">
        <f t="shared" ref="AN448:AX448" si="86">+AN141</f>
        <v>0</v>
      </c>
      <c r="AO448" s="64">
        <f t="shared" si="86"/>
        <v>0</v>
      </c>
      <c r="AP448" s="64">
        <f t="shared" si="86"/>
        <v>0</v>
      </c>
      <c r="AQ448" s="64">
        <f t="shared" si="86"/>
        <v>0</v>
      </c>
      <c r="AR448" s="64">
        <f t="shared" si="86"/>
        <v>0</v>
      </c>
      <c r="AS448" s="64">
        <f t="shared" si="86"/>
        <v>0</v>
      </c>
      <c r="AT448" s="64">
        <f t="shared" si="86"/>
        <v>0</v>
      </c>
      <c r="AU448" s="64">
        <f t="shared" si="86"/>
        <v>0</v>
      </c>
      <c r="AV448" s="64">
        <f t="shared" si="86"/>
        <v>0</v>
      </c>
      <c r="AW448" s="64">
        <f t="shared" si="86"/>
        <v>0</v>
      </c>
      <c r="AX448" s="64">
        <f t="shared" si="86"/>
        <v>0</v>
      </c>
      <c r="AY448" s="364"/>
      <c r="AZ448" s="364"/>
    </row>
    <row r="449" spans="1:39">
      <c r="A449" s="884" t="s">
        <v>830</v>
      </c>
      <c r="B449" s="881" t="s">
        <v>831</v>
      </c>
      <c r="Z449" s="88">
        <f t="shared" si="82"/>
        <v>0</v>
      </c>
      <c r="AM449" s="88">
        <f t="shared" si="83"/>
        <v>0</v>
      </c>
    </row>
    <row r="450" spans="1:39">
      <c r="A450" s="884" t="s">
        <v>859</v>
      </c>
      <c r="B450" s="881" t="s">
        <v>860</v>
      </c>
      <c r="Z450" s="88">
        <f t="shared" si="82"/>
        <v>0</v>
      </c>
      <c r="AM450" s="88">
        <f t="shared" si="83"/>
        <v>0</v>
      </c>
    </row>
    <row r="451" spans="1:39">
      <c r="A451" s="884" t="s">
        <v>861</v>
      </c>
      <c r="B451" s="881" t="s">
        <v>862</v>
      </c>
      <c r="Z451" s="88">
        <f t="shared" si="82"/>
        <v>0</v>
      </c>
      <c r="AM451" s="88">
        <f t="shared" si="83"/>
        <v>0</v>
      </c>
    </row>
    <row r="452" spans="1:39">
      <c r="A452" s="884" t="s">
        <v>863</v>
      </c>
      <c r="B452" s="881" t="s">
        <v>864</v>
      </c>
      <c r="Z452" s="88">
        <f t="shared" si="82"/>
        <v>0</v>
      </c>
      <c r="AM452" s="88">
        <f t="shared" si="83"/>
        <v>0</v>
      </c>
    </row>
    <row r="453" spans="1:39">
      <c r="A453" s="884">
        <v>426.1</v>
      </c>
      <c r="B453" s="881" t="s">
        <v>880</v>
      </c>
      <c r="Z453" s="88">
        <f t="shared" si="82"/>
        <v>0</v>
      </c>
      <c r="AM453" s="88">
        <f t="shared" si="83"/>
        <v>0</v>
      </c>
    </row>
    <row r="454" spans="1:39">
      <c r="A454" s="884" t="s">
        <v>881</v>
      </c>
      <c r="B454" s="881" t="s">
        <v>882</v>
      </c>
      <c r="Z454" s="88">
        <f t="shared" si="82"/>
        <v>0</v>
      </c>
      <c r="AM454" s="88">
        <f t="shared" si="83"/>
        <v>0</v>
      </c>
    </row>
    <row r="455" spans="1:39">
      <c r="A455" s="884">
        <v>426.4</v>
      </c>
      <c r="B455" s="881" t="s">
        <v>883</v>
      </c>
      <c r="Z455" s="88">
        <f t="shared" si="82"/>
        <v>0</v>
      </c>
      <c r="AM455" s="88">
        <f t="shared" si="83"/>
        <v>0</v>
      </c>
    </row>
    <row r="456" spans="1:39">
      <c r="A456" s="884" t="s">
        <v>884</v>
      </c>
      <c r="B456" s="881" t="s">
        <v>885</v>
      </c>
      <c r="Z456" s="88">
        <f t="shared" si="82"/>
        <v>0</v>
      </c>
      <c r="AM456" s="88">
        <f t="shared" si="83"/>
        <v>0</v>
      </c>
    </row>
    <row r="457" spans="1:39">
      <c r="A457" s="884">
        <v>427.1</v>
      </c>
      <c r="B457" s="881" t="s">
        <v>970</v>
      </c>
      <c r="Z457" s="88">
        <f t="shared" si="82"/>
        <v>0</v>
      </c>
      <c r="AM457" s="88">
        <f t="shared" si="83"/>
        <v>0</v>
      </c>
    </row>
    <row r="458" spans="1:39">
      <c r="A458" s="884" t="s">
        <v>886</v>
      </c>
      <c r="B458" s="881" t="s">
        <v>971</v>
      </c>
      <c r="Z458" s="88">
        <f t="shared" si="82"/>
        <v>0</v>
      </c>
      <c r="AM458" s="88">
        <f t="shared" si="83"/>
        <v>0</v>
      </c>
    </row>
    <row r="459" spans="1:39">
      <c r="A459" s="884" t="s">
        <v>895</v>
      </c>
      <c r="B459" s="881" t="s">
        <v>896</v>
      </c>
      <c r="Z459" s="88">
        <f t="shared" si="82"/>
        <v>0</v>
      </c>
      <c r="AM459" s="88">
        <f t="shared" si="83"/>
        <v>0</v>
      </c>
    </row>
    <row r="460" spans="1:39">
      <c r="A460" s="884" t="s">
        <v>897</v>
      </c>
      <c r="B460" s="881" t="s">
        <v>898</v>
      </c>
      <c r="Z460" s="88">
        <f t="shared" si="82"/>
        <v>0</v>
      </c>
      <c r="AM460" s="88">
        <f t="shared" si="83"/>
        <v>0</v>
      </c>
    </row>
    <row r="461" spans="1:39">
      <c r="A461" s="884" t="s">
        <v>899</v>
      </c>
      <c r="B461" s="881" t="s">
        <v>900</v>
      </c>
      <c r="Z461" s="88">
        <f t="shared" si="82"/>
        <v>0</v>
      </c>
      <c r="AM461" s="88">
        <f t="shared" si="83"/>
        <v>0</v>
      </c>
    </row>
    <row r="462" spans="1:39">
      <c r="A462" s="884" t="s">
        <v>901</v>
      </c>
      <c r="B462" s="881" t="s">
        <v>902</v>
      </c>
      <c r="Z462" s="88">
        <f t="shared" si="82"/>
        <v>0</v>
      </c>
      <c r="AM462" s="88">
        <f t="shared" si="83"/>
        <v>0</v>
      </c>
    </row>
    <row r="463" spans="1:39">
      <c r="A463" s="884" t="s">
        <v>903</v>
      </c>
      <c r="B463" s="881" t="s">
        <v>904</v>
      </c>
      <c r="Z463" s="88">
        <f t="shared" si="82"/>
        <v>0</v>
      </c>
      <c r="AM463" s="88">
        <f t="shared" si="83"/>
        <v>0</v>
      </c>
    </row>
    <row r="464" spans="1:39">
      <c r="A464" s="884" t="s">
        <v>905</v>
      </c>
      <c r="B464" s="881" t="s">
        <v>1014</v>
      </c>
      <c r="Z464" s="88">
        <f t="shared" si="82"/>
        <v>0</v>
      </c>
      <c r="AM464" s="88">
        <f t="shared" si="83"/>
        <v>0</v>
      </c>
    </row>
    <row r="465" spans="1:50">
      <c r="A465" s="884" t="s">
        <v>908</v>
      </c>
      <c r="B465" s="881" t="s">
        <v>1015</v>
      </c>
      <c r="Z465" s="88">
        <f t="shared" si="82"/>
        <v>0</v>
      </c>
      <c r="AM465" s="88">
        <f t="shared" si="83"/>
        <v>0</v>
      </c>
    </row>
    <row r="466" spans="1:50">
      <c r="A466" s="884" t="s">
        <v>910</v>
      </c>
      <c r="B466" s="881" t="s">
        <v>1016</v>
      </c>
      <c r="Z466" s="88">
        <f t="shared" si="82"/>
        <v>0</v>
      </c>
      <c r="AM466" s="88">
        <f t="shared" si="83"/>
        <v>0</v>
      </c>
    </row>
    <row r="467" spans="1:50">
      <c r="A467" s="884" t="s">
        <v>645</v>
      </c>
      <c r="B467" s="881" t="s">
        <v>911</v>
      </c>
      <c r="Z467" s="88">
        <f t="shared" si="82"/>
        <v>0</v>
      </c>
      <c r="AM467" s="88">
        <f t="shared" si="83"/>
        <v>0</v>
      </c>
    </row>
    <row r="468" spans="1:50">
      <c r="A468" s="884">
        <v>447.24200000000002</v>
      </c>
      <c r="B468" s="881" t="s">
        <v>916</v>
      </c>
      <c r="E468">
        <f>+E151</f>
        <v>0</v>
      </c>
      <c r="F468">
        <f>+F151</f>
        <v>0</v>
      </c>
      <c r="N468">
        <f t="shared" ref="N468:Y468" si="87">+N151</f>
        <v>-3.5832022533844055</v>
      </c>
      <c r="O468">
        <f t="shared" si="87"/>
        <v>-3.3714956045813005</v>
      </c>
      <c r="P468">
        <f t="shared" si="87"/>
        <v>-3.9447198841739168</v>
      </c>
      <c r="Q468">
        <f t="shared" si="87"/>
        <v>-2.4615969789114112</v>
      </c>
      <c r="R468">
        <f t="shared" si="87"/>
        <v>-1.9742129510805424</v>
      </c>
      <c r="S468">
        <f t="shared" si="87"/>
        <v>-1.9839802552353518</v>
      </c>
      <c r="T468">
        <f t="shared" si="87"/>
        <v>-3.4172134995957673</v>
      </c>
      <c r="U468">
        <f t="shared" si="87"/>
        <v>-6.5409816462873076</v>
      </c>
      <c r="V468">
        <f t="shared" si="87"/>
        <v>-4.6731979653710018</v>
      </c>
      <c r="W468">
        <f t="shared" si="87"/>
        <v>-6.8936346099604453</v>
      </c>
      <c r="X468">
        <f t="shared" si="87"/>
        <v>-5.7948949477747211</v>
      </c>
      <c r="Y468">
        <f t="shared" si="87"/>
        <v>-4.7089354599070559</v>
      </c>
      <c r="Z468" s="88">
        <f t="shared" si="82"/>
        <v>-49.348066056263221</v>
      </c>
      <c r="AA468">
        <f t="shared" ref="AA468:AL468" si="88">+AA151</f>
        <v>-5.7566989981360068</v>
      </c>
      <c r="AB468">
        <f t="shared" si="88"/>
        <v>-5.2967042770114903</v>
      </c>
      <c r="AC468">
        <f t="shared" si="88"/>
        <v>-3.8270949399697463</v>
      </c>
      <c r="AD468">
        <f t="shared" si="88"/>
        <v>-3.5831114882960575</v>
      </c>
      <c r="AE468">
        <f t="shared" si="88"/>
        <v>-3.3177176280984106</v>
      </c>
      <c r="AF468">
        <f t="shared" si="88"/>
        <v>-4.1394084150745902</v>
      </c>
      <c r="AG468">
        <f t="shared" si="88"/>
        <v>-4.1009745028856948</v>
      </c>
      <c r="AH468">
        <f t="shared" si="88"/>
        <v>-4.1266500839949272</v>
      </c>
      <c r="AI468">
        <f t="shared" si="88"/>
        <v>-4.625795757196026</v>
      </c>
      <c r="AJ468">
        <f t="shared" si="88"/>
        <v>-6.9088881393163701</v>
      </c>
      <c r="AK468">
        <f t="shared" si="88"/>
        <v>-5.7656739052663459</v>
      </c>
      <c r="AL468">
        <f t="shared" si="88"/>
        <v>-4.5455792902488623</v>
      </c>
      <c r="AM468" s="88">
        <f t="shared" si="83"/>
        <v>-55.994297425494523</v>
      </c>
      <c r="AN468">
        <f t="shared" ref="AN468:AX468" si="89">+AN151</f>
        <v>-58.736209835812559</v>
      </c>
      <c r="AO468">
        <f t="shared" si="89"/>
        <v>-57.872900048375776</v>
      </c>
      <c r="AP468">
        <f t="shared" si="89"/>
        <v>-59.135910536332723</v>
      </c>
      <c r="AQ468">
        <f t="shared" si="89"/>
        <v>-64.595536280598083</v>
      </c>
      <c r="AR468">
        <f t="shared" si="89"/>
        <v>-231.54893638856259</v>
      </c>
      <c r="AS468">
        <f t="shared" si="89"/>
        <v>-324.33297923495741</v>
      </c>
      <c r="AT468">
        <f t="shared" si="89"/>
        <v>-348.02709461864919</v>
      </c>
      <c r="AU468">
        <f t="shared" si="89"/>
        <v>-373.92693574530119</v>
      </c>
      <c r="AV468">
        <f t="shared" si="89"/>
        <v>-349.96812270278002</v>
      </c>
      <c r="AW468">
        <f t="shared" si="89"/>
        <v>-361.8305305149529</v>
      </c>
      <c r="AX468">
        <f t="shared" si="89"/>
        <v>-352.51002671368315</v>
      </c>
    </row>
    <row r="469" spans="1:50">
      <c r="A469" s="884" t="s">
        <v>0</v>
      </c>
      <c r="B469" s="881" t="s">
        <v>1</v>
      </c>
      <c r="Z469" s="88">
        <f t="shared" si="82"/>
        <v>0</v>
      </c>
      <c r="AM469" s="88">
        <f t="shared" si="83"/>
        <v>0</v>
      </c>
    </row>
    <row r="470" spans="1:50">
      <c r="A470" s="884" t="s">
        <v>2</v>
      </c>
      <c r="B470" s="881" t="s">
        <v>37</v>
      </c>
      <c r="Z470" s="88">
        <f t="shared" si="82"/>
        <v>0</v>
      </c>
      <c r="AM470" s="88">
        <f t="shared" si="83"/>
        <v>0</v>
      </c>
    </row>
    <row r="471" spans="1:50">
      <c r="A471" s="884" t="s">
        <v>38</v>
      </c>
      <c r="B471" s="881" t="s">
        <v>39</v>
      </c>
      <c r="Z471" s="88">
        <f t="shared" si="82"/>
        <v>0</v>
      </c>
      <c r="AM471" s="88">
        <f t="shared" si="83"/>
        <v>0</v>
      </c>
    </row>
    <row r="472" spans="1:50">
      <c r="A472" s="884" t="s">
        <v>720</v>
      </c>
      <c r="B472" s="881" t="s">
        <v>1004</v>
      </c>
      <c r="Z472" s="88">
        <f t="shared" si="82"/>
        <v>0</v>
      </c>
      <c r="AM472" s="88">
        <f t="shared" si="83"/>
        <v>0</v>
      </c>
    </row>
    <row r="473" spans="1:50">
      <c r="A473" s="884">
        <v>500.1</v>
      </c>
      <c r="B473" s="881" t="s">
        <v>1004</v>
      </c>
      <c r="Z473" s="88">
        <f t="shared" si="82"/>
        <v>0</v>
      </c>
      <c r="AM473" s="88">
        <f t="shared" si="83"/>
        <v>0</v>
      </c>
    </row>
    <row r="474" spans="1:50">
      <c r="A474" s="884">
        <v>501.1</v>
      </c>
      <c r="B474" s="881" t="s">
        <v>46</v>
      </c>
      <c r="Z474" s="88">
        <f t="shared" si="82"/>
        <v>0</v>
      </c>
      <c r="AM474" s="88">
        <f t="shared" si="83"/>
        <v>0</v>
      </c>
    </row>
    <row r="475" spans="1:50">
      <c r="A475" s="884">
        <v>501.2</v>
      </c>
      <c r="B475" s="885" t="s">
        <v>1029</v>
      </c>
      <c r="Z475" s="88">
        <f t="shared" si="82"/>
        <v>0</v>
      </c>
      <c r="AM475" s="88">
        <f t="shared" si="83"/>
        <v>0</v>
      </c>
    </row>
    <row r="476" spans="1:50">
      <c r="A476" s="884">
        <v>501.1</v>
      </c>
      <c r="B476" s="881" t="s">
        <v>48</v>
      </c>
      <c r="Z476" s="88">
        <f t="shared" si="82"/>
        <v>0</v>
      </c>
      <c r="AM476" s="88">
        <f t="shared" si="83"/>
        <v>0</v>
      </c>
    </row>
    <row r="477" spans="1:50">
      <c r="A477" s="884">
        <v>501.1</v>
      </c>
      <c r="B477" s="881" t="s">
        <v>50</v>
      </c>
      <c r="Z477" s="88">
        <f t="shared" si="82"/>
        <v>0</v>
      </c>
      <c r="AM477" s="88">
        <f t="shared" si="83"/>
        <v>0</v>
      </c>
    </row>
    <row r="478" spans="1:50">
      <c r="A478" s="884" t="s">
        <v>722</v>
      </c>
      <c r="B478" s="885" t="s">
        <v>1029</v>
      </c>
      <c r="Z478" s="88">
        <f t="shared" si="82"/>
        <v>0</v>
      </c>
      <c r="AM478" s="88">
        <f t="shared" si="83"/>
        <v>0</v>
      </c>
    </row>
    <row r="479" spans="1:50">
      <c r="A479" s="884">
        <v>501.1</v>
      </c>
      <c r="B479" s="881" t="s">
        <v>52</v>
      </c>
      <c r="Z479" s="88">
        <f t="shared" si="82"/>
        <v>0</v>
      </c>
      <c r="AM479" s="88">
        <f t="shared" si="83"/>
        <v>0</v>
      </c>
    </row>
    <row r="480" spans="1:50">
      <c r="A480" s="884">
        <v>501.2</v>
      </c>
      <c r="B480" s="885" t="s">
        <v>1029</v>
      </c>
      <c r="Z480" s="88">
        <f t="shared" si="82"/>
        <v>0</v>
      </c>
      <c r="AM480" s="88">
        <f t="shared" si="83"/>
        <v>0</v>
      </c>
    </row>
    <row r="481" spans="1:52">
      <c r="A481" s="884">
        <v>501.1</v>
      </c>
      <c r="B481" s="881" t="s">
        <v>54</v>
      </c>
      <c r="Z481" s="88">
        <f t="shared" si="82"/>
        <v>0</v>
      </c>
      <c r="AM481" s="88">
        <f t="shared" si="83"/>
        <v>0</v>
      </c>
    </row>
    <row r="482" spans="1:52">
      <c r="A482" s="884">
        <v>501.1</v>
      </c>
      <c r="B482" s="881" t="s">
        <v>57</v>
      </c>
      <c r="Z482" s="88">
        <f t="shared" si="82"/>
        <v>0</v>
      </c>
      <c r="AM482" s="88">
        <f t="shared" si="83"/>
        <v>0</v>
      </c>
    </row>
    <row r="483" spans="1:52">
      <c r="A483" s="884">
        <v>501.3</v>
      </c>
      <c r="B483" s="885" t="s">
        <v>1030</v>
      </c>
      <c r="N483">
        <f t="shared" ref="N483:Y483" si="90">N121+N122+N123+N124+N126+N127+N129+N130</f>
        <v>0.36581928310275835</v>
      </c>
      <c r="O483">
        <f t="shared" si="90"/>
        <v>0.32661699767095514</v>
      </c>
      <c r="P483">
        <f t="shared" si="90"/>
        <v>0.35115208227703587</v>
      </c>
      <c r="Q483">
        <f t="shared" si="90"/>
        <v>0.33376440455683204</v>
      </c>
      <c r="R483">
        <f t="shared" si="90"/>
        <v>0.31241406908862057</v>
      </c>
      <c r="S483">
        <f t="shared" si="90"/>
        <v>0.33237485103674169</v>
      </c>
      <c r="T483">
        <f t="shared" si="90"/>
        <v>0.34852343767509358</v>
      </c>
      <c r="U483">
        <f t="shared" si="90"/>
        <v>0.4798079411193571</v>
      </c>
      <c r="V483">
        <f t="shared" si="90"/>
        <v>0.43562664071670848</v>
      </c>
      <c r="W483">
        <f t="shared" si="90"/>
        <v>0.35083921150891018</v>
      </c>
      <c r="X483">
        <f t="shared" si="90"/>
        <v>0.23541833617412233</v>
      </c>
      <c r="Y483">
        <f t="shared" si="90"/>
        <v>0.24109424204653468</v>
      </c>
      <c r="Z483" s="88">
        <f t="shared" si="82"/>
        <v>4.1134514969736697</v>
      </c>
      <c r="AA483">
        <f t="shared" ref="AA483:AL483" si="91">AA121+AA122+AA123+AA124+AA126+AA127+AA129+AA130</f>
        <v>0.25719008926882758</v>
      </c>
      <c r="AB483">
        <f t="shared" si="91"/>
        <v>0.22995268173480113</v>
      </c>
      <c r="AC483">
        <f t="shared" si="91"/>
        <v>0.21858482426249326</v>
      </c>
      <c r="AD483">
        <f t="shared" si="91"/>
        <v>0.18192553921575574</v>
      </c>
      <c r="AE483">
        <f t="shared" si="91"/>
        <v>0.20281870402148217</v>
      </c>
      <c r="AF483">
        <f t="shared" si="91"/>
        <v>0.23668120818261046</v>
      </c>
      <c r="AG483">
        <f t="shared" si="91"/>
        <v>0.24571991792203496</v>
      </c>
      <c r="AH483">
        <f t="shared" si="91"/>
        <v>0.3767810796726388</v>
      </c>
      <c r="AI483">
        <f t="shared" si="91"/>
        <v>0.44080568927083658</v>
      </c>
      <c r="AJ483">
        <f t="shared" si="91"/>
        <v>0.35513778707956345</v>
      </c>
      <c r="AK483">
        <f t="shared" si="91"/>
        <v>0.23918070229366006</v>
      </c>
      <c r="AL483" s="54">
        <f t="shared" si="91"/>
        <v>0.2431078413749892</v>
      </c>
      <c r="AM483" s="88">
        <f t="shared" si="83"/>
        <v>3.2278860642996934</v>
      </c>
      <c r="AN483">
        <f t="shared" ref="AN483:AX483" si="92">AN121+AN122+AN123+AN124+AN126+AN127+AN129+AN130</f>
        <v>3.3134254431923145</v>
      </c>
      <c r="AO483">
        <f t="shared" si="92"/>
        <v>3.4092381215338374</v>
      </c>
      <c r="AP483">
        <f t="shared" si="92"/>
        <v>0</v>
      </c>
      <c r="AQ483">
        <f t="shared" si="92"/>
        <v>0</v>
      </c>
      <c r="AR483">
        <f t="shared" si="92"/>
        <v>0</v>
      </c>
      <c r="AS483">
        <f t="shared" si="92"/>
        <v>0</v>
      </c>
      <c r="AT483">
        <f t="shared" si="92"/>
        <v>0</v>
      </c>
      <c r="AU483">
        <f t="shared" si="92"/>
        <v>0</v>
      </c>
      <c r="AV483">
        <f t="shared" si="92"/>
        <v>0</v>
      </c>
      <c r="AW483">
        <f t="shared" si="92"/>
        <v>0</v>
      </c>
      <c r="AX483">
        <f t="shared" si="92"/>
        <v>0</v>
      </c>
    </row>
    <row r="484" spans="1:52">
      <c r="A484" s="884">
        <v>501.1</v>
      </c>
      <c r="B484" s="881" t="s">
        <v>59</v>
      </c>
      <c r="Z484" s="88">
        <f t="shared" si="82"/>
        <v>0</v>
      </c>
      <c r="AM484" s="88">
        <f t="shared" si="83"/>
        <v>0</v>
      </c>
    </row>
    <row r="485" spans="1:52">
      <c r="A485" s="884">
        <v>501.1</v>
      </c>
      <c r="B485" s="881" t="s">
        <v>61</v>
      </c>
      <c r="Z485" s="88">
        <f t="shared" si="82"/>
        <v>0</v>
      </c>
      <c r="AM485" s="88">
        <f t="shared" si="83"/>
        <v>0</v>
      </c>
    </row>
    <row r="486" spans="1:52">
      <c r="A486" s="884">
        <v>501.1</v>
      </c>
      <c r="B486" s="881" t="s">
        <v>63</v>
      </c>
      <c r="Z486" s="88">
        <f t="shared" si="82"/>
        <v>0</v>
      </c>
      <c r="AM486" s="88">
        <f t="shared" si="83"/>
        <v>0</v>
      </c>
    </row>
    <row r="487" spans="1:52">
      <c r="A487" s="884" t="s">
        <v>725</v>
      </c>
      <c r="B487" s="882" t="s">
        <v>1022</v>
      </c>
      <c r="Z487" s="88">
        <f t="shared" si="82"/>
        <v>0</v>
      </c>
      <c r="AM487" s="88">
        <f t="shared" si="83"/>
        <v>0</v>
      </c>
    </row>
    <row r="488" spans="1:52">
      <c r="A488" s="884" t="s">
        <v>537</v>
      </c>
      <c r="B488" s="882" t="s">
        <v>1022</v>
      </c>
      <c r="E488" s="106">
        <f>E120</f>
        <v>0</v>
      </c>
      <c r="F488" s="106">
        <f>F120</f>
        <v>0</v>
      </c>
      <c r="G488" s="106"/>
      <c r="H488" s="106"/>
      <c r="I488" s="106"/>
      <c r="J488" s="106"/>
      <c r="K488" s="106"/>
      <c r="L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88">
        <f t="shared" si="82"/>
        <v>0</v>
      </c>
      <c r="AA488" s="106"/>
      <c r="AB488" s="106"/>
      <c r="AC488" s="106"/>
      <c r="AD488" s="106"/>
      <c r="AE488" s="106"/>
      <c r="AF488" s="106"/>
      <c r="AG488" s="106"/>
      <c r="AH488" s="106"/>
      <c r="AI488" s="106"/>
      <c r="AJ488" s="106"/>
      <c r="AK488" s="106"/>
      <c r="AL488" s="106"/>
      <c r="AM488" s="88">
        <f t="shared" si="83"/>
        <v>0</v>
      </c>
      <c r="AN488" s="106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917"/>
      <c r="AZ488" s="917"/>
    </row>
    <row r="489" spans="1:52">
      <c r="A489" s="884">
        <v>502.1</v>
      </c>
      <c r="B489" s="882" t="s">
        <v>1022</v>
      </c>
      <c r="Z489" s="88">
        <f t="shared" si="82"/>
        <v>0</v>
      </c>
      <c r="AM489" s="88">
        <f t="shared" si="83"/>
        <v>0</v>
      </c>
    </row>
    <row r="490" spans="1:52">
      <c r="A490" s="884">
        <v>502.11</v>
      </c>
      <c r="B490" s="882" t="s">
        <v>1022</v>
      </c>
      <c r="Z490" s="88">
        <f t="shared" si="82"/>
        <v>0</v>
      </c>
      <c r="AM490" s="88">
        <f t="shared" si="83"/>
        <v>0</v>
      </c>
    </row>
    <row r="491" spans="1:52">
      <c r="A491" s="884">
        <v>502.11</v>
      </c>
      <c r="B491" s="882" t="s">
        <v>1022</v>
      </c>
      <c r="E491" s="106">
        <f>E122</f>
        <v>0</v>
      </c>
      <c r="F491" s="106">
        <f>F122</f>
        <v>0</v>
      </c>
      <c r="G491" s="106"/>
      <c r="H491" s="106"/>
      <c r="I491" s="106"/>
      <c r="J491" s="106"/>
      <c r="K491" s="106"/>
      <c r="L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88">
        <f t="shared" si="82"/>
        <v>0</v>
      </c>
      <c r="AA491" s="106"/>
      <c r="AB491" s="106"/>
      <c r="AC491" s="106"/>
      <c r="AD491" s="106"/>
      <c r="AE491" s="106"/>
      <c r="AF491" s="106"/>
      <c r="AG491" s="106"/>
      <c r="AH491" s="106"/>
      <c r="AI491" s="106"/>
      <c r="AJ491" s="106"/>
      <c r="AK491" s="106"/>
      <c r="AL491" s="106"/>
      <c r="AM491" s="88">
        <f t="shared" si="83"/>
        <v>0</v>
      </c>
      <c r="AN491" s="106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917"/>
      <c r="AZ491" s="917"/>
    </row>
    <row r="492" spans="1:52">
      <c r="A492" s="884" t="s">
        <v>729</v>
      </c>
      <c r="B492" s="882" t="s">
        <v>1022</v>
      </c>
      <c r="N492">
        <f t="shared" ref="N492:Y492" si="93">N120+N125+N128+N131</f>
        <v>1.705570677490424</v>
      </c>
      <c r="O492">
        <f t="shared" si="93"/>
        <v>1.5321701898772009</v>
      </c>
      <c r="P492">
        <f t="shared" si="93"/>
        <v>1.6391698819073781</v>
      </c>
      <c r="Q492">
        <f t="shared" si="93"/>
        <v>1.5737985609907224</v>
      </c>
      <c r="R492">
        <f t="shared" si="93"/>
        <v>1.5870444150618361</v>
      </c>
      <c r="S492">
        <f t="shared" si="93"/>
        <v>1.5599482984153021</v>
      </c>
      <c r="T492">
        <f t="shared" si="93"/>
        <v>1.63975252876374</v>
      </c>
      <c r="U492">
        <f t="shared" si="93"/>
        <v>1.6389645844687759</v>
      </c>
      <c r="V492">
        <f t="shared" si="93"/>
        <v>1.0827724987279144</v>
      </c>
      <c r="W492">
        <f t="shared" si="93"/>
        <v>1.144791954240816</v>
      </c>
      <c r="X492">
        <f t="shared" si="93"/>
        <v>1.1058295047618421</v>
      </c>
      <c r="Y492">
        <f t="shared" si="93"/>
        <v>1.1459905665560481</v>
      </c>
      <c r="Z492" s="88">
        <f t="shared" si="82"/>
        <v>17.355803661261998</v>
      </c>
      <c r="AA492">
        <f t="shared" ref="AA492:AL492" si="94">AA120+AA125+AA128+AA131</f>
        <v>1.3026510706712096</v>
      </c>
      <c r="AB492">
        <f t="shared" si="94"/>
        <v>1.1701918059623253</v>
      </c>
      <c r="AC492">
        <f t="shared" si="94"/>
        <v>0.95829410875456955</v>
      </c>
      <c r="AD492">
        <f t="shared" si="94"/>
        <v>1.024154640945002</v>
      </c>
      <c r="AE492">
        <f t="shared" si="94"/>
        <v>1.1963825699129764</v>
      </c>
      <c r="AF492">
        <f t="shared" si="94"/>
        <v>1.2133896144240399</v>
      </c>
      <c r="AG492">
        <f t="shared" si="94"/>
        <v>1.2633126090169251</v>
      </c>
      <c r="AH492">
        <f t="shared" si="94"/>
        <v>1.2671400966094046</v>
      </c>
      <c r="AI492">
        <f t="shared" si="94"/>
        <v>1.1928245351311708</v>
      </c>
      <c r="AJ492">
        <f t="shared" si="94"/>
        <v>1.248515887702196</v>
      </c>
      <c r="AK492">
        <f t="shared" si="94"/>
        <v>1.2055779209430297</v>
      </c>
      <c r="AL492">
        <f t="shared" si="94"/>
        <v>1.2439608436871179</v>
      </c>
      <c r="AM492" s="88">
        <f t="shared" si="83"/>
        <v>14.286395703759966</v>
      </c>
      <c r="AN492">
        <f t="shared" ref="AN492:AX492" si="95">AN120+AN125+AN128+AN131</f>
        <v>18.19285517993945</v>
      </c>
      <c r="AO492">
        <f t="shared" si="95"/>
        <v>19.517411899360109</v>
      </c>
      <c r="AP492">
        <f t="shared" si="95"/>
        <v>23.905262260000001</v>
      </c>
      <c r="AQ492">
        <f t="shared" si="95"/>
        <v>25.1165345</v>
      </c>
      <c r="AR492">
        <f t="shared" si="95"/>
        <v>37.026512500000003</v>
      </c>
      <c r="AS492">
        <f t="shared" si="95"/>
        <v>40.513747470000006</v>
      </c>
      <c r="AT492">
        <f t="shared" si="95"/>
        <v>40.697616280000005</v>
      </c>
      <c r="AU492">
        <f t="shared" si="95"/>
        <v>42.40550528</v>
      </c>
      <c r="AV492">
        <f t="shared" si="95"/>
        <v>42.240524600000001</v>
      </c>
      <c r="AW492">
        <f t="shared" si="95"/>
        <v>43.597515179999995</v>
      </c>
      <c r="AX492">
        <f t="shared" si="95"/>
        <v>43.92324391999999</v>
      </c>
    </row>
    <row r="493" spans="1:52">
      <c r="A493" s="884">
        <v>502.1</v>
      </c>
      <c r="B493" s="882" t="s">
        <v>1022</v>
      </c>
      <c r="Z493" s="88">
        <f t="shared" si="82"/>
        <v>0</v>
      </c>
      <c r="AM493" s="88">
        <f t="shared" si="83"/>
        <v>0</v>
      </c>
    </row>
    <row r="494" spans="1:52">
      <c r="A494" s="884" t="s">
        <v>730</v>
      </c>
      <c r="B494" s="881" t="s">
        <v>972</v>
      </c>
      <c r="Z494" s="88">
        <f t="shared" si="82"/>
        <v>0</v>
      </c>
      <c r="AM494" s="88">
        <f t="shared" si="83"/>
        <v>0</v>
      </c>
    </row>
    <row r="495" spans="1:52">
      <c r="A495" s="884" t="s">
        <v>730</v>
      </c>
      <c r="B495" s="881" t="s">
        <v>972</v>
      </c>
      <c r="Z495" s="88">
        <f t="shared" si="82"/>
        <v>0</v>
      </c>
      <c r="AM495" s="88">
        <f t="shared" si="83"/>
        <v>0</v>
      </c>
    </row>
    <row r="496" spans="1:52">
      <c r="A496" s="884" t="s">
        <v>730</v>
      </c>
      <c r="B496" s="881" t="s">
        <v>972</v>
      </c>
      <c r="Z496" s="88">
        <f t="shared" ref="Z496:Z559" si="96">SUM(N496:Y496)</f>
        <v>0</v>
      </c>
      <c r="AM496" s="88">
        <f t="shared" ref="AM496:AM559" si="97">SUM(AA496:AL496)</f>
        <v>0</v>
      </c>
    </row>
    <row r="497" spans="1:52">
      <c r="A497" s="884" t="s">
        <v>730</v>
      </c>
      <c r="B497" s="881" t="s">
        <v>972</v>
      </c>
      <c r="Z497" s="88">
        <f t="shared" si="96"/>
        <v>0</v>
      </c>
      <c r="AM497" s="88">
        <f t="shared" si="97"/>
        <v>0</v>
      </c>
    </row>
    <row r="498" spans="1:52">
      <c r="A498" s="884" t="s">
        <v>732</v>
      </c>
      <c r="B498" s="881" t="s">
        <v>973</v>
      </c>
      <c r="Z498" s="88">
        <f t="shared" si="96"/>
        <v>0</v>
      </c>
      <c r="AM498" s="88">
        <f t="shared" si="97"/>
        <v>0</v>
      </c>
    </row>
    <row r="499" spans="1:52">
      <c r="A499" s="884">
        <v>506.1</v>
      </c>
      <c r="B499" s="881" t="s">
        <v>973</v>
      </c>
      <c r="Z499" s="88">
        <f t="shared" si="96"/>
        <v>0</v>
      </c>
      <c r="AM499" s="88">
        <f t="shared" si="97"/>
        <v>0</v>
      </c>
    </row>
    <row r="500" spans="1:52">
      <c r="A500" s="884" t="s">
        <v>734</v>
      </c>
      <c r="B500" s="881" t="s">
        <v>973</v>
      </c>
      <c r="N500">
        <f t="shared" ref="N500:Y500" si="98">N132+N134</f>
        <v>0.12252878223812404</v>
      </c>
      <c r="O500">
        <f t="shared" si="98"/>
        <v>0.10993884666000001</v>
      </c>
      <c r="P500">
        <f t="shared" si="98"/>
        <v>0.11868616635739802</v>
      </c>
      <c r="Q500">
        <f t="shared" si="98"/>
        <v>0.11252555664492601</v>
      </c>
      <c r="R500">
        <f t="shared" si="98"/>
        <v>0.11558720495839801</v>
      </c>
      <c r="S500">
        <f t="shared" si="98"/>
        <v>0.10915751500140002</v>
      </c>
      <c r="T500">
        <f t="shared" si="98"/>
        <v>0.11470584024872402</v>
      </c>
      <c r="U500">
        <f t="shared" si="98"/>
        <v>0.114001524372198</v>
      </c>
      <c r="V500">
        <f t="shared" si="98"/>
        <v>0</v>
      </c>
      <c r="W500">
        <f t="shared" si="98"/>
        <v>0</v>
      </c>
      <c r="X500">
        <f t="shared" si="98"/>
        <v>0</v>
      </c>
      <c r="Y500">
        <f t="shared" si="98"/>
        <v>0</v>
      </c>
      <c r="Z500" s="88">
        <f t="shared" si="96"/>
        <v>0.91713143648116813</v>
      </c>
      <c r="AA500">
        <f t="shared" ref="AA500:AL500" si="99">AA132+AA134</f>
        <v>0</v>
      </c>
      <c r="AB500">
        <f t="shared" si="99"/>
        <v>0</v>
      </c>
      <c r="AC500">
        <f t="shared" si="99"/>
        <v>0</v>
      </c>
      <c r="AD500">
        <f t="shared" si="99"/>
        <v>0</v>
      </c>
      <c r="AE500">
        <f t="shared" si="99"/>
        <v>0</v>
      </c>
      <c r="AF500">
        <f t="shared" si="99"/>
        <v>0</v>
      </c>
      <c r="AG500">
        <f t="shared" si="99"/>
        <v>0</v>
      </c>
      <c r="AH500">
        <f t="shared" si="99"/>
        <v>0</v>
      </c>
      <c r="AI500">
        <f t="shared" si="99"/>
        <v>0</v>
      </c>
      <c r="AJ500">
        <f t="shared" si="99"/>
        <v>0</v>
      </c>
      <c r="AK500">
        <f t="shared" si="99"/>
        <v>0</v>
      </c>
      <c r="AL500">
        <f t="shared" si="99"/>
        <v>0</v>
      </c>
      <c r="AM500" s="88">
        <f t="shared" si="97"/>
        <v>0</v>
      </c>
      <c r="AN500">
        <f>AN132+AN134</f>
        <v>0.13369882898410798</v>
      </c>
      <c r="AO500">
        <f>AO132+AO134</f>
        <v>0.1784607433500644</v>
      </c>
      <c r="AP500">
        <f t="shared" ref="AP500:AX500" si="100">AP132</f>
        <v>0</v>
      </c>
      <c r="AQ500">
        <f t="shared" si="100"/>
        <v>0</v>
      </c>
      <c r="AR500">
        <f t="shared" si="100"/>
        <v>0</v>
      </c>
      <c r="AS500">
        <f t="shared" si="100"/>
        <v>0</v>
      </c>
      <c r="AT500">
        <f t="shared" si="100"/>
        <v>0</v>
      </c>
      <c r="AU500">
        <f t="shared" si="100"/>
        <v>0</v>
      </c>
      <c r="AV500">
        <f t="shared" si="100"/>
        <v>0</v>
      </c>
      <c r="AW500">
        <f t="shared" si="100"/>
        <v>0</v>
      </c>
      <c r="AX500">
        <f t="shared" si="100"/>
        <v>0</v>
      </c>
    </row>
    <row r="501" spans="1:52">
      <c r="A501" s="884" t="s">
        <v>70</v>
      </c>
      <c r="B501" s="881" t="s">
        <v>974</v>
      </c>
      <c r="E501" s="64">
        <f>+E140</f>
        <v>0</v>
      </c>
      <c r="F501" s="64">
        <f>+F140</f>
        <v>0</v>
      </c>
      <c r="G501" s="64"/>
      <c r="H501" s="64"/>
      <c r="I501" s="64"/>
      <c r="J501" s="64"/>
      <c r="K501" s="64"/>
      <c r="L501" s="64"/>
      <c r="N501" s="64">
        <f t="shared" ref="N501:Y501" si="101">+N140+N139</f>
        <v>7.6820392891954505E-3</v>
      </c>
      <c r="O501" s="64">
        <f t="shared" si="101"/>
        <v>6.8834353927498962E-3</v>
      </c>
      <c r="P501" s="64">
        <f t="shared" si="101"/>
        <v>7.444097902796579E-3</v>
      </c>
      <c r="Q501" s="64">
        <f t="shared" si="101"/>
        <v>6.1876641044190227E-3</v>
      </c>
      <c r="R501" s="64">
        <f t="shared" si="101"/>
        <v>1.5636355005466906E-2</v>
      </c>
      <c r="S501" s="64">
        <f t="shared" si="101"/>
        <v>7.3290495654324368E-3</v>
      </c>
      <c r="T501" s="64">
        <f t="shared" si="101"/>
        <v>9.6395203964546872E-3</v>
      </c>
      <c r="U501" s="64">
        <f t="shared" si="101"/>
        <v>7.2984946833338053E-3</v>
      </c>
      <c r="V501" s="64">
        <f t="shared" si="101"/>
        <v>3.8842623513196633E-3</v>
      </c>
      <c r="W501" s="64">
        <f t="shared" si="101"/>
        <v>4.1487683647729269E-3</v>
      </c>
      <c r="X501" s="64">
        <f t="shared" si="101"/>
        <v>4.0144049862864701E-3</v>
      </c>
      <c r="Y501" s="64">
        <f t="shared" si="101"/>
        <v>2.0036998616513965E-2</v>
      </c>
      <c r="Z501" s="88">
        <f t="shared" si="96"/>
        <v>0.10018509065874182</v>
      </c>
      <c r="AA501" s="64">
        <f t="shared" ref="AA501:AL501" si="102">+AA140+AA139</f>
        <v>2.6015030335303627E-3</v>
      </c>
      <c r="AB501" s="64">
        <f t="shared" si="102"/>
        <v>2.336601525809522E-3</v>
      </c>
      <c r="AC501" s="64">
        <f t="shared" si="102"/>
        <v>2.3261062813364755E-3</v>
      </c>
      <c r="AD501" s="64">
        <f t="shared" si="102"/>
        <v>2.0718721197841411E-3</v>
      </c>
      <c r="AE501" s="64">
        <f t="shared" si="102"/>
        <v>1.9953556517675716E-3</v>
      </c>
      <c r="AF501" s="64">
        <f t="shared" si="102"/>
        <v>2.4050494829547173E-3</v>
      </c>
      <c r="AG501" s="64">
        <f t="shared" si="102"/>
        <v>2.5053019928722594E-3</v>
      </c>
      <c r="AH501" s="64">
        <f t="shared" si="102"/>
        <v>2.4841898861380756E-3</v>
      </c>
      <c r="AI501" s="64">
        <f t="shared" si="102"/>
        <v>2.4086590883452765E-3</v>
      </c>
      <c r="AJ501" s="64">
        <f t="shared" si="102"/>
        <v>2.5788007198638266E-3</v>
      </c>
      <c r="AK501" s="64">
        <f t="shared" si="102"/>
        <v>2.4787001735277598E-3</v>
      </c>
      <c r="AL501" s="64">
        <f t="shared" si="102"/>
        <v>2.524227414776026E-3</v>
      </c>
      <c r="AM501" s="88">
        <f t="shared" si="97"/>
        <v>2.8716367370706014E-2</v>
      </c>
      <c r="AN501" s="64">
        <f t="shared" ref="AN501:AX501" si="103">+AN140+AN139</f>
        <v>4.6416481610437862E-2</v>
      </c>
      <c r="AO501" s="64">
        <f t="shared" si="103"/>
        <v>6.3573199693133547E-2</v>
      </c>
      <c r="AP501" s="64">
        <f t="shared" si="103"/>
        <v>6.5613982079363115E-2</v>
      </c>
      <c r="AQ501" s="64">
        <f t="shared" si="103"/>
        <v>7.226914255494496E-2</v>
      </c>
      <c r="AR501" s="64">
        <f t="shared" si="103"/>
        <v>0.14731493814744029</v>
      </c>
      <c r="AS501" s="64">
        <f t="shared" si="103"/>
        <v>0.18439174332392072</v>
      </c>
      <c r="AT501" s="64">
        <f t="shared" si="103"/>
        <v>0.19255569080238388</v>
      </c>
      <c r="AU501" s="64">
        <f t="shared" si="103"/>
        <v>0.19342387116296217</v>
      </c>
      <c r="AV501" s="64">
        <f t="shared" si="103"/>
        <v>0.18264925505291951</v>
      </c>
      <c r="AW501" s="64">
        <f t="shared" si="103"/>
        <v>0.1836463700213391</v>
      </c>
      <c r="AX501" s="64">
        <f t="shared" si="103"/>
        <v>0.18348955636561476</v>
      </c>
      <c r="AY501" s="364"/>
      <c r="AZ501" s="364"/>
    </row>
    <row r="502" spans="1:52">
      <c r="A502" s="884">
        <v>510</v>
      </c>
      <c r="B502" s="881" t="s">
        <v>975</v>
      </c>
      <c r="Z502" s="88">
        <f t="shared" si="96"/>
        <v>0</v>
      </c>
      <c r="AM502" s="88">
        <f t="shared" si="97"/>
        <v>0</v>
      </c>
    </row>
    <row r="503" spans="1:52">
      <c r="A503" s="884">
        <v>511.1</v>
      </c>
      <c r="B503" s="881" t="s">
        <v>103</v>
      </c>
      <c r="Z503" s="88">
        <f t="shared" si="96"/>
        <v>0</v>
      </c>
      <c r="AM503" s="88">
        <f t="shared" si="97"/>
        <v>0</v>
      </c>
    </row>
    <row r="504" spans="1:52">
      <c r="A504" s="884">
        <v>511.1</v>
      </c>
      <c r="B504" s="881" t="s">
        <v>104</v>
      </c>
      <c r="Z504" s="88">
        <f t="shared" si="96"/>
        <v>0</v>
      </c>
      <c r="AM504" s="88">
        <f t="shared" si="97"/>
        <v>0</v>
      </c>
    </row>
    <row r="505" spans="1:52">
      <c r="A505" s="884" t="s">
        <v>737</v>
      </c>
      <c r="B505" s="881" t="s">
        <v>976</v>
      </c>
      <c r="Z505" s="88">
        <f t="shared" si="96"/>
        <v>0</v>
      </c>
      <c r="AM505" s="88">
        <f t="shared" si="97"/>
        <v>0</v>
      </c>
    </row>
    <row r="506" spans="1:52">
      <c r="A506" s="884" t="s">
        <v>737</v>
      </c>
      <c r="B506" s="881" t="s">
        <v>976</v>
      </c>
      <c r="Z506" s="88">
        <f t="shared" si="96"/>
        <v>0</v>
      </c>
      <c r="AM506" s="88">
        <f t="shared" si="97"/>
        <v>0</v>
      </c>
    </row>
    <row r="507" spans="1:52">
      <c r="A507" s="884" t="s">
        <v>737</v>
      </c>
      <c r="B507" s="881" t="s">
        <v>976</v>
      </c>
      <c r="Z507" s="88">
        <f t="shared" si="96"/>
        <v>0</v>
      </c>
      <c r="AM507" s="88">
        <f t="shared" si="97"/>
        <v>0</v>
      </c>
    </row>
    <row r="508" spans="1:52">
      <c r="A508" s="884">
        <v>512.11</v>
      </c>
      <c r="B508" s="882" t="s">
        <v>976</v>
      </c>
      <c r="Z508" s="88">
        <f t="shared" si="96"/>
        <v>0</v>
      </c>
      <c r="AM508" s="88">
        <f t="shared" si="97"/>
        <v>0</v>
      </c>
    </row>
    <row r="509" spans="1:52">
      <c r="A509" s="884" t="s">
        <v>741</v>
      </c>
      <c r="B509" s="881" t="s">
        <v>977</v>
      </c>
      <c r="Z509" s="88">
        <f t="shared" si="96"/>
        <v>0</v>
      </c>
      <c r="AM509" s="88">
        <f t="shared" si="97"/>
        <v>0</v>
      </c>
    </row>
    <row r="510" spans="1:52">
      <c r="A510" s="884">
        <v>513.1</v>
      </c>
      <c r="B510" s="881" t="s">
        <v>977</v>
      </c>
      <c r="Z510" s="88">
        <f t="shared" si="96"/>
        <v>0</v>
      </c>
      <c r="AM510" s="88">
        <f t="shared" si="97"/>
        <v>0</v>
      </c>
    </row>
    <row r="511" spans="1:52">
      <c r="A511" s="884">
        <v>514.1</v>
      </c>
      <c r="B511" s="881" t="s">
        <v>978</v>
      </c>
      <c r="Z511" s="88">
        <f t="shared" si="96"/>
        <v>0</v>
      </c>
      <c r="AM511" s="88">
        <f t="shared" si="97"/>
        <v>0</v>
      </c>
    </row>
    <row r="512" spans="1:52">
      <c r="A512" s="884">
        <v>514.1</v>
      </c>
      <c r="B512" s="881" t="s">
        <v>978</v>
      </c>
      <c r="Z512" s="88">
        <f t="shared" si="96"/>
        <v>0</v>
      </c>
      <c r="AM512" s="88">
        <f t="shared" si="97"/>
        <v>0</v>
      </c>
    </row>
    <row r="513" spans="1:52">
      <c r="A513" s="884">
        <v>514.1</v>
      </c>
      <c r="B513" s="881" t="s">
        <v>978</v>
      </c>
      <c r="Z513" s="88">
        <f t="shared" si="96"/>
        <v>0</v>
      </c>
      <c r="AM513" s="88">
        <f t="shared" si="97"/>
        <v>0</v>
      </c>
    </row>
    <row r="514" spans="1:52">
      <c r="A514" s="884">
        <v>548.1</v>
      </c>
      <c r="B514" s="881" t="s">
        <v>979</v>
      </c>
      <c r="Z514" s="88">
        <f t="shared" si="96"/>
        <v>0</v>
      </c>
      <c r="AM514" s="88">
        <f t="shared" si="97"/>
        <v>0</v>
      </c>
    </row>
    <row r="515" spans="1:52">
      <c r="A515" s="884" t="s">
        <v>83</v>
      </c>
      <c r="B515" s="881" t="s">
        <v>84</v>
      </c>
      <c r="E515" s="5">
        <f>+E145</f>
        <v>0</v>
      </c>
      <c r="F515" s="5">
        <f>+F145</f>
        <v>0</v>
      </c>
      <c r="G515" s="5"/>
      <c r="H515" s="5"/>
      <c r="I515" s="5"/>
      <c r="J515" s="5"/>
      <c r="K515" s="5"/>
      <c r="L515" s="5"/>
      <c r="N515" s="5">
        <f t="shared" ref="N515:Y515" si="104">+N145</f>
        <v>0.88063521120000021</v>
      </c>
      <c r="O515" s="5">
        <f t="shared" si="104"/>
        <v>0.8216226095000001</v>
      </c>
      <c r="P515" s="5">
        <f t="shared" si="104"/>
        <v>0.8798948847000001</v>
      </c>
      <c r="Q515" s="5">
        <f t="shared" si="104"/>
        <v>0.86164446549999996</v>
      </c>
      <c r="R515" s="5">
        <f t="shared" si="104"/>
        <v>0.87437931959999982</v>
      </c>
      <c r="S515" s="5">
        <f t="shared" si="104"/>
        <v>0.40397904569999998</v>
      </c>
      <c r="T515" s="5">
        <f t="shared" si="104"/>
        <v>0.40915283999999996</v>
      </c>
      <c r="U515" s="5">
        <f t="shared" si="104"/>
        <v>0.40722250719999997</v>
      </c>
      <c r="V515" s="5">
        <f t="shared" si="104"/>
        <v>0.40396330159999999</v>
      </c>
      <c r="W515" s="5">
        <f t="shared" si="104"/>
        <v>0.8799035528000001</v>
      </c>
      <c r="X515" s="5">
        <f t="shared" si="104"/>
        <v>0.85969980379999988</v>
      </c>
      <c r="Y515" s="5">
        <f t="shared" si="104"/>
        <v>0.88420098450000006</v>
      </c>
      <c r="Z515" s="88">
        <f t="shared" si="96"/>
        <v>8.5662985261000006</v>
      </c>
      <c r="AA515" s="5">
        <f t="shared" ref="AA515:AL515" si="105">+AA145</f>
        <v>0.88869821120000014</v>
      </c>
      <c r="AB515" s="5">
        <f t="shared" si="105"/>
        <v>0.82968560950000003</v>
      </c>
      <c r="AC515" s="5">
        <f t="shared" si="105"/>
        <v>0.88795788470000003</v>
      </c>
      <c r="AD515" s="5">
        <f t="shared" si="105"/>
        <v>0.86970746550000011</v>
      </c>
      <c r="AE515" s="5">
        <f t="shared" si="105"/>
        <v>0.88244231959999997</v>
      </c>
      <c r="AF515" s="5">
        <f t="shared" si="105"/>
        <v>0.41204204570000003</v>
      </c>
      <c r="AG515" s="5">
        <f t="shared" si="105"/>
        <v>0.41721584</v>
      </c>
      <c r="AH515" s="5">
        <f t="shared" si="105"/>
        <v>0.41528550720000001</v>
      </c>
      <c r="AI515" s="5">
        <f t="shared" si="105"/>
        <v>0.41202630160000003</v>
      </c>
      <c r="AJ515" s="5">
        <f t="shared" si="105"/>
        <v>0.88796655280000003</v>
      </c>
      <c r="AK515" s="5">
        <f t="shared" si="105"/>
        <v>0.86776280380000004</v>
      </c>
      <c r="AL515" s="5">
        <f t="shared" si="105"/>
        <v>0.89226398450000022</v>
      </c>
      <c r="AM515" s="88">
        <f t="shared" si="97"/>
        <v>8.6630545260999998</v>
      </c>
      <c r="AN515" s="5">
        <f t="shared" ref="AN515:AX515" si="106">+AN145</f>
        <v>12.422228399999998</v>
      </c>
      <c r="AO515" s="5">
        <f t="shared" si="106"/>
        <v>12.422228399999998</v>
      </c>
      <c r="AP515" s="5">
        <f t="shared" si="106"/>
        <v>12.4222284</v>
      </c>
      <c r="AQ515" s="5">
        <f t="shared" si="106"/>
        <v>13.04333982</v>
      </c>
      <c r="AR515" s="5">
        <f t="shared" si="106"/>
        <v>13.04333982</v>
      </c>
      <c r="AS515" s="5">
        <f t="shared" si="106"/>
        <v>13.04333982</v>
      </c>
      <c r="AT515" s="5">
        <f t="shared" si="106"/>
        <v>13.695506811000001</v>
      </c>
      <c r="AU515" s="5">
        <f t="shared" si="106"/>
        <v>13.695506811000001</v>
      </c>
      <c r="AV515" s="5">
        <f t="shared" si="106"/>
        <v>13.695506811000001</v>
      </c>
      <c r="AW515" s="5">
        <f t="shared" si="106"/>
        <v>14.38028215155</v>
      </c>
      <c r="AX515" s="5">
        <f t="shared" si="106"/>
        <v>14.38028215155</v>
      </c>
      <c r="AY515" s="368"/>
      <c r="AZ515" s="368"/>
    </row>
    <row r="516" spans="1:52">
      <c r="A516" s="884" t="s">
        <v>546</v>
      </c>
      <c r="B516" s="881" t="s">
        <v>89</v>
      </c>
      <c r="E516" s="106">
        <f>+E131+E146</f>
        <v>0</v>
      </c>
      <c r="F516" s="106">
        <f>+F131+F146</f>
        <v>0</v>
      </c>
      <c r="G516" s="106"/>
      <c r="H516" s="106"/>
      <c r="I516" s="106"/>
      <c r="J516" s="106"/>
      <c r="K516" s="106"/>
      <c r="L516" s="106"/>
      <c r="N516" s="106">
        <f t="shared" ref="N516:Y516" si="107">+N146</f>
        <v>4.2337784999999996E-2</v>
      </c>
      <c r="O516" s="106">
        <f t="shared" si="107"/>
        <v>3.7758135000000005E-2</v>
      </c>
      <c r="P516" s="106">
        <f t="shared" si="107"/>
        <v>4.9842029999999996E-2</v>
      </c>
      <c r="Q516" s="106">
        <f t="shared" si="107"/>
        <v>5.1810839999999997E-2</v>
      </c>
      <c r="R516" s="106">
        <f t="shared" si="107"/>
        <v>5.1375045000000001E-2</v>
      </c>
      <c r="S516" s="106">
        <f t="shared" si="107"/>
        <v>4.3315065E-2</v>
      </c>
      <c r="T516" s="106">
        <f t="shared" si="107"/>
        <v>4.4605485E-2</v>
      </c>
      <c r="U516" s="106">
        <f t="shared" si="107"/>
        <v>4.0118010000000003E-2</v>
      </c>
      <c r="V516" s="106">
        <f t="shared" si="107"/>
        <v>4.9318154999999995E-2</v>
      </c>
      <c r="W516" s="106">
        <f t="shared" si="107"/>
        <v>5.8424984999999999E-2</v>
      </c>
      <c r="X516" s="106">
        <f t="shared" si="107"/>
        <v>5.721147E-2</v>
      </c>
      <c r="Y516" s="106">
        <f t="shared" si="107"/>
        <v>5.2862399999999997E-2</v>
      </c>
      <c r="Z516" s="88">
        <f t="shared" si="96"/>
        <v>0.57897940499999989</v>
      </c>
      <c r="AA516" s="106">
        <f t="shared" ref="AA516:AL516" si="108">+AA146</f>
        <v>4.7917784999999997E-2</v>
      </c>
      <c r="AB516" s="106">
        <f t="shared" si="108"/>
        <v>4.2796635E-2</v>
      </c>
      <c r="AC516" s="106">
        <f t="shared" si="108"/>
        <v>5.5422029999999997E-2</v>
      </c>
      <c r="AD516" s="106">
        <f t="shared" si="108"/>
        <v>5.7207839999999996E-2</v>
      </c>
      <c r="AE516" s="106">
        <f t="shared" si="108"/>
        <v>5.5455045000000001E-2</v>
      </c>
      <c r="AF516" s="106">
        <f t="shared" si="108"/>
        <v>4.8713565E-2</v>
      </c>
      <c r="AG516" s="106">
        <f t="shared" si="108"/>
        <v>5.0185485000000002E-2</v>
      </c>
      <c r="AH516" s="106">
        <f t="shared" si="108"/>
        <v>4.5696510000000003E-2</v>
      </c>
      <c r="AI516" s="106">
        <f t="shared" si="108"/>
        <v>5.4718154999999997E-2</v>
      </c>
      <c r="AJ516" s="106">
        <f t="shared" si="108"/>
        <v>6.3986984999999996E-2</v>
      </c>
      <c r="AK516" s="106">
        <f t="shared" si="108"/>
        <v>6.2620469999999998E-2</v>
      </c>
      <c r="AL516" s="106">
        <f t="shared" si="108"/>
        <v>5.7989399999999997E-2</v>
      </c>
      <c r="AM516" s="88">
        <f t="shared" si="97"/>
        <v>0.64270990500000003</v>
      </c>
      <c r="AN516" s="106">
        <f t="shared" ref="AN516:AX516" si="109">+AN146</f>
        <v>0.66945943499999994</v>
      </c>
      <c r="AO516" s="106">
        <f t="shared" si="109"/>
        <v>0.67100294999999999</v>
      </c>
      <c r="AP516" s="106">
        <f t="shared" si="109"/>
        <v>0.71322104999999991</v>
      </c>
      <c r="AQ516" s="106">
        <f t="shared" si="109"/>
        <v>0.70968254999999991</v>
      </c>
      <c r="AR516" s="106">
        <f t="shared" si="109"/>
        <v>0.70785254999999991</v>
      </c>
      <c r="AS516" s="106">
        <f t="shared" si="109"/>
        <v>0.71141504999999994</v>
      </c>
      <c r="AT516" s="106">
        <f t="shared" si="109"/>
        <v>0.70091354999999989</v>
      </c>
      <c r="AU516" s="106">
        <f t="shared" si="109"/>
        <v>0.69904006499999993</v>
      </c>
      <c r="AV516" s="106">
        <f t="shared" si="109"/>
        <v>0.69354554999999996</v>
      </c>
      <c r="AW516" s="106">
        <f t="shared" si="109"/>
        <v>0.69855406499999995</v>
      </c>
      <c r="AX516" s="106">
        <f t="shared" si="109"/>
        <v>0.68930203499999987</v>
      </c>
      <c r="AY516" s="917"/>
      <c r="AZ516" s="917"/>
    </row>
    <row r="517" spans="1:52">
      <c r="A517" s="884" t="s">
        <v>548</v>
      </c>
      <c r="B517" s="881" t="s">
        <v>90</v>
      </c>
      <c r="E517" s="106">
        <f>+E133</f>
        <v>0</v>
      </c>
      <c r="F517" s="106">
        <f>+F133</f>
        <v>0</v>
      </c>
      <c r="G517" s="106"/>
      <c r="H517" s="106"/>
      <c r="I517" s="106"/>
      <c r="J517" s="106"/>
      <c r="K517" s="106"/>
      <c r="L517" s="106"/>
      <c r="N517" s="106">
        <f t="shared" ref="N517:Y517" si="110">N133</f>
        <v>0.55072590939456467</v>
      </c>
      <c r="O517" s="106">
        <f t="shared" si="110"/>
        <v>0.49292018000357762</v>
      </c>
      <c r="P517" s="106">
        <f t="shared" si="110"/>
        <v>0.5375307237875423</v>
      </c>
      <c r="Q517" s="106">
        <f t="shared" si="110"/>
        <v>0.1954280028235392</v>
      </c>
      <c r="R517" s="106">
        <f t="shared" si="110"/>
        <v>0.36072824773534556</v>
      </c>
      <c r="S517" s="106">
        <f t="shared" si="110"/>
        <v>0.50746437259290722</v>
      </c>
      <c r="T517" s="106">
        <f t="shared" si="110"/>
        <v>0.5328558560333807</v>
      </c>
      <c r="U517" s="106">
        <f t="shared" si="110"/>
        <v>0.55137481053833282</v>
      </c>
      <c r="V517" s="106">
        <f t="shared" si="110"/>
        <v>0.55174655019044627</v>
      </c>
      <c r="W517" s="106">
        <f t="shared" si="110"/>
        <v>0.56667224790154069</v>
      </c>
      <c r="X517" s="106">
        <f t="shared" si="110"/>
        <v>0.5466828864829536</v>
      </c>
      <c r="Y517" s="106">
        <f t="shared" si="110"/>
        <v>0.55391498301657605</v>
      </c>
      <c r="Z517" s="88">
        <f t="shared" si="96"/>
        <v>5.9480447705007071</v>
      </c>
      <c r="AA517" s="106">
        <f t="shared" ref="AA517:AL517" si="111">AA133</f>
        <v>0.61357305372752469</v>
      </c>
      <c r="AB517" s="106">
        <f t="shared" si="111"/>
        <v>0.55343479708346499</v>
      </c>
      <c r="AC517" s="106">
        <f t="shared" si="111"/>
        <v>0.62145197417856124</v>
      </c>
      <c r="AD517" s="106">
        <f t="shared" si="111"/>
        <v>0.54904474786893886</v>
      </c>
      <c r="AE517" s="106">
        <f t="shared" si="111"/>
        <v>0.40616458205269096</v>
      </c>
      <c r="AF517" s="106">
        <f t="shared" si="111"/>
        <v>0.56455657176186502</v>
      </c>
      <c r="AG517" s="106">
        <f t="shared" si="111"/>
        <v>0.59103483171026516</v>
      </c>
      <c r="AH517" s="106">
        <f t="shared" si="111"/>
        <v>0.60855343979886656</v>
      </c>
      <c r="AI517" s="106">
        <f t="shared" si="111"/>
        <v>0.605582620730164</v>
      </c>
      <c r="AJ517" s="106">
        <f t="shared" si="111"/>
        <v>0.63583055360528173</v>
      </c>
      <c r="AK517" s="106">
        <f t="shared" si="111"/>
        <v>0.60443850080434136</v>
      </c>
      <c r="AL517" s="106">
        <f t="shared" si="111"/>
        <v>0.61239877076562088</v>
      </c>
      <c r="AM517" s="88">
        <f t="shared" si="97"/>
        <v>6.9660644440875856</v>
      </c>
      <c r="AN517" s="106">
        <f t="shared" ref="AN517:AX517" si="112">AN133</f>
        <v>7.3646867529440225</v>
      </c>
      <c r="AO517" s="106">
        <f t="shared" si="112"/>
        <v>7.8737479985917966</v>
      </c>
      <c r="AP517" s="106">
        <f t="shared" si="112"/>
        <v>8.134726012372278</v>
      </c>
      <c r="AQ517" s="106">
        <f t="shared" si="112"/>
        <v>7.9997992499698345</v>
      </c>
      <c r="AR517" s="106">
        <f t="shared" si="112"/>
        <v>8.9056036433689325</v>
      </c>
      <c r="AS517" s="106">
        <f t="shared" si="112"/>
        <v>9.4405573444004247</v>
      </c>
      <c r="AT517" s="106">
        <f t="shared" si="112"/>
        <v>8.6051410858102564</v>
      </c>
      <c r="AU517" s="106">
        <f t="shared" si="112"/>
        <v>9.8680344902347503</v>
      </c>
      <c r="AV517" s="106">
        <f t="shared" si="112"/>
        <v>10.078224447536005</v>
      </c>
      <c r="AW517" s="106">
        <f t="shared" si="112"/>
        <v>10.388325575551303</v>
      </c>
      <c r="AX517" s="106">
        <f t="shared" si="112"/>
        <v>10.538641767160669</v>
      </c>
      <c r="AY517" s="917"/>
      <c r="AZ517" s="917"/>
    </row>
    <row r="518" spans="1:52">
      <c r="A518" s="884" t="s">
        <v>646</v>
      </c>
      <c r="B518" s="881" t="s">
        <v>91</v>
      </c>
      <c r="E518" s="5">
        <f>+E147</f>
        <v>0</v>
      </c>
      <c r="F518" s="5">
        <f>+F147</f>
        <v>0</v>
      </c>
      <c r="G518" s="5"/>
      <c r="H518" s="5"/>
      <c r="I518" s="5"/>
      <c r="J518" s="5"/>
      <c r="K518" s="5"/>
      <c r="L518" s="5"/>
      <c r="N518" s="5">
        <f t="shared" ref="N518:Y518" si="113">+N147</f>
        <v>0.62215626539999991</v>
      </c>
      <c r="O518" s="5">
        <f t="shared" si="113"/>
        <v>0.5916125467000003</v>
      </c>
      <c r="P518" s="5">
        <f t="shared" si="113"/>
        <v>0.45243363639999995</v>
      </c>
      <c r="Q518" s="5">
        <f t="shared" si="113"/>
        <v>0.74139876890000012</v>
      </c>
      <c r="R518" s="5">
        <f t="shared" si="113"/>
        <v>1.1763295668000002</v>
      </c>
      <c r="S518" s="5">
        <f t="shared" si="113"/>
        <v>0.77883408830000023</v>
      </c>
      <c r="T518" s="5">
        <f t="shared" si="113"/>
        <v>0.87873033169999948</v>
      </c>
      <c r="U518" s="5">
        <f t="shared" si="113"/>
        <v>0.66235122650000022</v>
      </c>
      <c r="V518" s="5">
        <f t="shared" si="113"/>
        <v>7.9055902199999986E-2</v>
      </c>
      <c r="W518" s="5">
        <f t="shared" si="113"/>
        <v>9.232072400000001E-3</v>
      </c>
      <c r="X518" s="5">
        <f t="shared" si="113"/>
        <v>3.7960289700000024E-2</v>
      </c>
      <c r="Y518" s="5">
        <f t="shared" si="113"/>
        <v>0.14278794460000002</v>
      </c>
      <c r="Z518" s="88">
        <f t="shared" si="96"/>
        <v>6.1728826396000001</v>
      </c>
      <c r="AA518" s="5">
        <f t="shared" ref="AA518:AL518" si="114">+AA147</f>
        <v>0.21997349500000005</v>
      </c>
      <c r="AB518" s="5">
        <f t="shared" si="114"/>
        <v>8.6748361100000018E-2</v>
      </c>
      <c r="AC518" s="5">
        <f t="shared" si="114"/>
        <v>0.22969405729999984</v>
      </c>
      <c r="AD518" s="5">
        <f t="shared" si="114"/>
        <v>0.24713617959999995</v>
      </c>
      <c r="AE518" s="5">
        <f t="shared" si="114"/>
        <v>0.29614133809999987</v>
      </c>
      <c r="AF518" s="5">
        <f t="shared" si="114"/>
        <v>0.15432896970000004</v>
      </c>
      <c r="AG518" s="5">
        <f t="shared" si="114"/>
        <v>0.16274008689999994</v>
      </c>
      <c r="AH518" s="5">
        <f t="shared" si="114"/>
        <v>0.2073111713000001</v>
      </c>
      <c r="AI518" s="5">
        <f t="shared" si="114"/>
        <v>7.2268148200000007E-2</v>
      </c>
      <c r="AJ518" s="5">
        <f t="shared" si="114"/>
        <v>8.1094002000000019E-3</v>
      </c>
      <c r="AK518" s="5">
        <f t="shared" si="114"/>
        <v>3.74187978E-2</v>
      </c>
      <c r="AL518" s="5">
        <f t="shared" si="114"/>
        <v>0.2224089942000001</v>
      </c>
      <c r="AM518" s="88">
        <f t="shared" si="97"/>
        <v>1.9442789994</v>
      </c>
      <c r="AN518" s="5">
        <f t="shared" ref="AN518:AX518" si="115">+AN147</f>
        <v>2.5058812575999996</v>
      </c>
      <c r="AO518" s="5">
        <f t="shared" si="115"/>
        <v>3.1282986090999998</v>
      </c>
      <c r="AP518" s="5">
        <f t="shared" si="115"/>
        <v>3.7426968239999994</v>
      </c>
      <c r="AQ518" s="5">
        <f t="shared" si="115"/>
        <v>3.6104256716999994</v>
      </c>
      <c r="AR518" s="5">
        <f t="shared" si="115"/>
        <v>0.18195605590000002</v>
      </c>
      <c r="AS518" s="5">
        <f t="shared" si="115"/>
        <v>0.11185580340000001</v>
      </c>
      <c r="AT518" s="5">
        <f t="shared" si="115"/>
        <v>0.1032558918</v>
      </c>
      <c r="AU518" s="5">
        <f t="shared" si="115"/>
        <v>7.6136057999999993E-2</v>
      </c>
      <c r="AV518" s="5">
        <f t="shared" si="115"/>
        <v>9.4355474100000017E-2</v>
      </c>
      <c r="AW518" s="5">
        <f t="shared" si="115"/>
        <v>0.12069862090000001</v>
      </c>
      <c r="AX518" s="5">
        <f t="shared" si="115"/>
        <v>0.17989253219999995</v>
      </c>
      <c r="AY518" s="368"/>
      <c r="AZ518" s="368"/>
    </row>
    <row r="519" spans="1:52">
      <c r="A519" s="884" t="s">
        <v>92</v>
      </c>
      <c r="B519" s="881" t="s">
        <v>93</v>
      </c>
      <c r="Z519" s="88">
        <f t="shared" si="96"/>
        <v>0</v>
      </c>
      <c r="AM519" s="88">
        <f t="shared" si="97"/>
        <v>0</v>
      </c>
    </row>
    <row r="520" spans="1:52">
      <c r="A520" s="884" t="s">
        <v>647</v>
      </c>
      <c r="B520" s="881" t="s">
        <v>94</v>
      </c>
      <c r="Z520" s="88">
        <f t="shared" si="96"/>
        <v>0</v>
      </c>
      <c r="AM520" s="88">
        <f t="shared" si="97"/>
        <v>0</v>
      </c>
    </row>
    <row r="521" spans="1:52" s="569" customFormat="1">
      <c r="A521" s="884">
        <v>557.35</v>
      </c>
      <c r="B521" s="881" t="s">
        <v>1010</v>
      </c>
      <c r="D521" s="165"/>
      <c r="M521" s="88"/>
      <c r="Z521" s="88">
        <f t="shared" si="96"/>
        <v>0</v>
      </c>
      <c r="AM521" s="88">
        <f t="shared" si="97"/>
        <v>0</v>
      </c>
      <c r="AY521" s="547"/>
      <c r="AZ521" s="547"/>
    </row>
    <row r="522" spans="1:52">
      <c r="A522" s="884" t="s">
        <v>744</v>
      </c>
      <c r="B522" s="881" t="s">
        <v>980</v>
      </c>
      <c r="Z522" s="88">
        <f t="shared" si="96"/>
        <v>0</v>
      </c>
      <c r="AM522" s="88">
        <f t="shared" si="97"/>
        <v>0</v>
      </c>
    </row>
    <row r="523" spans="1:52">
      <c r="A523" s="884">
        <v>560.1</v>
      </c>
      <c r="B523" s="881" t="s">
        <v>980</v>
      </c>
      <c r="Z523" s="88">
        <f t="shared" si="96"/>
        <v>0</v>
      </c>
      <c r="AM523" s="88">
        <f t="shared" si="97"/>
        <v>0</v>
      </c>
    </row>
    <row r="524" spans="1:52">
      <c r="A524" s="884" t="s">
        <v>746</v>
      </c>
      <c r="B524" s="881" t="s">
        <v>981</v>
      </c>
      <c r="Z524" s="88">
        <f t="shared" si="96"/>
        <v>0</v>
      </c>
      <c r="AM524" s="88">
        <f t="shared" si="97"/>
        <v>0</v>
      </c>
    </row>
    <row r="525" spans="1:52">
      <c r="A525" s="884" t="s">
        <v>751</v>
      </c>
      <c r="B525" s="881" t="s">
        <v>982</v>
      </c>
      <c r="Z525" s="88">
        <f t="shared" si="96"/>
        <v>0</v>
      </c>
      <c r="AM525" s="88">
        <f t="shared" si="97"/>
        <v>0</v>
      </c>
    </row>
    <row r="526" spans="1:52">
      <c r="A526" s="884">
        <v>561.1</v>
      </c>
      <c r="B526" s="881" t="s">
        <v>982</v>
      </c>
      <c r="Z526" s="88">
        <f t="shared" si="96"/>
        <v>0</v>
      </c>
      <c r="AM526" s="88">
        <f t="shared" si="97"/>
        <v>0</v>
      </c>
    </row>
    <row r="527" spans="1:52">
      <c r="A527" s="884">
        <v>561.4</v>
      </c>
      <c r="B527" s="881" t="s">
        <v>869</v>
      </c>
      <c r="Z527" s="88">
        <f t="shared" si="96"/>
        <v>0</v>
      </c>
      <c r="AM527" s="88">
        <f t="shared" si="97"/>
        <v>0</v>
      </c>
    </row>
    <row r="528" spans="1:52">
      <c r="A528" s="884">
        <v>561.79999999999995</v>
      </c>
      <c r="B528" s="881" t="s">
        <v>869</v>
      </c>
      <c r="Z528" s="88">
        <f t="shared" si="96"/>
        <v>0</v>
      </c>
      <c r="AM528" s="88">
        <f t="shared" si="97"/>
        <v>0</v>
      </c>
    </row>
    <row r="529" spans="1:39">
      <c r="A529" s="884" t="s">
        <v>753</v>
      </c>
      <c r="B529" s="881" t="s">
        <v>983</v>
      </c>
      <c r="Z529" s="88">
        <f t="shared" si="96"/>
        <v>0</v>
      </c>
      <c r="AM529" s="88">
        <f t="shared" si="97"/>
        <v>0</v>
      </c>
    </row>
    <row r="530" spans="1:39">
      <c r="A530" s="884">
        <v>562.1</v>
      </c>
      <c r="B530" s="881" t="s">
        <v>983</v>
      </c>
      <c r="Z530" s="88">
        <f t="shared" si="96"/>
        <v>0</v>
      </c>
      <c r="AM530" s="88">
        <f t="shared" si="97"/>
        <v>0</v>
      </c>
    </row>
    <row r="531" spans="1:39">
      <c r="A531" s="884" t="s">
        <v>755</v>
      </c>
      <c r="B531" s="881" t="s">
        <v>984</v>
      </c>
      <c r="Z531" s="88">
        <f t="shared" si="96"/>
        <v>0</v>
      </c>
      <c r="AM531" s="88">
        <f t="shared" si="97"/>
        <v>0</v>
      </c>
    </row>
    <row r="532" spans="1:39">
      <c r="A532" s="884">
        <v>563.1</v>
      </c>
      <c r="B532" s="881" t="s">
        <v>984</v>
      </c>
      <c r="Z532" s="88">
        <f t="shared" si="96"/>
        <v>0</v>
      </c>
      <c r="AM532" s="88">
        <f t="shared" si="97"/>
        <v>0</v>
      </c>
    </row>
    <row r="533" spans="1:39">
      <c r="A533" s="884" t="s">
        <v>649</v>
      </c>
      <c r="B533" s="881" t="s">
        <v>99</v>
      </c>
      <c r="Z533" s="88">
        <f t="shared" si="96"/>
        <v>0</v>
      </c>
      <c r="AM533" s="88">
        <f t="shared" si="97"/>
        <v>0</v>
      </c>
    </row>
    <row r="534" spans="1:39">
      <c r="A534" s="884" t="s">
        <v>757</v>
      </c>
      <c r="B534" s="881" t="s">
        <v>985</v>
      </c>
      <c r="Z534" s="88">
        <f t="shared" si="96"/>
        <v>0</v>
      </c>
      <c r="AM534" s="88">
        <f t="shared" si="97"/>
        <v>0</v>
      </c>
    </row>
    <row r="535" spans="1:39">
      <c r="A535" s="884">
        <v>566.1</v>
      </c>
      <c r="B535" s="881" t="s">
        <v>985</v>
      </c>
      <c r="Z535" s="88">
        <f t="shared" si="96"/>
        <v>0</v>
      </c>
      <c r="AM535" s="88">
        <f t="shared" si="97"/>
        <v>0</v>
      </c>
    </row>
    <row r="536" spans="1:39">
      <c r="A536" s="884" t="s">
        <v>794</v>
      </c>
      <c r="B536" s="881" t="s">
        <v>986</v>
      </c>
      <c r="Z536" s="88">
        <f t="shared" si="96"/>
        <v>0</v>
      </c>
      <c r="AM536" s="88">
        <f t="shared" si="97"/>
        <v>0</v>
      </c>
    </row>
    <row r="537" spans="1:39">
      <c r="A537" s="884">
        <v>566.20000000000005</v>
      </c>
      <c r="B537" s="881" t="s">
        <v>986</v>
      </c>
      <c r="Z537" s="88">
        <f t="shared" si="96"/>
        <v>0</v>
      </c>
      <c r="AM537" s="88">
        <f t="shared" si="97"/>
        <v>0</v>
      </c>
    </row>
    <row r="538" spans="1:39">
      <c r="A538" s="884" t="s">
        <v>100</v>
      </c>
      <c r="B538" s="881" t="s">
        <v>101</v>
      </c>
      <c r="Z538" s="88">
        <f t="shared" si="96"/>
        <v>0</v>
      </c>
      <c r="AM538" s="88">
        <f t="shared" si="97"/>
        <v>0</v>
      </c>
    </row>
    <row r="539" spans="1:39">
      <c r="A539" s="884" t="s">
        <v>796</v>
      </c>
      <c r="B539" s="881" t="s">
        <v>987</v>
      </c>
      <c r="Z539" s="88">
        <f t="shared" si="96"/>
        <v>0</v>
      </c>
      <c r="AM539" s="88">
        <f t="shared" si="97"/>
        <v>0</v>
      </c>
    </row>
    <row r="540" spans="1:39">
      <c r="A540" s="884">
        <v>568.1</v>
      </c>
      <c r="B540" s="881" t="s">
        <v>987</v>
      </c>
      <c r="Z540" s="88">
        <f t="shared" si="96"/>
        <v>0</v>
      </c>
      <c r="AM540" s="88">
        <f t="shared" si="97"/>
        <v>0</v>
      </c>
    </row>
    <row r="541" spans="1:39">
      <c r="A541" s="884" t="s">
        <v>798</v>
      </c>
      <c r="B541" s="881" t="s">
        <v>988</v>
      </c>
      <c r="Z541" s="88">
        <f t="shared" si="96"/>
        <v>0</v>
      </c>
      <c r="AM541" s="88">
        <f t="shared" si="97"/>
        <v>0</v>
      </c>
    </row>
    <row r="542" spans="1:39">
      <c r="A542" s="884" t="s">
        <v>102</v>
      </c>
      <c r="B542" s="881" t="s">
        <v>989</v>
      </c>
      <c r="Z542" s="88">
        <f t="shared" si="96"/>
        <v>0</v>
      </c>
      <c r="AM542" s="88">
        <f t="shared" si="97"/>
        <v>0</v>
      </c>
    </row>
    <row r="543" spans="1:39">
      <c r="A543" s="884">
        <v>569.1</v>
      </c>
      <c r="B543" s="881" t="s">
        <v>989</v>
      </c>
      <c r="Z543" s="88">
        <f t="shared" si="96"/>
        <v>0</v>
      </c>
      <c r="AM543" s="88">
        <f t="shared" si="97"/>
        <v>0</v>
      </c>
    </row>
    <row r="544" spans="1:39">
      <c r="A544" s="884" t="s">
        <v>800</v>
      </c>
      <c r="B544" s="881" t="s">
        <v>990</v>
      </c>
      <c r="Z544" s="88">
        <f t="shared" si="96"/>
        <v>0</v>
      </c>
      <c r="AM544" s="88">
        <f t="shared" si="97"/>
        <v>0</v>
      </c>
    </row>
    <row r="545" spans="1:39">
      <c r="A545" s="884">
        <v>570.1</v>
      </c>
      <c r="B545" s="881" t="s">
        <v>990</v>
      </c>
      <c r="Z545" s="88">
        <f t="shared" si="96"/>
        <v>0</v>
      </c>
      <c r="AM545" s="88">
        <f t="shared" si="97"/>
        <v>0</v>
      </c>
    </row>
    <row r="546" spans="1:39">
      <c r="A546" s="884" t="s">
        <v>802</v>
      </c>
      <c r="B546" s="881" t="s">
        <v>991</v>
      </c>
      <c r="Z546" s="88">
        <f t="shared" si="96"/>
        <v>0</v>
      </c>
      <c r="AM546" s="88">
        <f t="shared" si="97"/>
        <v>0</v>
      </c>
    </row>
    <row r="547" spans="1:39">
      <c r="A547" s="884">
        <v>571.1</v>
      </c>
      <c r="B547" s="881" t="s">
        <v>991</v>
      </c>
      <c r="Z547" s="88">
        <f t="shared" si="96"/>
        <v>0</v>
      </c>
      <c r="AM547" s="88">
        <f t="shared" si="97"/>
        <v>0</v>
      </c>
    </row>
    <row r="548" spans="1:39">
      <c r="A548" s="884" t="s">
        <v>804</v>
      </c>
      <c r="B548" s="881" t="s">
        <v>992</v>
      </c>
      <c r="Z548" s="88">
        <f t="shared" si="96"/>
        <v>0</v>
      </c>
      <c r="AM548" s="88">
        <f t="shared" si="97"/>
        <v>0</v>
      </c>
    </row>
    <row r="549" spans="1:39">
      <c r="A549" s="884">
        <v>573.1</v>
      </c>
      <c r="B549" s="881" t="s">
        <v>992</v>
      </c>
      <c r="Z549" s="88">
        <f t="shared" si="96"/>
        <v>0</v>
      </c>
      <c r="AM549" s="88">
        <f t="shared" si="97"/>
        <v>0</v>
      </c>
    </row>
    <row r="550" spans="1:39">
      <c r="A550" s="884" t="s">
        <v>806</v>
      </c>
      <c r="B550" s="881" t="s">
        <v>993</v>
      </c>
      <c r="Z550" s="88">
        <f t="shared" si="96"/>
        <v>0</v>
      </c>
      <c r="AM550" s="88">
        <f t="shared" si="97"/>
        <v>0</v>
      </c>
    </row>
    <row r="551" spans="1:39">
      <c r="A551" s="884">
        <v>575.70000000000005</v>
      </c>
      <c r="B551" s="881" t="s">
        <v>870</v>
      </c>
      <c r="Z551" s="88">
        <f t="shared" si="96"/>
        <v>0</v>
      </c>
      <c r="AM551" s="88">
        <f t="shared" si="97"/>
        <v>0</v>
      </c>
    </row>
    <row r="552" spans="1:39">
      <c r="A552" s="884" t="s">
        <v>808</v>
      </c>
      <c r="B552" s="881" t="s">
        <v>994</v>
      </c>
      <c r="Z552" s="88">
        <f t="shared" si="96"/>
        <v>0</v>
      </c>
      <c r="AM552" s="88">
        <f t="shared" si="97"/>
        <v>0</v>
      </c>
    </row>
    <row r="553" spans="1:39">
      <c r="A553" s="884">
        <v>908.1</v>
      </c>
      <c r="B553" s="881" t="s">
        <v>994</v>
      </c>
      <c r="Z553" s="88">
        <f t="shared" si="96"/>
        <v>0</v>
      </c>
      <c r="AM553" s="88">
        <f t="shared" si="97"/>
        <v>0</v>
      </c>
    </row>
    <row r="554" spans="1:39">
      <c r="A554" s="884">
        <v>909.1</v>
      </c>
      <c r="B554" s="881" t="s">
        <v>105</v>
      </c>
      <c r="Z554" s="88">
        <f t="shared" si="96"/>
        <v>0</v>
      </c>
      <c r="AM554" s="88">
        <f t="shared" si="97"/>
        <v>0</v>
      </c>
    </row>
    <row r="555" spans="1:39">
      <c r="A555" s="884">
        <v>913.1</v>
      </c>
      <c r="B555" s="881" t="s">
        <v>106</v>
      </c>
      <c r="Z555" s="88">
        <f t="shared" si="96"/>
        <v>0</v>
      </c>
      <c r="AM555" s="88">
        <f t="shared" si="97"/>
        <v>0</v>
      </c>
    </row>
    <row r="556" spans="1:39">
      <c r="A556" s="884" t="s">
        <v>810</v>
      </c>
      <c r="B556" s="881" t="s">
        <v>107</v>
      </c>
      <c r="Z556" s="88">
        <f t="shared" si="96"/>
        <v>0</v>
      </c>
      <c r="AM556" s="88">
        <f t="shared" si="97"/>
        <v>0</v>
      </c>
    </row>
    <row r="557" spans="1:39">
      <c r="A557" s="884" t="s">
        <v>626</v>
      </c>
      <c r="B557" s="881" t="s">
        <v>108</v>
      </c>
      <c r="Z557" s="88">
        <f t="shared" si="96"/>
        <v>0</v>
      </c>
      <c r="AM557" s="88">
        <f t="shared" si="97"/>
        <v>0</v>
      </c>
    </row>
    <row r="558" spans="1:39">
      <c r="A558" s="884" t="s">
        <v>628</v>
      </c>
      <c r="B558" s="881" t="s">
        <v>109</v>
      </c>
      <c r="Z558" s="88">
        <f t="shared" si="96"/>
        <v>0</v>
      </c>
      <c r="AM558" s="88">
        <f t="shared" si="97"/>
        <v>0</v>
      </c>
    </row>
    <row r="559" spans="1:39">
      <c r="A559" s="884">
        <v>921.10500000000002</v>
      </c>
      <c r="B559" s="883" t="s">
        <v>995</v>
      </c>
      <c r="Z559" s="88">
        <f t="shared" si="96"/>
        <v>0</v>
      </c>
      <c r="AM559" s="88">
        <f t="shared" si="97"/>
        <v>0</v>
      </c>
    </row>
    <row r="560" spans="1:39">
      <c r="A560" s="884" t="s">
        <v>637</v>
      </c>
      <c r="B560" s="881" t="s">
        <v>113</v>
      </c>
      <c r="Z560" s="88">
        <f t="shared" ref="Z560:Z571" si="116">SUM(N560:Y560)</f>
        <v>0</v>
      </c>
      <c r="AM560" s="88">
        <f t="shared" ref="AM560:AM571" si="117">SUM(AA560:AL560)</f>
        <v>0</v>
      </c>
    </row>
    <row r="561" spans="1:52">
      <c r="A561" s="884">
        <v>923.1</v>
      </c>
      <c r="B561" s="881" t="s">
        <v>113</v>
      </c>
      <c r="Z561" s="88">
        <f t="shared" si="116"/>
        <v>0</v>
      </c>
      <c r="AM561" s="88">
        <f t="shared" si="117"/>
        <v>0</v>
      </c>
    </row>
    <row r="562" spans="1:52">
      <c r="A562" s="884" t="s">
        <v>114</v>
      </c>
      <c r="B562" s="881" t="s">
        <v>996</v>
      </c>
      <c r="Z562" s="88">
        <f t="shared" si="116"/>
        <v>0</v>
      </c>
      <c r="AM562" s="88">
        <f t="shared" si="117"/>
        <v>0</v>
      </c>
    </row>
    <row r="563" spans="1:52">
      <c r="A563" s="884" t="s">
        <v>115</v>
      </c>
      <c r="B563" s="881" t="s">
        <v>997</v>
      </c>
      <c r="Z563" s="88">
        <f t="shared" si="116"/>
        <v>0</v>
      </c>
      <c r="AM563" s="88">
        <f t="shared" si="117"/>
        <v>0</v>
      </c>
    </row>
    <row r="564" spans="1:52">
      <c r="A564" s="884">
        <v>926.1</v>
      </c>
      <c r="B564" s="881" t="s">
        <v>998</v>
      </c>
      <c r="Z564" s="88">
        <f t="shared" si="116"/>
        <v>0</v>
      </c>
      <c r="AM564" s="88">
        <f t="shared" si="117"/>
        <v>0</v>
      </c>
    </row>
    <row r="565" spans="1:52">
      <c r="A565" s="884" t="s">
        <v>630</v>
      </c>
      <c r="B565" s="881" t="s">
        <v>120</v>
      </c>
      <c r="Z565" s="88">
        <f t="shared" si="116"/>
        <v>0</v>
      </c>
      <c r="AM565" s="88">
        <f t="shared" si="117"/>
        <v>0</v>
      </c>
    </row>
    <row r="566" spans="1:52">
      <c r="A566" s="884">
        <v>930.2</v>
      </c>
      <c r="B566" s="881" t="s">
        <v>999</v>
      </c>
      <c r="Z566" s="88">
        <f t="shared" si="116"/>
        <v>0</v>
      </c>
      <c r="AM566" s="88">
        <f t="shared" si="117"/>
        <v>0</v>
      </c>
    </row>
    <row r="567" spans="1:52">
      <c r="A567" s="884" t="s">
        <v>122</v>
      </c>
      <c r="B567" s="881" t="s">
        <v>123</v>
      </c>
      <c r="Z567" s="88">
        <f t="shared" si="116"/>
        <v>0</v>
      </c>
      <c r="AM567" s="88">
        <f t="shared" si="117"/>
        <v>0</v>
      </c>
    </row>
    <row r="568" spans="1:52">
      <c r="A568" s="884">
        <v>935.1</v>
      </c>
      <c r="B568" s="881" t="s">
        <v>1000</v>
      </c>
      <c r="Z568" s="88">
        <f t="shared" si="116"/>
        <v>0</v>
      </c>
      <c r="AM568" s="88">
        <f t="shared" si="117"/>
        <v>0</v>
      </c>
    </row>
    <row r="569" spans="1:52">
      <c r="A569" s="884">
        <v>935.1</v>
      </c>
      <c r="B569" s="881" t="s">
        <v>1000</v>
      </c>
      <c r="Z569" s="88">
        <f t="shared" si="116"/>
        <v>0</v>
      </c>
      <c r="AM569" s="88">
        <f t="shared" si="117"/>
        <v>0</v>
      </c>
    </row>
    <row r="570" spans="1:52">
      <c r="Z570" s="88">
        <f t="shared" si="116"/>
        <v>0</v>
      </c>
      <c r="AM570" s="88">
        <f t="shared" si="117"/>
        <v>0</v>
      </c>
    </row>
    <row r="571" spans="1:52">
      <c r="E571">
        <f>SUM(E433:E570)</f>
        <v>0</v>
      </c>
      <c r="F571">
        <f>SUM(F433:F570)</f>
        <v>0</v>
      </c>
      <c r="N571">
        <f t="shared" ref="N571:Y571" si="118">SUM(N433:N570)</f>
        <v>0.714253699730661</v>
      </c>
      <c r="O571">
        <f t="shared" si="118"/>
        <v>0.54802733622318345</v>
      </c>
      <c r="P571">
        <f t="shared" si="118"/>
        <v>9.1433619158233836E-2</v>
      </c>
      <c r="Q571">
        <f t="shared" si="118"/>
        <v>1.4149612846090274</v>
      </c>
      <c r="R571">
        <f t="shared" si="118"/>
        <v>2.5192812721691249</v>
      </c>
      <c r="S571">
        <f t="shared" si="118"/>
        <v>1.758422030376432</v>
      </c>
      <c r="T571">
        <f t="shared" si="118"/>
        <v>0.56075234022162523</v>
      </c>
      <c r="U571">
        <f t="shared" si="118"/>
        <v>-2.6398425474053093</v>
      </c>
      <c r="V571">
        <f t="shared" si="118"/>
        <v>-2.0668306545846136</v>
      </c>
      <c r="W571">
        <f t="shared" si="118"/>
        <v>-3.8796218177444053</v>
      </c>
      <c r="X571">
        <f t="shared" si="118"/>
        <v>-2.9480782518695161</v>
      </c>
      <c r="Y571">
        <f t="shared" si="118"/>
        <v>-1.6680473405713834</v>
      </c>
      <c r="Z571" s="88">
        <f t="shared" si="116"/>
        <v>-5.5952890296869411</v>
      </c>
      <c r="AA571">
        <f t="shared" ref="AA571:AL571" si="119">SUM(AA433:AA570)</f>
        <v>-2.424093790234914</v>
      </c>
      <c r="AB571">
        <f t="shared" si="119"/>
        <v>-2.3815577851050889</v>
      </c>
      <c r="AC571">
        <f t="shared" si="119"/>
        <v>-0.85336395449278546</v>
      </c>
      <c r="AD571">
        <f t="shared" si="119"/>
        <v>-0.65186320304657674</v>
      </c>
      <c r="AE571">
        <f t="shared" si="119"/>
        <v>-0.27631771375949377</v>
      </c>
      <c r="AF571">
        <f t="shared" si="119"/>
        <v>-1.5072913908231198</v>
      </c>
      <c r="AG571">
        <f t="shared" si="119"/>
        <v>-1.368260430343597</v>
      </c>
      <c r="AH571">
        <f t="shared" si="119"/>
        <v>-1.2033980895278789</v>
      </c>
      <c r="AI571">
        <f t="shared" si="119"/>
        <v>-1.8451616481755087</v>
      </c>
      <c r="AJ571">
        <f t="shared" si="119"/>
        <v>-3.7067621722094652</v>
      </c>
      <c r="AK571">
        <f t="shared" si="119"/>
        <v>-2.7461960094517863</v>
      </c>
      <c r="AL571">
        <f t="shared" si="119"/>
        <v>-1.2709252283063577</v>
      </c>
      <c r="AM571" s="88">
        <f t="shared" si="117"/>
        <v>-20.235191415476571</v>
      </c>
      <c r="AN571">
        <f t="shared" ref="AN571:AX571" si="120">SUM(AN433:AN570)</f>
        <v>-14.087558056542232</v>
      </c>
      <c r="AO571">
        <f t="shared" si="120"/>
        <v>-10.608938126746835</v>
      </c>
      <c r="AP571">
        <f t="shared" si="120"/>
        <v>-10.152162007881079</v>
      </c>
      <c r="AQ571">
        <f t="shared" si="120"/>
        <v>-14.043485346373302</v>
      </c>
      <c r="AR571">
        <f t="shared" si="120"/>
        <v>-171.53635688114622</v>
      </c>
      <c r="AS571">
        <f t="shared" si="120"/>
        <v>-260.32767200383307</v>
      </c>
      <c r="AT571">
        <f t="shared" si="120"/>
        <v>-284.0321053092365</v>
      </c>
      <c r="AU571">
        <f t="shared" si="120"/>
        <v>-306.98928916990343</v>
      </c>
      <c r="AV571">
        <f t="shared" si="120"/>
        <v>-282.98331656509106</v>
      </c>
      <c r="AW571">
        <f t="shared" si="120"/>
        <v>-292.46150855193031</v>
      </c>
      <c r="AX571">
        <f t="shared" si="120"/>
        <v>-282.61517475140687</v>
      </c>
    </row>
    <row r="575" spans="1:52">
      <c r="E575" s="64">
        <f>+E135+E142+E148+E151</f>
        <v>0</v>
      </c>
      <c r="F575" s="64">
        <f>+F135+F142+F148+F151</f>
        <v>0</v>
      </c>
      <c r="G575" s="64"/>
      <c r="H575" s="64"/>
      <c r="I575" s="64"/>
      <c r="J575" s="64"/>
      <c r="K575" s="64"/>
      <c r="L575" s="64"/>
      <c r="N575" s="64">
        <f t="shared" ref="N575:Y575" si="121">+N135+N142+N148+N151</f>
        <v>0.71425369973066077</v>
      </c>
      <c r="O575" s="64">
        <f t="shared" si="121"/>
        <v>0.54802733622318378</v>
      </c>
      <c r="P575" s="64">
        <f t="shared" si="121"/>
        <v>9.1433619158233892E-2</v>
      </c>
      <c r="Q575" s="64">
        <f t="shared" si="121"/>
        <v>1.4149612846090278</v>
      </c>
      <c r="R575" s="64">
        <f t="shared" si="121"/>
        <v>2.5192812721691253</v>
      </c>
      <c r="S575" s="64">
        <f t="shared" si="121"/>
        <v>1.758422030376432</v>
      </c>
      <c r="T575" s="64">
        <f t="shared" si="121"/>
        <v>0.56075234022162501</v>
      </c>
      <c r="U575" s="64">
        <f t="shared" si="121"/>
        <v>-2.6398425474053093</v>
      </c>
      <c r="V575" s="64">
        <f t="shared" si="121"/>
        <v>-2.0668306545846131</v>
      </c>
      <c r="W575" s="64">
        <f t="shared" si="121"/>
        <v>-3.8796218177444053</v>
      </c>
      <c r="X575" s="64">
        <f t="shared" si="121"/>
        <v>-2.9480782518695166</v>
      </c>
      <c r="Y575" s="64">
        <f t="shared" si="121"/>
        <v>-1.6680473405713832</v>
      </c>
      <c r="Z575" s="88">
        <f>SUM(N575:Y575)</f>
        <v>-5.5952890296869384</v>
      </c>
      <c r="AA575" s="64">
        <f t="shared" ref="AA575:AL575" si="122">+AA135+AA142+AA148+AA151</f>
        <v>-2.4240937902349144</v>
      </c>
      <c r="AB575" s="64">
        <f t="shared" si="122"/>
        <v>-2.3815577851050893</v>
      </c>
      <c r="AC575" s="64">
        <f t="shared" si="122"/>
        <v>-0.85336395449278601</v>
      </c>
      <c r="AD575" s="64">
        <f t="shared" si="122"/>
        <v>-0.65186320304657652</v>
      </c>
      <c r="AE575" s="64">
        <f t="shared" si="122"/>
        <v>-0.27631771375949388</v>
      </c>
      <c r="AF575" s="64">
        <f t="shared" si="122"/>
        <v>-1.50729139082312</v>
      </c>
      <c r="AG575" s="64">
        <f t="shared" si="122"/>
        <v>-1.3682604303435975</v>
      </c>
      <c r="AH575" s="64">
        <f t="shared" si="122"/>
        <v>-1.2033980895278793</v>
      </c>
      <c r="AI575" s="64">
        <f t="shared" si="122"/>
        <v>-1.8451616481755093</v>
      </c>
      <c r="AJ575" s="64">
        <f t="shared" si="122"/>
        <v>-3.7067621722094648</v>
      </c>
      <c r="AK575" s="64">
        <f t="shared" si="122"/>
        <v>-2.7461960094517872</v>
      </c>
      <c r="AL575" s="64">
        <f t="shared" si="122"/>
        <v>-1.2709252283063579</v>
      </c>
      <c r="AM575" s="88">
        <f>SUM(AA575:AL575)</f>
        <v>-20.235191415476574</v>
      </c>
      <c r="AN575" s="64">
        <f t="shared" ref="AN575:AX575" si="123">+AN135+AN142+AN148+AN151</f>
        <v>-14.087558056542221</v>
      </c>
      <c r="AO575" s="64">
        <f t="shared" si="123"/>
        <v>-10.608938126746843</v>
      </c>
      <c r="AP575" s="64">
        <f t="shared" si="123"/>
        <v>-10.152162007881081</v>
      </c>
      <c r="AQ575" s="64">
        <f t="shared" si="123"/>
        <v>-14.043485346373302</v>
      </c>
      <c r="AR575" s="64">
        <f t="shared" si="123"/>
        <v>-171.53635688114622</v>
      </c>
      <c r="AS575" s="64">
        <f t="shared" si="123"/>
        <v>-260.32767200383307</v>
      </c>
      <c r="AT575" s="64">
        <f t="shared" si="123"/>
        <v>-284.03210530923656</v>
      </c>
      <c r="AU575" s="64">
        <f t="shared" si="123"/>
        <v>-306.98928916990349</v>
      </c>
      <c r="AV575" s="64">
        <f t="shared" si="123"/>
        <v>-282.98331656509112</v>
      </c>
      <c r="AW575" s="64">
        <f t="shared" si="123"/>
        <v>-292.46150855193025</v>
      </c>
      <c r="AX575" s="64">
        <f t="shared" si="123"/>
        <v>-282.61517475140687</v>
      </c>
      <c r="AY575" s="364"/>
      <c r="AZ575" s="364"/>
    </row>
    <row r="576" spans="1:52">
      <c r="E576" s="64">
        <f>E571-E575</f>
        <v>0</v>
      </c>
      <c r="F576" s="64">
        <f>F571-F575</f>
        <v>0</v>
      </c>
      <c r="G576" s="64"/>
      <c r="H576" s="64"/>
      <c r="I576" s="64"/>
      <c r="J576" s="64"/>
      <c r="K576" s="64"/>
      <c r="L576" s="64"/>
      <c r="M576" s="206"/>
      <c r="N576" s="64">
        <f t="shared" ref="N576:Y576" si="124">N571-N575</f>
        <v>0</v>
      </c>
      <c r="O576" s="64">
        <f t="shared" si="124"/>
        <v>0</v>
      </c>
      <c r="P576" s="64">
        <f t="shared" si="124"/>
        <v>0</v>
      </c>
      <c r="Q576" s="64">
        <f t="shared" si="124"/>
        <v>0</v>
      </c>
      <c r="R576" s="64">
        <f t="shared" si="124"/>
        <v>0</v>
      </c>
      <c r="S576" s="64">
        <f t="shared" si="124"/>
        <v>0</v>
      </c>
      <c r="T576" s="64">
        <f t="shared" si="124"/>
        <v>0</v>
      </c>
      <c r="U576" s="64">
        <f t="shared" si="124"/>
        <v>0</v>
      </c>
      <c r="V576" s="64">
        <f t="shared" si="124"/>
        <v>0</v>
      </c>
      <c r="W576" s="64">
        <f t="shared" si="124"/>
        <v>0</v>
      </c>
      <c r="X576" s="64">
        <f t="shared" si="124"/>
        <v>0</v>
      </c>
      <c r="Y576" s="64">
        <f t="shared" si="124"/>
        <v>0</v>
      </c>
      <c r="Z576" s="88">
        <f>SUM(N576:Y576)</f>
        <v>0</v>
      </c>
      <c r="AA576" s="64">
        <f t="shared" ref="AA576:AL576" si="125">AA571-AA575</f>
        <v>0</v>
      </c>
      <c r="AB576" s="64">
        <f t="shared" si="125"/>
        <v>0</v>
      </c>
      <c r="AC576" s="64">
        <f t="shared" si="125"/>
        <v>0</v>
      </c>
      <c r="AD576" s="64">
        <f t="shared" si="125"/>
        <v>0</v>
      </c>
      <c r="AE576" s="64">
        <f t="shared" si="125"/>
        <v>0</v>
      </c>
      <c r="AF576" s="64">
        <f t="shared" si="125"/>
        <v>0</v>
      </c>
      <c r="AG576" s="64">
        <f t="shared" si="125"/>
        <v>0</v>
      </c>
      <c r="AH576" s="64">
        <f t="shared" si="125"/>
        <v>0</v>
      </c>
      <c r="AI576" s="64">
        <f t="shared" si="125"/>
        <v>0</v>
      </c>
      <c r="AJ576" s="64">
        <f t="shared" si="125"/>
        <v>0</v>
      </c>
      <c r="AK576" s="64">
        <f t="shared" si="125"/>
        <v>0</v>
      </c>
      <c r="AL576" s="64">
        <f t="shared" si="125"/>
        <v>0</v>
      </c>
      <c r="AM576" s="206">
        <f>SUM(AA576:AL576)</f>
        <v>0</v>
      </c>
      <c r="AN576" s="64">
        <f t="shared" ref="AN576:AX576" si="126">AN571-AN575</f>
        <v>0</v>
      </c>
      <c r="AO576" s="64">
        <f t="shared" si="126"/>
        <v>0</v>
      </c>
      <c r="AP576" s="64">
        <f t="shared" si="126"/>
        <v>0</v>
      </c>
      <c r="AQ576" s="64">
        <f t="shared" si="126"/>
        <v>0</v>
      </c>
      <c r="AR576" s="64">
        <f t="shared" si="126"/>
        <v>0</v>
      </c>
      <c r="AS576" s="64">
        <f t="shared" si="126"/>
        <v>0</v>
      </c>
      <c r="AT576" s="64">
        <f t="shared" si="126"/>
        <v>0</v>
      </c>
      <c r="AU576" s="64">
        <f t="shared" si="126"/>
        <v>0</v>
      </c>
      <c r="AV576" s="64">
        <f t="shared" si="126"/>
        <v>0</v>
      </c>
      <c r="AW576" s="64">
        <f t="shared" si="126"/>
        <v>0</v>
      </c>
      <c r="AX576" s="64">
        <f t="shared" si="126"/>
        <v>0</v>
      </c>
      <c r="AY576" s="364"/>
      <c r="AZ576" s="364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Y571"/>
  <sheetViews>
    <sheetView workbookViewId="0">
      <pane xSplit="2" ySplit="2" topLeftCell="C3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D2" sqref="D2"/>
    </sheetView>
  </sheetViews>
  <sheetFormatPr defaultRowHeight="12.75"/>
  <cols>
    <col min="1" max="1" width="29.5703125" customWidth="1"/>
    <col min="2" max="2" width="8" customWidth="1"/>
    <col min="3" max="3" width="11.7109375" style="13" customWidth="1"/>
    <col min="4" max="4" width="13.42578125" style="165" hidden="1" customWidth="1"/>
    <col min="5" max="5" width="13.5703125" hidden="1" customWidth="1"/>
    <col min="6" max="10" width="9.140625" hidden="1" customWidth="1"/>
    <col min="12" max="12" width="8.85546875" style="88" customWidth="1"/>
    <col min="13" max="13" width="9.85546875" customWidth="1"/>
    <col min="25" max="25" width="8.85546875" style="88" customWidth="1"/>
    <col min="38" max="38" width="8.85546875" style="88" customWidth="1"/>
    <col min="50" max="51" width="9.140625" style="547"/>
  </cols>
  <sheetData>
    <row r="1" spans="1:51" s="1" customFormat="1">
      <c r="C1" s="29"/>
      <c r="D1" s="168"/>
      <c r="L1" s="169"/>
      <c r="M1" s="1">
        <f>'Stmts RUS'!G1</f>
        <v>2013</v>
      </c>
      <c r="N1" s="1">
        <f>'Stmts RUS'!H1</f>
        <v>2013</v>
      </c>
      <c r="O1" s="1">
        <f>'Stmts RUS'!I1</f>
        <v>2013</v>
      </c>
      <c r="P1" s="1">
        <f>'Stmts RUS'!J1</f>
        <v>2013</v>
      </c>
      <c r="Q1" s="1">
        <f>'Stmts RUS'!K1</f>
        <v>2013</v>
      </c>
      <c r="R1" s="1">
        <f>'Stmts RUS'!L1</f>
        <v>2013</v>
      </c>
      <c r="S1" s="1">
        <f>'Stmts RUS'!M1</f>
        <v>2013</v>
      </c>
      <c r="T1" s="1">
        <f>'Stmts RUS'!N1</f>
        <v>2013</v>
      </c>
      <c r="U1" s="1">
        <f>'Stmts RUS'!O1</f>
        <v>2013</v>
      </c>
      <c r="V1" s="1">
        <f>'Stmts RUS'!P1</f>
        <v>2013</v>
      </c>
      <c r="W1" s="1">
        <f>'Stmts RUS'!Q1</f>
        <v>2013</v>
      </c>
      <c r="X1" s="1">
        <f>'Stmts RUS'!R1</f>
        <v>2013</v>
      </c>
      <c r="Y1" s="169">
        <f>'Stmts RUS'!S1</f>
        <v>0</v>
      </c>
      <c r="Z1" s="1">
        <f>'Stmts RUS'!T1</f>
        <v>2014</v>
      </c>
      <c r="AA1" s="1">
        <f>'Stmts RUS'!U1</f>
        <v>2014</v>
      </c>
      <c r="AB1" s="1">
        <f>'Stmts RUS'!V1</f>
        <v>2014</v>
      </c>
      <c r="AC1" s="1">
        <f>'Stmts RUS'!W1</f>
        <v>2014</v>
      </c>
      <c r="AD1" s="1">
        <f>'Stmts RUS'!X1</f>
        <v>2014</v>
      </c>
      <c r="AE1" s="1">
        <f>'Stmts RUS'!Y1</f>
        <v>2014</v>
      </c>
      <c r="AF1" s="1">
        <f>'Stmts RUS'!Z1</f>
        <v>2014</v>
      </c>
      <c r="AG1" s="1">
        <f>'Stmts RUS'!AA1</f>
        <v>2014</v>
      </c>
      <c r="AH1" s="1">
        <f>'Stmts RUS'!AB1</f>
        <v>2014</v>
      </c>
      <c r="AI1" s="1">
        <f>'Stmts RUS'!AC1</f>
        <v>2014</v>
      </c>
      <c r="AJ1" s="1">
        <f>'Stmts RUS'!AD1</f>
        <v>2014</v>
      </c>
      <c r="AK1" s="1">
        <f>'Stmts RUS'!AE1</f>
        <v>2014</v>
      </c>
      <c r="AL1" s="169">
        <f>'Stmts RUS'!AF1</f>
        <v>0</v>
      </c>
      <c r="AX1" s="904"/>
      <c r="AY1" s="904"/>
    </row>
    <row r="2" spans="1:51" s="1" customFormat="1">
      <c r="C2" s="29"/>
      <c r="D2" s="168" t="e">
        <f>'Stmts RUS'!#REF!</f>
        <v>#REF!</v>
      </c>
      <c r="L2" s="169"/>
      <c r="M2" s="1" t="str">
        <f>'Stmts RUS'!G2</f>
        <v>January</v>
      </c>
      <c r="N2" s="1" t="str">
        <f>'Stmts RUS'!H2</f>
        <v>February</v>
      </c>
      <c r="O2" s="1" t="str">
        <f>'Stmts RUS'!I2</f>
        <v>March</v>
      </c>
      <c r="P2" s="1" t="str">
        <f>'Stmts RUS'!J2</f>
        <v>April</v>
      </c>
      <c r="Q2" s="1" t="str">
        <f>'Stmts RUS'!K2</f>
        <v>May</v>
      </c>
      <c r="R2" s="1" t="str">
        <f>'Stmts RUS'!L2</f>
        <v>June</v>
      </c>
      <c r="S2" s="1" t="str">
        <f>'Stmts RUS'!M2</f>
        <v>July</v>
      </c>
      <c r="T2" s="1" t="str">
        <f>'Stmts RUS'!N2</f>
        <v>August</v>
      </c>
      <c r="U2" s="1" t="str">
        <f>'Stmts RUS'!O2</f>
        <v>September</v>
      </c>
      <c r="V2" s="1" t="str">
        <f>'Stmts RUS'!P2</f>
        <v>October</v>
      </c>
      <c r="W2" s="1" t="str">
        <f>'Stmts RUS'!Q2</f>
        <v>November</v>
      </c>
      <c r="X2" s="1" t="str">
        <f>'Stmts RUS'!R2</f>
        <v>December</v>
      </c>
      <c r="Y2" s="169">
        <f>'Stmts RUS'!S2</f>
        <v>2013</v>
      </c>
      <c r="Z2" s="1" t="str">
        <f>'Stmts RUS'!T2</f>
        <v>January</v>
      </c>
      <c r="AA2" s="1" t="str">
        <f>'Stmts RUS'!U2</f>
        <v>February</v>
      </c>
      <c r="AB2" s="1" t="str">
        <f>'Stmts RUS'!V2</f>
        <v>March</v>
      </c>
      <c r="AC2" s="1" t="str">
        <f>'Stmts RUS'!W2</f>
        <v>April</v>
      </c>
      <c r="AD2" s="1" t="str">
        <f>'Stmts RUS'!X2</f>
        <v>May</v>
      </c>
      <c r="AE2" s="1" t="str">
        <f>'Stmts RUS'!Y2</f>
        <v>June</v>
      </c>
      <c r="AF2" s="1" t="str">
        <f>'Stmts RUS'!Z2</f>
        <v>July</v>
      </c>
      <c r="AG2" s="1" t="str">
        <f>'Stmts RUS'!AA2</f>
        <v>August</v>
      </c>
      <c r="AH2" s="1" t="str">
        <f>'Stmts RUS'!AB2</f>
        <v>September</v>
      </c>
      <c r="AI2" s="1" t="str">
        <f>'Stmts RUS'!AC2</f>
        <v>October</v>
      </c>
      <c r="AJ2" s="1" t="str">
        <f>'Stmts RUS'!AD2</f>
        <v>November</v>
      </c>
      <c r="AK2" s="1" t="str">
        <f>'Stmts RUS'!AE2</f>
        <v>December</v>
      </c>
      <c r="AL2" s="169">
        <f>'Stmts RUS'!AF2</f>
        <v>2014</v>
      </c>
      <c r="AM2" s="29">
        <f>'Stmts RUS'!AG2</f>
        <v>2015</v>
      </c>
      <c r="AN2" s="29">
        <f>'Stmts RUS'!AH2</f>
        <v>2016</v>
      </c>
      <c r="AO2" s="29">
        <f>'Stmts RUS'!AI2</f>
        <v>2017</v>
      </c>
      <c r="AP2" s="29">
        <f>'Stmts RUS'!AJ2</f>
        <v>2018</v>
      </c>
      <c r="AQ2" s="29">
        <f>'Stmts RUS'!AK2</f>
        <v>2019</v>
      </c>
      <c r="AR2" s="29">
        <f>'Stmts RUS'!AL2</f>
        <v>2020</v>
      </c>
      <c r="AS2" s="29">
        <f>'Stmts RUS'!AM2</f>
        <v>2021</v>
      </c>
      <c r="AT2" s="29">
        <f>'Stmts RUS'!AN2</f>
        <v>2022</v>
      </c>
      <c r="AU2" s="29">
        <f>'Stmts RUS'!AO2</f>
        <v>2023</v>
      </c>
      <c r="AV2" s="29">
        <f>'Stmts RUS'!AP2</f>
        <v>2024</v>
      </c>
      <c r="AW2" s="29">
        <f>'Stmts RUS'!AQ2</f>
        <v>2025</v>
      </c>
      <c r="AX2" s="918"/>
      <c r="AY2" s="918"/>
    </row>
    <row r="3" spans="1:51">
      <c r="B3" t="s">
        <v>87</v>
      </c>
      <c r="M3">
        <f>Rates!M3</f>
        <v>365</v>
      </c>
      <c r="N3">
        <f>Rates!N3</f>
        <v>365</v>
      </c>
      <c r="O3">
        <f>Rates!O3</f>
        <v>365</v>
      </c>
      <c r="P3">
        <f>Rates!P3</f>
        <v>365</v>
      </c>
      <c r="Q3">
        <f>Rates!Q3</f>
        <v>365</v>
      </c>
      <c r="R3">
        <f>Rates!R3</f>
        <v>365</v>
      </c>
      <c r="S3">
        <f>Rates!S3</f>
        <v>365</v>
      </c>
      <c r="T3">
        <f>Rates!T3</f>
        <v>365</v>
      </c>
      <c r="U3">
        <f>Rates!U3</f>
        <v>365</v>
      </c>
      <c r="V3">
        <f>Rates!V3</f>
        <v>365</v>
      </c>
      <c r="W3">
        <f>Rates!W3</f>
        <v>365</v>
      </c>
      <c r="X3">
        <f>Rates!X3</f>
        <v>365</v>
      </c>
      <c r="Y3" s="88">
        <f>Rates!Y3</f>
        <v>365</v>
      </c>
      <c r="Z3">
        <f>Rates!Z3</f>
        <v>365</v>
      </c>
      <c r="AA3">
        <f>Rates!AA3</f>
        <v>365</v>
      </c>
      <c r="AB3">
        <f>Rates!AB3</f>
        <v>365</v>
      </c>
      <c r="AC3">
        <f>Rates!AC3</f>
        <v>365</v>
      </c>
      <c r="AD3">
        <f>Rates!AD3</f>
        <v>365</v>
      </c>
      <c r="AE3">
        <f>Rates!AE3</f>
        <v>365</v>
      </c>
      <c r="AF3">
        <f>Rates!AF3</f>
        <v>365</v>
      </c>
      <c r="AG3">
        <f>Rates!AG3</f>
        <v>365</v>
      </c>
      <c r="AH3">
        <f>Rates!AH3</f>
        <v>365</v>
      </c>
      <c r="AI3">
        <f>Rates!AI3</f>
        <v>365</v>
      </c>
      <c r="AJ3">
        <f>Rates!AJ3</f>
        <v>365</v>
      </c>
      <c r="AK3">
        <f>Rates!AK3</f>
        <v>365</v>
      </c>
      <c r="AL3" s="88">
        <f>Rates!AL3</f>
        <v>365</v>
      </c>
      <c r="AM3">
        <f>Rates!AM3</f>
        <v>365</v>
      </c>
      <c r="AN3">
        <f>Rates!AN3</f>
        <v>366</v>
      </c>
      <c r="AO3">
        <f>Rates!AO3</f>
        <v>365</v>
      </c>
      <c r="AP3">
        <f>Rates!AP3</f>
        <v>365</v>
      </c>
      <c r="AQ3">
        <f>Rates!AQ3</f>
        <v>365</v>
      </c>
      <c r="AR3">
        <f>Rates!AR3</f>
        <v>366</v>
      </c>
      <c r="AS3">
        <f>Rates!AS3</f>
        <v>365</v>
      </c>
      <c r="AT3">
        <f>Rates!AT3</f>
        <v>365</v>
      </c>
      <c r="AU3">
        <f>Rates!AU3</f>
        <v>365</v>
      </c>
      <c r="AV3">
        <f>Rates!AV3</f>
        <v>366</v>
      </c>
      <c r="AW3">
        <f>Rates!AW3</f>
        <v>365</v>
      </c>
    </row>
    <row r="4" spans="1:51">
      <c r="B4" t="s">
        <v>88</v>
      </c>
      <c r="F4" s="62"/>
      <c r="M4">
        <f>Rates!M4</f>
        <v>31</v>
      </c>
      <c r="N4">
        <f>Rates!N4</f>
        <v>28</v>
      </c>
      <c r="O4">
        <f>Rates!O4</f>
        <v>31</v>
      </c>
      <c r="P4">
        <f>Rates!P4</f>
        <v>30</v>
      </c>
      <c r="Q4">
        <f>Rates!Q4</f>
        <v>31</v>
      </c>
      <c r="R4">
        <f>Rates!R4</f>
        <v>30</v>
      </c>
      <c r="S4">
        <f>Rates!S4</f>
        <v>31</v>
      </c>
      <c r="T4">
        <f>Rates!T4</f>
        <v>31</v>
      </c>
      <c r="U4">
        <f>Rates!U4</f>
        <v>30</v>
      </c>
      <c r="V4">
        <f>Rates!V4</f>
        <v>31</v>
      </c>
      <c r="W4">
        <f>Rates!W4</f>
        <v>30</v>
      </c>
      <c r="X4">
        <f>Rates!X4</f>
        <v>31</v>
      </c>
      <c r="Y4" s="88">
        <f>Rates!Y4</f>
        <v>365</v>
      </c>
      <c r="Z4">
        <f>Rates!Z4</f>
        <v>31</v>
      </c>
      <c r="AA4">
        <f>Rates!AA4</f>
        <v>28</v>
      </c>
      <c r="AB4">
        <f>Rates!AB4</f>
        <v>31</v>
      </c>
      <c r="AC4">
        <f>Rates!AC4</f>
        <v>30</v>
      </c>
      <c r="AD4">
        <f>Rates!AD4</f>
        <v>31</v>
      </c>
      <c r="AE4">
        <f>Rates!AE4</f>
        <v>30</v>
      </c>
      <c r="AF4">
        <f>Rates!AF4</f>
        <v>31</v>
      </c>
      <c r="AG4">
        <f>Rates!AG4</f>
        <v>31</v>
      </c>
      <c r="AH4">
        <f>Rates!AH4</f>
        <v>30</v>
      </c>
      <c r="AI4">
        <f>Rates!AI4</f>
        <v>31</v>
      </c>
      <c r="AJ4">
        <f>Rates!AJ4</f>
        <v>30</v>
      </c>
      <c r="AK4">
        <f>Rates!AK4</f>
        <v>31</v>
      </c>
      <c r="AL4" s="88">
        <f>Rates!AL4</f>
        <v>365</v>
      </c>
    </row>
    <row r="7" spans="1:51" ht="13.5" thickBot="1">
      <c r="A7" s="107" t="s">
        <v>405</v>
      </c>
    </row>
    <row r="8" spans="1:51" ht="13.5" thickBot="1">
      <c r="A8" s="108" t="s">
        <v>192</v>
      </c>
      <c r="B8" s="545"/>
      <c r="M8" s="672">
        <v>3.0000000000000001E-3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51">
      <c r="A9" t="s">
        <v>406</v>
      </c>
      <c r="B9" s="547"/>
      <c r="C9" s="232"/>
      <c r="D9" s="203"/>
      <c r="E9" s="64"/>
      <c r="F9" s="64"/>
      <c r="G9" s="64"/>
      <c r="H9" s="64"/>
      <c r="I9" s="64"/>
      <c r="J9" s="64"/>
      <c r="K9" s="64"/>
      <c r="L9" s="206"/>
      <c r="M9" s="106">
        <f>K11</f>
        <v>35.00869994</v>
      </c>
      <c r="N9" s="106">
        <f t="shared" ref="N9:X9" si="0">M11</f>
        <v>35.017619964916221</v>
      </c>
      <c r="O9" s="106">
        <f t="shared" si="0"/>
        <v>35.025678814442394</v>
      </c>
      <c r="P9" s="106">
        <f t="shared" si="0"/>
        <v>35.034603165482785</v>
      </c>
      <c r="Q9" s="106">
        <f t="shared" si="0"/>
        <v>35.043241834756465</v>
      </c>
      <c r="R9" s="106">
        <f t="shared" si="0"/>
        <v>35.0521706607582</v>
      </c>
      <c r="S9" s="106">
        <f t="shared" si="0"/>
        <v>35.060813661743047</v>
      </c>
      <c r="T9" s="106">
        <f t="shared" si="0"/>
        <v>35.069746964950014</v>
      </c>
      <c r="U9" s="106">
        <f t="shared" si="0"/>
        <v>35.078682544313686</v>
      </c>
      <c r="V9" s="106">
        <f t="shared" si="0"/>
        <v>35.087332082475299</v>
      </c>
      <c r="W9" s="106">
        <f t="shared" si="0"/>
        <v>35.096272142430557</v>
      </c>
      <c r="X9" s="106">
        <f t="shared" si="0"/>
        <v>35.10492601775335</v>
      </c>
      <c r="Y9" s="224"/>
      <c r="Z9" s="106">
        <f>X11</f>
        <v>35.113870560546914</v>
      </c>
      <c r="AA9" s="106">
        <f>Z11</f>
        <v>35.122817382360971</v>
      </c>
      <c r="AB9" s="106">
        <f t="shared" ref="AB9:AK9" si="1">AA11</f>
        <v>35.130900441703758</v>
      </c>
      <c r="AC9" s="106">
        <f t="shared" si="1"/>
        <v>35.139851602638217</v>
      </c>
      <c r="AD9" s="106">
        <f t="shared" si="1"/>
        <v>35.148516223581332</v>
      </c>
      <c r="AE9" s="106">
        <f t="shared" si="1"/>
        <v>35.157471872920489</v>
      </c>
      <c r="AF9" s="106">
        <f t="shared" si="1"/>
        <v>35.166140838587786</v>
      </c>
      <c r="AG9" s="106">
        <f t="shared" si="1"/>
        <v>35.175100978582279</v>
      </c>
      <c r="AH9" s="106">
        <f t="shared" si="1"/>
        <v>35.184063401571343</v>
      </c>
      <c r="AI9" s="106">
        <f t="shared" si="1"/>
        <v>35.19273892405392</v>
      </c>
      <c r="AJ9" s="106">
        <f t="shared" si="1"/>
        <v>35.201705841094842</v>
      </c>
      <c r="AK9" s="106">
        <f t="shared" si="1"/>
        <v>35.210385713767991</v>
      </c>
      <c r="AL9" s="224"/>
      <c r="AM9" s="106">
        <f>AK11</f>
        <v>35.219357127114236</v>
      </c>
      <c r="AN9" s="106">
        <f t="shared" ref="AN9:AW9" si="2">AM11</f>
        <v>35.325015198495578</v>
      </c>
      <c r="AO9" s="106">
        <f t="shared" si="2"/>
        <v>35.430990244091063</v>
      </c>
      <c r="AP9" s="106">
        <f t="shared" si="2"/>
        <v>35.53728321482334</v>
      </c>
      <c r="AQ9" s="106">
        <f t="shared" si="2"/>
        <v>35.643895064467813</v>
      </c>
      <c r="AR9" s="106">
        <f t="shared" si="2"/>
        <v>35.750826749661215</v>
      </c>
      <c r="AS9" s="106">
        <f t="shared" si="2"/>
        <v>35.858079229910196</v>
      </c>
      <c r="AT9" s="106">
        <f t="shared" si="2"/>
        <v>35.965653467599928</v>
      </c>
      <c r="AU9" s="106">
        <f t="shared" si="2"/>
        <v>36.073550428002726</v>
      </c>
      <c r="AV9" s="106">
        <f t="shared" si="2"/>
        <v>36.181771079286733</v>
      </c>
      <c r="AW9" s="106">
        <f t="shared" si="2"/>
        <v>36.290316392524595</v>
      </c>
      <c r="AX9" s="917"/>
      <c r="AY9" s="917"/>
    </row>
    <row r="10" spans="1:51">
      <c r="A10" t="s">
        <v>306</v>
      </c>
      <c r="B10" s="102"/>
      <c r="C10" s="232"/>
      <c r="D10" s="203"/>
      <c r="E10" s="64"/>
      <c r="F10" s="64"/>
      <c r="G10" s="64"/>
      <c r="H10" s="64"/>
      <c r="I10" s="64"/>
      <c r="J10" s="64"/>
      <c r="K10" s="64"/>
      <c r="L10" s="206"/>
      <c r="M10" s="676">
        <f>M9*$M$8*M4/M3</f>
        <v>8.9200249162191773E-3</v>
      </c>
      <c r="N10" s="676">
        <f t="shared" ref="N10:X10" si="3">N9*$M$8*N4/N3</f>
        <v>8.0588495261724995E-3</v>
      </c>
      <c r="O10" s="676">
        <f t="shared" si="3"/>
        <v>8.924351040392171E-3</v>
      </c>
      <c r="P10" s="676">
        <f t="shared" si="3"/>
        <v>8.6386692736806873E-3</v>
      </c>
      <c r="Q10" s="676">
        <f>Q9*$M$8*Q4/Q3</f>
        <v>8.9288260017324692E-3</v>
      </c>
      <c r="R10" s="676">
        <f t="shared" si="3"/>
        <v>8.6430009848444886E-3</v>
      </c>
      <c r="S10" s="676">
        <f>S9*$M$8*S4/S3</f>
        <v>8.9333032069646677E-3</v>
      </c>
      <c r="T10" s="676">
        <f t="shared" si="3"/>
        <v>8.9355793636721938E-3</v>
      </c>
      <c r="U10" s="676">
        <f t="shared" si="3"/>
        <v>8.6495381616115939E-3</v>
      </c>
      <c r="V10" s="676">
        <f t="shared" si="3"/>
        <v>8.940059955260829E-3</v>
      </c>
      <c r="W10" s="676">
        <f t="shared" si="3"/>
        <v>8.653875322791096E-3</v>
      </c>
      <c r="X10" s="676">
        <f t="shared" si="3"/>
        <v>8.9445427935645524E-3</v>
      </c>
      <c r="Y10" s="677">
        <f>SUM(M10:X10)</f>
        <v>0.10517062054690642</v>
      </c>
      <c r="Z10" s="676">
        <f>Z9*$M$8*Z4/Z3</f>
        <v>8.9468218140571591E-3</v>
      </c>
      <c r="AA10" s="676">
        <f t="shared" ref="AA10:AK10" si="4">AA9*$M$8*AA4/AA3</f>
        <v>8.0830593427899233E-3</v>
      </c>
      <c r="AB10" s="676">
        <f t="shared" si="4"/>
        <v>8.9511609344615044E-3</v>
      </c>
      <c r="AC10" s="676">
        <f t="shared" si="4"/>
        <v>8.6646209431162722E-3</v>
      </c>
      <c r="AD10" s="676">
        <f t="shared" si="4"/>
        <v>8.9556493391590806E-3</v>
      </c>
      <c r="AE10" s="676">
        <f t="shared" si="4"/>
        <v>8.6689656672954644E-3</v>
      </c>
      <c r="AF10" s="676">
        <f t="shared" si="4"/>
        <v>8.9601399944894897E-3</v>
      </c>
      <c r="AG10" s="676">
        <f t="shared" si="4"/>
        <v>8.9624229890634313E-3</v>
      </c>
      <c r="AH10" s="676">
        <f t="shared" si="4"/>
        <v>8.675522482579235E-3</v>
      </c>
      <c r="AI10" s="676">
        <f t="shared" si="4"/>
        <v>8.9669170409233286E-3</v>
      </c>
      <c r="AJ10" s="676">
        <f t="shared" si="4"/>
        <v>8.679872673146672E-3</v>
      </c>
      <c r="AK10" s="676">
        <f t="shared" si="4"/>
        <v>8.9714133462477346E-3</v>
      </c>
      <c r="AL10" s="677">
        <f>SUM(Z10:AK10)</f>
        <v>0.10548656656732928</v>
      </c>
      <c r="AM10" s="676">
        <f>AM9*$M$8</f>
        <v>0.10565807138134271</v>
      </c>
      <c r="AN10" s="676">
        <f t="shared" ref="AN10:AW10" si="5">AN9*$M$8</f>
        <v>0.10597504559548673</v>
      </c>
      <c r="AO10" s="676">
        <f t="shared" si="5"/>
        <v>0.10629297073227319</v>
      </c>
      <c r="AP10" s="676">
        <f t="shared" si="5"/>
        <v>0.10661184964447003</v>
      </c>
      <c r="AQ10" s="676">
        <f t="shared" si="5"/>
        <v>0.10693168519340344</v>
      </c>
      <c r="AR10" s="676">
        <f t="shared" si="5"/>
        <v>0.10725248024898365</v>
      </c>
      <c r="AS10" s="676">
        <f t="shared" si="5"/>
        <v>0.1075742376897306</v>
      </c>
      <c r="AT10" s="676">
        <f t="shared" si="5"/>
        <v>0.10789696040279979</v>
      </c>
      <c r="AU10" s="676">
        <f t="shared" si="5"/>
        <v>0.10822065128400818</v>
      </c>
      <c r="AV10" s="676">
        <f t="shared" si="5"/>
        <v>0.10854531323786021</v>
      </c>
      <c r="AW10" s="676">
        <f t="shared" si="5"/>
        <v>0.10887094917757378</v>
      </c>
      <c r="AX10" s="917"/>
      <c r="AY10" s="917"/>
    </row>
    <row r="11" spans="1:51">
      <c r="A11" t="s">
        <v>407</v>
      </c>
      <c r="C11" s="232"/>
      <c r="D11" s="203"/>
      <c r="E11" s="64"/>
      <c r="F11" s="64"/>
      <c r="G11" s="64"/>
      <c r="H11" s="64"/>
      <c r="I11" s="64"/>
      <c r="J11" s="64"/>
      <c r="K11" s="671">
        <v>35.00869994</v>
      </c>
      <c r="L11" s="206"/>
      <c r="M11" s="106">
        <f>M10+M9</f>
        <v>35.017619964916221</v>
      </c>
      <c r="N11" s="106">
        <f>N10+N9</f>
        <v>35.025678814442394</v>
      </c>
      <c r="O11" s="106">
        <f>O10+O9</f>
        <v>35.034603165482785</v>
      </c>
      <c r="P11" s="106">
        <f t="shared" ref="P11:X11" si="6">P10+P9</f>
        <v>35.043241834756465</v>
      </c>
      <c r="Q11" s="106">
        <f t="shared" si="6"/>
        <v>35.0521706607582</v>
      </c>
      <c r="R11" s="106">
        <f t="shared" si="6"/>
        <v>35.060813661743047</v>
      </c>
      <c r="S11" s="106">
        <f t="shared" si="6"/>
        <v>35.069746964950014</v>
      </c>
      <c r="T11" s="106">
        <f t="shared" si="6"/>
        <v>35.078682544313686</v>
      </c>
      <c r="U11" s="106">
        <f t="shared" si="6"/>
        <v>35.087332082475299</v>
      </c>
      <c r="V11" s="106">
        <f t="shared" si="6"/>
        <v>35.096272142430557</v>
      </c>
      <c r="W11" s="106">
        <f t="shared" si="6"/>
        <v>35.10492601775335</v>
      </c>
      <c r="X11" s="106">
        <f t="shared" si="6"/>
        <v>35.113870560546914</v>
      </c>
      <c r="Y11" s="224"/>
      <c r="Z11" s="106">
        <f t="shared" ref="Z11:AK11" si="7">Z10+Z9</f>
        <v>35.122817382360971</v>
      </c>
      <c r="AA11" s="106">
        <f t="shared" si="7"/>
        <v>35.130900441703758</v>
      </c>
      <c r="AB11" s="106">
        <f t="shared" si="7"/>
        <v>35.139851602638217</v>
      </c>
      <c r="AC11" s="106">
        <f t="shared" si="7"/>
        <v>35.148516223581332</v>
      </c>
      <c r="AD11" s="106">
        <f t="shared" si="7"/>
        <v>35.157471872920489</v>
      </c>
      <c r="AE11" s="106">
        <f t="shared" si="7"/>
        <v>35.166140838587786</v>
      </c>
      <c r="AF11" s="106">
        <f t="shared" si="7"/>
        <v>35.175100978582279</v>
      </c>
      <c r="AG11" s="106">
        <f t="shared" si="7"/>
        <v>35.184063401571343</v>
      </c>
      <c r="AH11" s="106">
        <f t="shared" si="7"/>
        <v>35.19273892405392</v>
      </c>
      <c r="AI11" s="106">
        <f t="shared" si="7"/>
        <v>35.201705841094842</v>
      </c>
      <c r="AJ11" s="106">
        <f t="shared" si="7"/>
        <v>35.210385713767991</v>
      </c>
      <c r="AK11" s="106">
        <f t="shared" si="7"/>
        <v>35.219357127114236</v>
      </c>
      <c r="AL11" s="224"/>
      <c r="AM11" s="106">
        <f>AM9+AM10</f>
        <v>35.325015198495578</v>
      </c>
      <c r="AN11" s="106">
        <f t="shared" ref="AN11:AW11" si="8">AN9+AN10</f>
        <v>35.430990244091063</v>
      </c>
      <c r="AO11" s="106">
        <f t="shared" si="8"/>
        <v>35.53728321482334</v>
      </c>
      <c r="AP11" s="106">
        <f t="shared" si="8"/>
        <v>35.643895064467813</v>
      </c>
      <c r="AQ11" s="106">
        <f t="shared" si="8"/>
        <v>35.750826749661215</v>
      </c>
      <c r="AR11" s="106">
        <f t="shared" si="8"/>
        <v>35.858079229910196</v>
      </c>
      <c r="AS11" s="106">
        <f t="shared" si="8"/>
        <v>35.965653467599928</v>
      </c>
      <c r="AT11" s="106">
        <f t="shared" si="8"/>
        <v>36.073550428002726</v>
      </c>
      <c r="AU11" s="106">
        <f t="shared" si="8"/>
        <v>36.181771079286733</v>
      </c>
      <c r="AV11" s="106">
        <f t="shared" si="8"/>
        <v>36.290316392524595</v>
      </c>
      <c r="AW11" s="106">
        <f t="shared" si="8"/>
        <v>36.399187341702167</v>
      </c>
      <c r="AX11" s="917"/>
      <c r="AY11" s="917"/>
    </row>
    <row r="12" spans="1:51"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224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224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917"/>
      <c r="AY12" s="917"/>
    </row>
    <row r="13" spans="1:51">
      <c r="A13" t="s">
        <v>77</v>
      </c>
      <c r="M13" s="106">
        <f>0*Debt!P30*M4/M3</f>
        <v>0</v>
      </c>
      <c r="N13" s="106">
        <f>0*Debt!Q30*N4/N3</f>
        <v>0</v>
      </c>
      <c r="O13" s="106">
        <f>0*Debt!R30*O4/O3</f>
        <v>0</v>
      </c>
      <c r="P13" s="106">
        <f>0*Debt!S30*P4/P3</f>
        <v>0</v>
      </c>
      <c r="Q13" s="106">
        <f>0*Debt!T30*Q4/Q3</f>
        <v>0</v>
      </c>
      <c r="R13" s="106">
        <f>0*Debt!U30*R4/R3</f>
        <v>0</v>
      </c>
      <c r="S13" s="106">
        <f>0*Debt!V30*S4/S3</f>
        <v>0</v>
      </c>
      <c r="T13" s="106">
        <f>0*Debt!W30*T4/T3</f>
        <v>0</v>
      </c>
      <c r="U13" s="106">
        <f>0*Debt!X30*U4/U3</f>
        <v>0</v>
      </c>
      <c r="V13" s="106">
        <f>0*Debt!Y30*V4/V3</f>
        <v>0</v>
      </c>
      <c r="W13" s="106">
        <f>0*Debt!Z30*W4/W3</f>
        <v>0</v>
      </c>
      <c r="X13" s="106">
        <f>0*Debt!AA30*X4/X3</f>
        <v>0</v>
      </c>
      <c r="Y13" s="224">
        <f>SUM(M13:X13)</f>
        <v>0</v>
      </c>
      <c r="Z13" s="106">
        <v>0</v>
      </c>
      <c r="AA13" s="106">
        <v>0</v>
      </c>
      <c r="AB13" s="106">
        <v>0</v>
      </c>
      <c r="AC13" s="106">
        <v>0</v>
      </c>
      <c r="AD13" s="106">
        <v>0</v>
      </c>
      <c r="AE13" s="106">
        <v>0</v>
      </c>
      <c r="AF13" s="106">
        <v>0</v>
      </c>
      <c r="AG13" s="106">
        <v>0</v>
      </c>
      <c r="AH13" s="106">
        <v>0</v>
      </c>
      <c r="AI13" s="106">
        <v>0</v>
      </c>
      <c r="AJ13" s="106">
        <v>0</v>
      </c>
      <c r="AK13" s="106">
        <v>0</v>
      </c>
      <c r="AL13" s="224">
        <f>SUM(Z13:AK13)</f>
        <v>0</v>
      </c>
      <c r="AM13" s="106">
        <v>0</v>
      </c>
      <c r="AN13" s="106">
        <v>0</v>
      </c>
      <c r="AO13" s="106">
        <v>0</v>
      </c>
      <c r="AP13" s="106">
        <v>0</v>
      </c>
      <c r="AQ13" s="106">
        <v>0</v>
      </c>
      <c r="AR13" s="106">
        <v>0</v>
      </c>
      <c r="AS13" s="106">
        <v>0</v>
      </c>
      <c r="AT13" s="106">
        <v>0</v>
      </c>
      <c r="AU13" s="106">
        <v>0</v>
      </c>
      <c r="AV13" s="106">
        <v>0</v>
      </c>
      <c r="AW13" s="106">
        <v>0</v>
      </c>
      <c r="AX13" s="917"/>
      <c r="AY13" s="917"/>
    </row>
    <row r="16" spans="1:51">
      <c r="C16" s="61"/>
      <c r="D16" s="204"/>
      <c r="E16" s="99"/>
      <c r="F16" s="99"/>
      <c r="G16" s="99"/>
      <c r="H16" s="99"/>
      <c r="I16" s="99"/>
      <c r="J16" s="99"/>
      <c r="K16" s="99"/>
      <c r="L16" s="104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20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207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919"/>
      <c r="AY16" s="919"/>
    </row>
    <row r="20" spans="1:51">
      <c r="E20" s="64"/>
      <c r="F20" s="64"/>
      <c r="I20" s="352"/>
      <c r="M20" s="352"/>
    </row>
    <row r="21" spans="1:51">
      <c r="E21" s="64"/>
      <c r="F21" s="64"/>
      <c r="G21" s="64"/>
      <c r="H21" s="64"/>
      <c r="I21" s="64"/>
      <c r="J21" s="64"/>
      <c r="K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364"/>
      <c r="AY21" s="364"/>
    </row>
    <row r="23" spans="1:51">
      <c r="E23" s="64"/>
      <c r="F23" s="64"/>
      <c r="G23" s="64"/>
      <c r="H23" s="64"/>
      <c r="I23" s="64"/>
      <c r="J23" s="64"/>
      <c r="K23" s="400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364"/>
      <c r="AY23" s="364"/>
    </row>
    <row r="30" spans="1:51" ht="13.5" thickBot="1"/>
    <row r="31" spans="1:51" ht="13.5" thickBot="1">
      <c r="A31" t="s">
        <v>684</v>
      </c>
      <c r="B31" s="672">
        <v>1E-3</v>
      </c>
      <c r="M31" s="518">
        <v>9.0000331415521512E-3</v>
      </c>
      <c r="N31" s="518">
        <v>9.2193719740062182E-3</v>
      </c>
      <c r="O31" s="518">
        <v>9.1640265465564082E-3</v>
      </c>
      <c r="P31" s="518">
        <v>9.1449333841160715E-3</v>
      </c>
      <c r="Q31" s="518">
        <v>8.1783945247917034E-3</v>
      </c>
      <c r="R31" s="518">
        <v>8.7326422930130865E-3</v>
      </c>
      <c r="S31" s="518">
        <v>8.5849159910351292E-3</v>
      </c>
      <c r="T31" s="518">
        <v>8.3043480553816138E-3</v>
      </c>
      <c r="U31" s="518">
        <v>9.901443567528664E-3</v>
      </c>
      <c r="V31" s="518">
        <v>9.1994799303297958E-3</v>
      </c>
      <c r="W31" s="518">
        <v>8.3147028109094735E-3</v>
      </c>
      <c r="X31" s="518">
        <v>7.284862487476204E-3</v>
      </c>
      <c r="Y31" s="211">
        <f>SUM(M31:X31)</f>
        <v>0.10502915470669651</v>
      </c>
      <c r="Z31" s="518">
        <v>8.6670222401105373E-3</v>
      </c>
      <c r="AA31" s="518">
        <v>8.8045650093473947E-3</v>
      </c>
      <c r="AB31" s="518">
        <v>9.9642882902392666E-3</v>
      </c>
      <c r="AC31" s="518">
        <v>8.7806836035360623E-3</v>
      </c>
      <c r="AD31" s="518">
        <v>7.1054216347565509E-3</v>
      </c>
      <c r="AE31" s="518">
        <v>6.4144154525993717E-3</v>
      </c>
      <c r="AF31" s="518">
        <v>6.7573808354114582E-3</v>
      </c>
      <c r="AG31" s="518">
        <v>6.7216590049222974E-3</v>
      </c>
      <c r="AH31" s="518">
        <v>7.0249872358365767E-3</v>
      </c>
      <c r="AI31" s="518">
        <v>7.3030108977775272E-3</v>
      </c>
      <c r="AJ31" s="518">
        <v>7.3436100723322309E-3</v>
      </c>
      <c r="AK31" s="518">
        <v>7.021369174300727E-3</v>
      </c>
      <c r="AL31" s="88">
        <f>SUM(Z31:AK31)</f>
        <v>9.1908413451169998E-2</v>
      </c>
      <c r="AM31" s="78">
        <f>'Stmts RUS'!AE150*Interest!$B31</f>
        <v>7.9182924105085498E-2</v>
      </c>
      <c r="AN31" s="78">
        <f>'Stmts RUS'!AG150*Interest!$B31</f>
        <v>8.0936025408638743E-2</v>
      </c>
      <c r="AO31" s="78">
        <f>'Stmts RUS'!AH150*Interest!$B31</f>
        <v>8.9417837045038542E-2</v>
      </c>
      <c r="AP31" s="78">
        <f>'Stmts RUS'!AI150*Interest!$B31</f>
        <v>9.2236796154146802E-2</v>
      </c>
      <c r="AQ31" s="78">
        <f>'Stmts RUS'!AJ150*Interest!$B31</f>
        <v>9.477662344908383E-2</v>
      </c>
      <c r="AR31" s="78">
        <f>'Stmts RUS'!AK150*Interest!$B31</f>
        <v>8.2843916943270007E-2</v>
      </c>
      <c r="AS31" s="78">
        <f>'Stmts RUS'!AL150*Interest!$B31</f>
        <v>5.861055342264325E-2</v>
      </c>
      <c r="AT31" s="78">
        <f>'Stmts RUS'!AM150*Interest!$B31</f>
        <v>2.8704689500535042E-2</v>
      </c>
      <c r="AU31" s="78">
        <f>'Stmts RUS'!AN150*Interest!$B31</f>
        <v>1.8586106691085465E-2</v>
      </c>
      <c r="AV31" s="78">
        <f>'Stmts RUS'!AO150*Interest!$B31</f>
        <v>0.18882185830902601</v>
      </c>
      <c r="AW31" s="78">
        <f>'Stmts RUS'!AP150*Interest!$B31</f>
        <v>0.15221437382089945</v>
      </c>
      <c r="AX31" s="780"/>
      <c r="AY31" s="780"/>
    </row>
    <row r="33" spans="1:51"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569"/>
    </row>
    <row r="37" spans="1:51">
      <c r="A37" s="504" t="s">
        <v>942</v>
      </c>
    </row>
    <row r="38" spans="1:51" s="78" customFormat="1">
      <c r="A38" s="78">
        <v>419</v>
      </c>
      <c r="B38" s="674" t="s">
        <v>129</v>
      </c>
      <c r="C38" s="74"/>
      <c r="D38" s="675"/>
      <c r="L38" s="211"/>
      <c r="M38" s="78">
        <f>-M10-M31</f>
        <v>-1.7920058057771329E-2</v>
      </c>
      <c r="N38" s="78">
        <f>-N10-N31</f>
        <v>-1.7278221500178718E-2</v>
      </c>
      <c r="O38" s="78">
        <f>-O10-O31</f>
        <v>-1.8088377586948579E-2</v>
      </c>
      <c r="P38" s="78">
        <f t="shared" ref="P38:X38" si="9">-P10-P31</f>
        <v>-1.7783602657796757E-2</v>
      </c>
      <c r="Q38" s="78">
        <f t="shared" si="9"/>
        <v>-1.7107220526524171E-2</v>
      </c>
      <c r="R38" s="78">
        <f t="shared" si="9"/>
        <v>-1.7375643277857573E-2</v>
      </c>
      <c r="S38" s="78">
        <f t="shared" si="9"/>
        <v>-1.7518219197999799E-2</v>
      </c>
      <c r="T38" s="78">
        <f t="shared" si="9"/>
        <v>-1.7239927419053808E-2</v>
      </c>
      <c r="U38" s="78">
        <f t="shared" si="9"/>
        <v>-1.8550981729140256E-2</v>
      </c>
      <c r="V38" s="78">
        <f t="shared" si="9"/>
        <v>-1.8139539885590625E-2</v>
      </c>
      <c r="W38" s="78">
        <f t="shared" si="9"/>
        <v>-1.6968578133700569E-2</v>
      </c>
      <c r="X38" s="78">
        <f t="shared" si="9"/>
        <v>-1.6229405281040755E-2</v>
      </c>
      <c r="Y38" s="211">
        <f>SUM(M38:X38)</f>
        <v>-0.21019977525360292</v>
      </c>
      <c r="Z38" s="78">
        <f>-Z10-Z31</f>
        <v>-1.7613844054167695E-2</v>
      </c>
      <c r="AA38" s="78">
        <f t="shared" ref="AA38:AW38" si="10">-AA10-AA31</f>
        <v>-1.6887624352137316E-2</v>
      </c>
      <c r="AB38" s="78">
        <f t="shared" si="10"/>
        <v>-1.8915449224700773E-2</v>
      </c>
      <c r="AC38" s="78">
        <f t="shared" si="10"/>
        <v>-1.7445304546652336E-2</v>
      </c>
      <c r="AD38" s="78">
        <f t="shared" si="10"/>
        <v>-1.6061070973915632E-2</v>
      </c>
      <c r="AE38" s="78">
        <f t="shared" si="10"/>
        <v>-1.5083381119894837E-2</v>
      </c>
      <c r="AF38" s="78">
        <f t="shared" si="10"/>
        <v>-1.5717520829900949E-2</v>
      </c>
      <c r="AG38" s="78">
        <f t="shared" si="10"/>
        <v>-1.568408199398573E-2</v>
      </c>
      <c r="AH38" s="78">
        <f t="shared" si="10"/>
        <v>-1.5700509718415811E-2</v>
      </c>
      <c r="AI38" s="78">
        <f t="shared" si="10"/>
        <v>-1.6269927938700857E-2</v>
      </c>
      <c r="AJ38" s="78">
        <f t="shared" si="10"/>
        <v>-1.6023482745478903E-2</v>
      </c>
      <c r="AK38" s="78">
        <f t="shared" si="10"/>
        <v>-1.5992782520548462E-2</v>
      </c>
      <c r="AL38" s="211">
        <f>SUM(Z38:AK38)</f>
        <v>-0.19739498001849926</v>
      </c>
      <c r="AM38" s="78">
        <f t="shared" si="10"/>
        <v>-0.18484099548642821</v>
      </c>
      <c r="AN38" s="78">
        <f t="shared" si="10"/>
        <v>-0.18691107100412546</v>
      </c>
      <c r="AO38" s="78">
        <f t="shared" si="10"/>
        <v>-0.19571080777731173</v>
      </c>
      <c r="AP38" s="78">
        <f t="shared" si="10"/>
        <v>-0.19884864579861683</v>
      </c>
      <c r="AQ38" s="78">
        <f t="shared" si="10"/>
        <v>-0.20170830864248729</v>
      </c>
      <c r="AR38" s="78">
        <f t="shared" si="10"/>
        <v>-0.19009639719225366</v>
      </c>
      <c r="AS38" s="78">
        <f t="shared" si="10"/>
        <v>-0.16618479111237383</v>
      </c>
      <c r="AT38" s="78">
        <f t="shared" si="10"/>
        <v>-0.13660164990333484</v>
      </c>
      <c r="AU38" s="78">
        <f t="shared" si="10"/>
        <v>-0.12680675797509364</v>
      </c>
      <c r="AV38" s="78">
        <f t="shared" si="10"/>
        <v>-0.29736717154688619</v>
      </c>
      <c r="AW38" s="78">
        <f t="shared" si="10"/>
        <v>-0.2610853229984732</v>
      </c>
      <c r="AX38" s="780"/>
      <c r="AY38" s="780"/>
    </row>
    <row r="42" spans="1:51"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</row>
    <row r="432" spans="1:24" ht="18">
      <c r="A432" s="267" t="s">
        <v>817</v>
      </c>
      <c r="B432" s="13"/>
      <c r="D432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>
      <c r="A433" s="879" t="s">
        <v>607</v>
      </c>
      <c r="B433" s="876" t="s">
        <v>1026</v>
      </c>
      <c r="D43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>
      <c r="A434" s="879" t="s">
        <v>818</v>
      </c>
      <c r="B434" s="876" t="s">
        <v>1027</v>
      </c>
      <c r="D434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>
      <c r="A435" s="879" t="s">
        <v>607</v>
      </c>
      <c r="B435" s="876" t="s">
        <v>1026</v>
      </c>
      <c r="D435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>
      <c r="A436" s="879" t="s">
        <v>818</v>
      </c>
      <c r="B436" s="876" t="s">
        <v>1028</v>
      </c>
      <c r="D436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>
      <c r="A437" s="879" t="s">
        <v>607</v>
      </c>
      <c r="B437" s="876" t="s">
        <v>1026</v>
      </c>
      <c r="D437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>
      <c r="A438" s="879" t="s">
        <v>818</v>
      </c>
      <c r="B438" s="876" t="s">
        <v>1028</v>
      </c>
      <c r="D438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>
      <c r="A439" s="879" t="s">
        <v>607</v>
      </c>
      <c r="B439" s="876" t="s">
        <v>1026</v>
      </c>
      <c r="D439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>
      <c r="A440" s="879" t="s">
        <v>818</v>
      </c>
      <c r="B440" s="876" t="s">
        <v>1027</v>
      </c>
      <c r="D440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>
      <c r="A441" s="879" t="s">
        <v>612</v>
      </c>
      <c r="B441" s="876" t="s">
        <v>819</v>
      </c>
      <c r="D441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>
      <c r="A442" s="879">
        <v>403.5</v>
      </c>
      <c r="B442" s="876" t="s">
        <v>820</v>
      </c>
      <c r="D442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>
      <c r="A443" s="879">
        <v>403.5</v>
      </c>
      <c r="B443" s="876" t="s">
        <v>821</v>
      </c>
      <c r="D44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>
      <c r="A444" s="879" t="s">
        <v>586</v>
      </c>
      <c r="B444" s="876" t="s">
        <v>822</v>
      </c>
      <c r="D444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>
      <c r="A445" s="879">
        <v>404.11</v>
      </c>
      <c r="B445" s="876" t="s">
        <v>1001</v>
      </c>
      <c r="D445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>
      <c r="A446" s="879" t="s">
        <v>823</v>
      </c>
      <c r="B446" s="876" t="s">
        <v>824</v>
      </c>
      <c r="D446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>
      <c r="A447" s="879" t="s">
        <v>825</v>
      </c>
      <c r="B447" s="876" t="s">
        <v>826</v>
      </c>
      <c r="D447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>
      <c r="A448" s="879" t="s">
        <v>827</v>
      </c>
      <c r="B448" s="876" t="s">
        <v>828</v>
      </c>
      <c r="D448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51">
      <c r="A449" s="879" t="s">
        <v>830</v>
      </c>
      <c r="B449" s="876" t="s">
        <v>831</v>
      </c>
      <c r="D449"/>
      <c r="M449" s="232">
        <f t="shared" ref="M449:X449" si="11">M38</f>
        <v>-1.7920058057771329E-2</v>
      </c>
      <c r="N449" s="232">
        <f t="shared" si="11"/>
        <v>-1.7278221500178718E-2</v>
      </c>
      <c r="O449" s="232">
        <f t="shared" si="11"/>
        <v>-1.8088377586948579E-2</v>
      </c>
      <c r="P449" s="232">
        <f t="shared" si="11"/>
        <v>-1.7783602657796757E-2</v>
      </c>
      <c r="Q449" s="232">
        <f t="shared" si="11"/>
        <v>-1.7107220526524171E-2</v>
      </c>
      <c r="R449" s="232">
        <f t="shared" si="11"/>
        <v>-1.7375643277857573E-2</v>
      </c>
      <c r="S449" s="232">
        <f t="shared" si="11"/>
        <v>-1.7518219197999799E-2</v>
      </c>
      <c r="T449" s="232">
        <f t="shared" si="11"/>
        <v>-1.7239927419053808E-2</v>
      </c>
      <c r="U449" s="232">
        <f t="shared" si="11"/>
        <v>-1.8550981729140256E-2</v>
      </c>
      <c r="V449" s="232">
        <f t="shared" si="11"/>
        <v>-1.8139539885590625E-2</v>
      </c>
      <c r="W449" s="232">
        <f t="shared" si="11"/>
        <v>-1.6968578133700569E-2</v>
      </c>
      <c r="X449" s="232">
        <f t="shared" si="11"/>
        <v>-1.6229405281040755E-2</v>
      </c>
      <c r="Y449" s="206">
        <f>SUM(M449:X449)</f>
        <v>-0.21019977525360292</v>
      </c>
      <c r="Z449" s="232">
        <f t="shared" ref="Z449:AK449" si="12">Z38</f>
        <v>-1.7613844054167695E-2</v>
      </c>
      <c r="AA449" s="232">
        <f t="shared" si="12"/>
        <v>-1.6887624352137316E-2</v>
      </c>
      <c r="AB449" s="232">
        <f t="shared" si="12"/>
        <v>-1.8915449224700773E-2</v>
      </c>
      <c r="AC449" s="232">
        <f t="shared" si="12"/>
        <v>-1.7445304546652336E-2</v>
      </c>
      <c r="AD449" s="232">
        <f t="shared" si="12"/>
        <v>-1.6061070973915632E-2</v>
      </c>
      <c r="AE449" s="232">
        <f t="shared" si="12"/>
        <v>-1.5083381119894837E-2</v>
      </c>
      <c r="AF449" s="232">
        <f t="shared" si="12"/>
        <v>-1.5717520829900949E-2</v>
      </c>
      <c r="AG449" s="232">
        <f t="shared" si="12"/>
        <v>-1.568408199398573E-2</v>
      </c>
      <c r="AH449" s="232">
        <f t="shared" si="12"/>
        <v>-1.5700509718415811E-2</v>
      </c>
      <c r="AI449" s="232">
        <f t="shared" si="12"/>
        <v>-1.6269927938700857E-2</v>
      </c>
      <c r="AJ449" s="232">
        <f t="shared" si="12"/>
        <v>-1.6023482745478903E-2</v>
      </c>
      <c r="AK449" s="232">
        <f t="shared" si="12"/>
        <v>-1.5992782520548462E-2</v>
      </c>
      <c r="AL449" s="206">
        <f>SUM(Z449:AK449)</f>
        <v>-0.19739498001849926</v>
      </c>
      <c r="AM449" s="232">
        <f t="shared" ref="AM449:AW449" si="13">AM38</f>
        <v>-0.18484099548642821</v>
      </c>
      <c r="AN449" s="232">
        <f t="shared" si="13"/>
        <v>-0.18691107100412546</v>
      </c>
      <c r="AO449" s="232">
        <f t="shared" si="13"/>
        <v>-0.19571080777731173</v>
      </c>
      <c r="AP449" s="232">
        <f t="shared" si="13"/>
        <v>-0.19884864579861683</v>
      </c>
      <c r="AQ449" s="232">
        <f t="shared" si="13"/>
        <v>-0.20170830864248729</v>
      </c>
      <c r="AR449" s="232">
        <f t="shared" si="13"/>
        <v>-0.19009639719225366</v>
      </c>
      <c r="AS449" s="232">
        <f t="shared" si="13"/>
        <v>-0.16618479111237383</v>
      </c>
      <c r="AT449" s="232">
        <f t="shared" si="13"/>
        <v>-0.13660164990333484</v>
      </c>
      <c r="AU449" s="232">
        <f t="shared" si="13"/>
        <v>-0.12680675797509364</v>
      </c>
      <c r="AV449" s="232">
        <f t="shared" si="13"/>
        <v>-0.29736717154688619</v>
      </c>
      <c r="AW449" s="232">
        <f t="shared" si="13"/>
        <v>-0.2610853229984732</v>
      </c>
      <c r="AX449" s="376"/>
      <c r="AY449" s="376"/>
    </row>
    <row r="450" spans="1:51">
      <c r="A450" s="879" t="s">
        <v>859</v>
      </c>
      <c r="B450" s="876" t="s">
        <v>860</v>
      </c>
      <c r="D450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51">
      <c r="A451" s="879" t="s">
        <v>861</v>
      </c>
      <c r="B451" s="876" t="s">
        <v>862</v>
      </c>
      <c r="D451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51">
      <c r="A452" s="879" t="s">
        <v>863</v>
      </c>
      <c r="B452" s="876" t="s">
        <v>864</v>
      </c>
      <c r="D452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51">
      <c r="A453" s="879">
        <v>426.1</v>
      </c>
      <c r="B453" s="876" t="s">
        <v>880</v>
      </c>
      <c r="D45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51">
      <c r="A454" s="879" t="s">
        <v>881</v>
      </c>
      <c r="B454" s="876" t="s">
        <v>882</v>
      </c>
      <c r="D454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51">
      <c r="A455" s="879">
        <v>426.4</v>
      </c>
      <c r="B455" s="876" t="s">
        <v>883</v>
      </c>
      <c r="D455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51">
      <c r="A456" s="879" t="s">
        <v>884</v>
      </c>
      <c r="B456" s="876" t="s">
        <v>885</v>
      </c>
      <c r="D456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51">
      <c r="A457" s="879">
        <v>427.1</v>
      </c>
      <c r="B457" s="876" t="s">
        <v>970</v>
      </c>
      <c r="D457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51">
      <c r="A458" s="879" t="s">
        <v>886</v>
      </c>
      <c r="B458" s="876" t="s">
        <v>971</v>
      </c>
      <c r="D458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51">
      <c r="A459" s="879" t="s">
        <v>895</v>
      </c>
      <c r="B459" s="876" t="s">
        <v>896</v>
      </c>
      <c r="D459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51">
      <c r="A460" s="879" t="s">
        <v>897</v>
      </c>
      <c r="B460" s="876" t="s">
        <v>898</v>
      </c>
      <c r="D460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51">
      <c r="A461" s="879" t="s">
        <v>899</v>
      </c>
      <c r="B461" s="876" t="s">
        <v>900</v>
      </c>
      <c r="D461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51">
      <c r="A462" s="879" t="s">
        <v>901</v>
      </c>
      <c r="B462" s="876" t="s">
        <v>902</v>
      </c>
      <c r="D462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51">
      <c r="A463" s="879" t="s">
        <v>903</v>
      </c>
      <c r="B463" s="876" t="s">
        <v>904</v>
      </c>
      <c r="D46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51">
      <c r="A464" s="879" t="s">
        <v>905</v>
      </c>
      <c r="B464" s="876" t="s">
        <v>1014</v>
      </c>
      <c r="D464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1:24">
      <c r="A465" s="879" t="s">
        <v>908</v>
      </c>
      <c r="B465" s="876" t="s">
        <v>1015</v>
      </c>
      <c r="D465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1:24">
      <c r="A466" s="879" t="s">
        <v>910</v>
      </c>
      <c r="B466" s="876" t="s">
        <v>1016</v>
      </c>
      <c r="D466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1:24">
      <c r="A467" s="879" t="s">
        <v>645</v>
      </c>
      <c r="B467" s="876" t="s">
        <v>911</v>
      </c>
      <c r="D467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1:24">
      <c r="A468" s="879">
        <v>447.24200000000002</v>
      </c>
      <c r="B468" s="876" t="s">
        <v>916</v>
      </c>
      <c r="D468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1:24">
      <c r="A469" s="879" t="s">
        <v>0</v>
      </c>
      <c r="B469" s="876" t="s">
        <v>1</v>
      </c>
      <c r="D469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1:24">
      <c r="A470" s="879" t="s">
        <v>2</v>
      </c>
      <c r="B470" s="876" t="s">
        <v>37</v>
      </c>
      <c r="D470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1:24">
      <c r="A471" s="879" t="s">
        <v>38</v>
      </c>
      <c r="B471" s="876" t="s">
        <v>39</v>
      </c>
      <c r="D471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1:24">
      <c r="A472" s="879" t="s">
        <v>720</v>
      </c>
      <c r="B472" s="876" t="s">
        <v>1004</v>
      </c>
      <c r="D472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1:24">
      <c r="A473" s="879">
        <v>500.1</v>
      </c>
      <c r="B473" s="876" t="s">
        <v>1004</v>
      </c>
      <c r="D47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1:24">
      <c r="A474" s="879">
        <v>501.1</v>
      </c>
      <c r="B474" s="876" t="s">
        <v>46</v>
      </c>
      <c r="D474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1:24">
      <c r="A475" s="879">
        <v>501.2</v>
      </c>
      <c r="B475" s="880" t="s">
        <v>1029</v>
      </c>
      <c r="D475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1:24">
      <c r="A476" s="879">
        <v>501.1</v>
      </c>
      <c r="B476" s="876" t="s">
        <v>48</v>
      </c>
      <c r="D476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1:24">
      <c r="A477" s="879">
        <v>501.1</v>
      </c>
      <c r="B477" s="876" t="s">
        <v>50</v>
      </c>
      <c r="D477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1:24">
      <c r="A478" s="879" t="s">
        <v>722</v>
      </c>
      <c r="B478" s="880" t="s">
        <v>1029</v>
      </c>
      <c r="D478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1:24">
      <c r="A479" s="879">
        <v>501.1</v>
      </c>
      <c r="B479" s="876" t="s">
        <v>52</v>
      </c>
      <c r="D479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1:24">
      <c r="A480" s="879">
        <v>501.2</v>
      </c>
      <c r="B480" s="880" t="s">
        <v>1029</v>
      </c>
      <c r="D480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1:24">
      <c r="A481" s="879">
        <v>501.1</v>
      </c>
      <c r="B481" s="876" t="s">
        <v>54</v>
      </c>
      <c r="D481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1:24">
      <c r="A482" s="879">
        <v>501.1</v>
      </c>
      <c r="B482" s="876" t="s">
        <v>57</v>
      </c>
      <c r="D482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1:24">
      <c r="A483" s="879">
        <v>501.3</v>
      </c>
      <c r="B483" s="880" t="s">
        <v>1030</v>
      </c>
      <c r="D48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1:24">
      <c r="A484" s="879">
        <v>501.1</v>
      </c>
      <c r="B484" s="876" t="s">
        <v>59</v>
      </c>
      <c r="D484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1:24">
      <c r="A485" s="879">
        <v>501.1</v>
      </c>
      <c r="B485" s="876" t="s">
        <v>61</v>
      </c>
      <c r="D485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1:24">
      <c r="A486" s="879">
        <v>501.1</v>
      </c>
      <c r="B486" s="876" t="s">
        <v>63</v>
      </c>
      <c r="D486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1:24">
      <c r="A487" s="879" t="s">
        <v>725</v>
      </c>
      <c r="B487" s="877" t="s">
        <v>1022</v>
      </c>
      <c r="D487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1:24">
      <c r="A488" s="879" t="s">
        <v>537</v>
      </c>
      <c r="B488" s="877" t="s">
        <v>1022</v>
      </c>
      <c r="D488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1:24">
      <c r="A489" s="879">
        <v>502.1</v>
      </c>
      <c r="B489" s="877" t="s">
        <v>1022</v>
      </c>
      <c r="D489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1:24">
      <c r="A490" s="879">
        <v>502.11</v>
      </c>
      <c r="B490" s="877" t="s">
        <v>1022</v>
      </c>
      <c r="D490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1:24">
      <c r="A491" s="879">
        <v>502.11</v>
      </c>
      <c r="B491" s="877" t="s">
        <v>1022</v>
      </c>
      <c r="D491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1:24">
      <c r="A492" s="879" t="s">
        <v>729</v>
      </c>
      <c r="B492" s="877" t="s">
        <v>1022</v>
      </c>
      <c r="D492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1:24">
      <c r="A493" s="879">
        <v>502.1</v>
      </c>
      <c r="B493" s="877" t="s">
        <v>1022</v>
      </c>
      <c r="D49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1:24">
      <c r="A494" s="879" t="s">
        <v>730</v>
      </c>
      <c r="B494" s="876" t="s">
        <v>972</v>
      </c>
      <c r="D494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>
      <c r="A495" s="879" t="s">
        <v>730</v>
      </c>
      <c r="B495" s="876" t="s">
        <v>972</v>
      </c>
      <c r="D495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1:24">
      <c r="A496" s="879" t="s">
        <v>730</v>
      </c>
      <c r="B496" s="876" t="s">
        <v>972</v>
      </c>
      <c r="D496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1:24">
      <c r="A497" s="879" t="s">
        <v>730</v>
      </c>
      <c r="B497" s="876" t="s">
        <v>972</v>
      </c>
      <c r="D497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1:24">
      <c r="A498" s="879" t="s">
        <v>732</v>
      </c>
      <c r="B498" s="876" t="s">
        <v>973</v>
      </c>
      <c r="D498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>
      <c r="A499" s="879">
        <v>506.1</v>
      </c>
      <c r="B499" s="876" t="s">
        <v>973</v>
      </c>
      <c r="D499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>
      <c r="A500" s="879" t="s">
        <v>734</v>
      </c>
      <c r="B500" s="876" t="s">
        <v>973</v>
      </c>
      <c r="D500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>
      <c r="A501" s="879" t="s">
        <v>70</v>
      </c>
      <c r="B501" s="876" t="s">
        <v>974</v>
      </c>
      <c r="D501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1:24">
      <c r="A502" s="879">
        <v>510</v>
      </c>
      <c r="B502" s="876" t="s">
        <v>975</v>
      </c>
      <c r="D502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1:24">
      <c r="A503" s="879">
        <v>511.1</v>
      </c>
      <c r="B503" s="876" t="s">
        <v>103</v>
      </c>
      <c r="D50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1:24">
      <c r="A504" s="879">
        <v>511.1</v>
      </c>
      <c r="B504" s="876" t="s">
        <v>104</v>
      </c>
      <c r="D504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1:24">
      <c r="A505" s="879" t="s">
        <v>737</v>
      </c>
      <c r="B505" s="876" t="s">
        <v>976</v>
      </c>
      <c r="D505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1:24">
      <c r="A506" s="879" t="s">
        <v>737</v>
      </c>
      <c r="B506" s="876" t="s">
        <v>976</v>
      </c>
      <c r="D506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1:24">
      <c r="A507" s="879" t="s">
        <v>737</v>
      </c>
      <c r="B507" s="876" t="s">
        <v>976</v>
      </c>
      <c r="D507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1:24">
      <c r="A508" s="879">
        <v>512.11</v>
      </c>
      <c r="B508" s="877" t="s">
        <v>976</v>
      </c>
      <c r="D508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1:24">
      <c r="A509" s="879" t="s">
        <v>741</v>
      </c>
      <c r="B509" s="876" t="s">
        <v>977</v>
      </c>
      <c r="D509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1:24">
      <c r="A510" s="879">
        <v>513.1</v>
      </c>
      <c r="B510" s="876" t="s">
        <v>977</v>
      </c>
      <c r="D510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1:24">
      <c r="A511" s="879">
        <v>514.1</v>
      </c>
      <c r="B511" s="876" t="s">
        <v>978</v>
      </c>
      <c r="D511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1:24">
      <c r="A512" s="879">
        <v>514.1</v>
      </c>
      <c r="B512" s="876" t="s">
        <v>978</v>
      </c>
      <c r="D512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1:51">
      <c r="A513" s="879">
        <v>514.1</v>
      </c>
      <c r="B513" s="876" t="s">
        <v>978</v>
      </c>
      <c r="D5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1:51">
      <c r="A514" s="879">
        <v>548.1</v>
      </c>
      <c r="B514" s="876" t="s">
        <v>979</v>
      </c>
      <c r="D514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51">
      <c r="A515" s="879" t="s">
        <v>83</v>
      </c>
      <c r="B515" s="876" t="s">
        <v>84</v>
      </c>
      <c r="D515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51">
      <c r="A516" s="879" t="s">
        <v>546</v>
      </c>
      <c r="B516" s="876" t="s">
        <v>89</v>
      </c>
      <c r="D516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1:51">
      <c r="A517" s="879" t="s">
        <v>548</v>
      </c>
      <c r="B517" s="876" t="s">
        <v>90</v>
      </c>
      <c r="D517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1:51">
      <c r="A518" s="879" t="s">
        <v>646</v>
      </c>
      <c r="B518" s="876" t="s">
        <v>91</v>
      </c>
      <c r="D518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1:51">
      <c r="A519" s="879" t="s">
        <v>92</v>
      </c>
      <c r="B519" s="876" t="s">
        <v>93</v>
      </c>
      <c r="D519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1:51">
      <c r="A520" s="879" t="s">
        <v>647</v>
      </c>
      <c r="B520" s="876" t="s">
        <v>94</v>
      </c>
      <c r="D520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1:51" s="569" customFormat="1">
      <c r="A521" s="879">
        <v>557.35</v>
      </c>
      <c r="B521" s="876" t="s">
        <v>1010</v>
      </c>
      <c r="C521" s="13"/>
      <c r="L521" s="88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88"/>
      <c r="AL521" s="88"/>
      <c r="AX521" s="547"/>
      <c r="AY521" s="547"/>
    </row>
    <row r="522" spans="1:51">
      <c r="A522" s="879" t="s">
        <v>744</v>
      </c>
      <c r="B522" s="876" t="s">
        <v>980</v>
      </c>
      <c r="D522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1:51">
      <c r="A523" s="879">
        <v>560.1</v>
      </c>
      <c r="B523" s="876" t="s">
        <v>980</v>
      </c>
      <c r="D52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51">
      <c r="A524" s="879" t="s">
        <v>746</v>
      </c>
      <c r="B524" s="876" t="s">
        <v>981</v>
      </c>
      <c r="D524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51">
      <c r="A525" s="879" t="s">
        <v>751</v>
      </c>
      <c r="B525" s="876" t="s">
        <v>982</v>
      </c>
      <c r="D525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1:51">
      <c r="A526" s="879">
        <v>561.1</v>
      </c>
      <c r="B526" s="876" t="s">
        <v>982</v>
      </c>
      <c r="D526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1:51">
      <c r="A527" s="879">
        <v>561.4</v>
      </c>
      <c r="B527" s="876" t="s">
        <v>869</v>
      </c>
      <c r="D527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1:51">
      <c r="A528" s="879">
        <v>561.79999999999995</v>
      </c>
      <c r="B528" s="876" t="s">
        <v>869</v>
      </c>
      <c r="D528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1:24">
      <c r="A529" s="879" t="s">
        <v>753</v>
      </c>
      <c r="B529" s="876" t="s">
        <v>983</v>
      </c>
      <c r="D529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1:24">
      <c r="A530" s="879">
        <v>562.1</v>
      </c>
      <c r="B530" s="876" t="s">
        <v>983</v>
      </c>
      <c r="D530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1:24">
      <c r="A531" s="879" t="s">
        <v>755</v>
      </c>
      <c r="B531" s="876" t="s">
        <v>984</v>
      </c>
      <c r="D531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1:24">
      <c r="A532" s="879">
        <v>563.1</v>
      </c>
      <c r="B532" s="876" t="s">
        <v>984</v>
      </c>
      <c r="D532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1:24">
      <c r="A533" s="879" t="s">
        <v>649</v>
      </c>
      <c r="B533" s="876" t="s">
        <v>99</v>
      </c>
      <c r="D53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1:24">
      <c r="A534" s="879" t="s">
        <v>757</v>
      </c>
      <c r="B534" s="876" t="s">
        <v>985</v>
      </c>
      <c r="D534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1:24">
      <c r="A535" s="879">
        <v>566.1</v>
      </c>
      <c r="B535" s="876" t="s">
        <v>985</v>
      </c>
      <c r="D535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1:24">
      <c r="A536" s="879" t="s">
        <v>794</v>
      </c>
      <c r="B536" s="876" t="s">
        <v>986</v>
      </c>
      <c r="D536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1:24">
      <c r="A537" s="879">
        <v>566.20000000000005</v>
      </c>
      <c r="B537" s="876" t="s">
        <v>986</v>
      </c>
      <c r="D537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1:24">
      <c r="A538" s="879" t="s">
        <v>100</v>
      </c>
      <c r="B538" s="876" t="s">
        <v>101</v>
      </c>
      <c r="D538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1:24">
      <c r="A539" s="879" t="s">
        <v>796</v>
      </c>
      <c r="B539" s="876" t="s">
        <v>987</v>
      </c>
      <c r="D53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1:24">
      <c r="A540" s="879">
        <v>568.1</v>
      </c>
      <c r="B540" s="876" t="s">
        <v>987</v>
      </c>
      <c r="D540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1:24">
      <c r="A541" s="879" t="s">
        <v>798</v>
      </c>
      <c r="B541" s="876" t="s">
        <v>988</v>
      </c>
      <c r="D541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1:24">
      <c r="A542" s="879" t="s">
        <v>102</v>
      </c>
      <c r="B542" s="876" t="s">
        <v>989</v>
      </c>
      <c r="D542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1:24">
      <c r="A543" s="879">
        <v>569.1</v>
      </c>
      <c r="B543" s="876" t="s">
        <v>989</v>
      </c>
      <c r="D54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1:24">
      <c r="A544" s="879" t="s">
        <v>800</v>
      </c>
      <c r="B544" s="876" t="s">
        <v>990</v>
      </c>
      <c r="D544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1:24">
      <c r="A545" s="879">
        <v>570.1</v>
      </c>
      <c r="B545" s="876" t="s">
        <v>990</v>
      </c>
      <c r="D545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1:24">
      <c r="A546" s="879" t="s">
        <v>802</v>
      </c>
      <c r="B546" s="876" t="s">
        <v>991</v>
      </c>
      <c r="D546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1:24">
      <c r="A547" s="879">
        <v>571.1</v>
      </c>
      <c r="B547" s="876" t="s">
        <v>991</v>
      </c>
      <c r="D547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1:24">
      <c r="A548" s="879" t="s">
        <v>804</v>
      </c>
      <c r="B548" s="876" t="s">
        <v>992</v>
      </c>
      <c r="D548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1:24">
      <c r="A549" s="879">
        <v>573.1</v>
      </c>
      <c r="B549" s="876" t="s">
        <v>992</v>
      </c>
      <c r="D549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1:24">
      <c r="A550" s="879" t="s">
        <v>806</v>
      </c>
      <c r="B550" s="876" t="s">
        <v>993</v>
      </c>
      <c r="D550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1:24">
      <c r="A551" s="879">
        <v>575.70000000000005</v>
      </c>
      <c r="B551" s="876" t="s">
        <v>870</v>
      </c>
      <c r="D551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1:24">
      <c r="A552" s="879" t="s">
        <v>808</v>
      </c>
      <c r="B552" s="876" t="s">
        <v>994</v>
      </c>
      <c r="D552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1:24">
      <c r="A553" s="879">
        <v>908.1</v>
      </c>
      <c r="B553" s="876" t="s">
        <v>994</v>
      </c>
      <c r="D55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1:24">
      <c r="A554" s="879">
        <v>909.1</v>
      </c>
      <c r="B554" s="876" t="s">
        <v>105</v>
      </c>
      <c r="D554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1:24">
      <c r="A555" s="879">
        <v>913.1</v>
      </c>
      <c r="B555" s="876" t="s">
        <v>106</v>
      </c>
      <c r="D555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1:24">
      <c r="A556" s="879" t="s">
        <v>810</v>
      </c>
      <c r="B556" s="876" t="s">
        <v>107</v>
      </c>
      <c r="D556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1:24">
      <c r="A557" s="879" t="s">
        <v>626</v>
      </c>
      <c r="B557" s="876" t="s">
        <v>108</v>
      </c>
      <c r="D557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1:24">
      <c r="A558" s="879" t="s">
        <v>628</v>
      </c>
      <c r="B558" s="876" t="s">
        <v>109</v>
      </c>
      <c r="D558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1:24">
      <c r="A559" s="879">
        <v>921.10500000000002</v>
      </c>
      <c r="B559" s="878" t="s">
        <v>995</v>
      </c>
      <c r="D559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1:24">
      <c r="A560" s="879" t="s">
        <v>637</v>
      </c>
      <c r="B560" s="876" t="s">
        <v>113</v>
      </c>
      <c r="D560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1:51">
      <c r="A561" s="879">
        <v>923.1</v>
      </c>
      <c r="B561" s="876" t="s">
        <v>113</v>
      </c>
      <c r="D561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06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06">
        <f>SUM(Z561:AK561)</f>
        <v>0</v>
      </c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376"/>
      <c r="AY561" s="376"/>
    </row>
    <row r="562" spans="1:51">
      <c r="A562" s="879" t="s">
        <v>114</v>
      </c>
      <c r="B562" s="876" t="s">
        <v>996</v>
      </c>
      <c r="D562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1:51">
      <c r="A563" s="879" t="s">
        <v>115</v>
      </c>
      <c r="B563" s="876" t="s">
        <v>997</v>
      </c>
      <c r="D56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1:51">
      <c r="A564" s="879">
        <v>926.1</v>
      </c>
      <c r="B564" s="876" t="s">
        <v>998</v>
      </c>
      <c r="D564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1:51">
      <c r="A565" s="879" t="s">
        <v>630</v>
      </c>
      <c r="B565" s="876" t="s">
        <v>120</v>
      </c>
      <c r="D565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1:51">
      <c r="A566" s="879">
        <v>930.2</v>
      </c>
      <c r="B566" s="876" t="s">
        <v>999</v>
      </c>
      <c r="D566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1:51">
      <c r="A567" s="879" t="s">
        <v>122</v>
      </c>
      <c r="B567" s="876" t="s">
        <v>123</v>
      </c>
      <c r="D567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1:51">
      <c r="A568" s="879">
        <v>935.1</v>
      </c>
      <c r="B568" s="876" t="s">
        <v>1000</v>
      </c>
      <c r="D568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1:51">
      <c r="A569" s="879">
        <v>935.1</v>
      </c>
      <c r="B569" s="876" t="s">
        <v>1000</v>
      </c>
      <c r="D569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1:51">
      <c r="D570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1:51">
      <c r="D571">
        <f t="shared" ref="D571:K571" si="14">SUM(D433:D570)</f>
        <v>0</v>
      </c>
      <c r="E571">
        <f t="shared" si="14"/>
        <v>0</v>
      </c>
      <c r="F571">
        <f t="shared" si="14"/>
        <v>0</v>
      </c>
      <c r="G571">
        <f t="shared" si="14"/>
        <v>0</v>
      </c>
      <c r="H571">
        <f t="shared" si="14"/>
        <v>0</v>
      </c>
      <c r="I571">
        <f t="shared" si="14"/>
        <v>0</v>
      </c>
      <c r="J571">
        <f t="shared" si="14"/>
        <v>0</v>
      </c>
      <c r="K571">
        <f t="shared" si="14"/>
        <v>0</v>
      </c>
      <c r="L571" s="88">
        <f>SUM(D571:K571)</f>
        <v>0</v>
      </c>
      <c r="M571">
        <f t="shared" ref="M571:X571" si="15">SUM(M433:M570)</f>
        <v>-1.7920058057771329E-2</v>
      </c>
      <c r="N571">
        <f t="shared" si="15"/>
        <v>-1.7278221500178718E-2</v>
      </c>
      <c r="O571">
        <f t="shared" si="15"/>
        <v>-1.8088377586948579E-2</v>
      </c>
      <c r="P571">
        <f t="shared" si="15"/>
        <v>-1.7783602657796757E-2</v>
      </c>
      <c r="Q571">
        <f t="shared" si="15"/>
        <v>-1.7107220526524171E-2</v>
      </c>
      <c r="R571">
        <f t="shared" si="15"/>
        <v>-1.7375643277857573E-2</v>
      </c>
      <c r="S571">
        <f t="shared" si="15"/>
        <v>-1.7518219197999799E-2</v>
      </c>
      <c r="T571">
        <f t="shared" si="15"/>
        <v>-1.7239927419053808E-2</v>
      </c>
      <c r="U571">
        <f t="shared" si="15"/>
        <v>-1.8550981729140256E-2</v>
      </c>
      <c r="V571">
        <f t="shared" si="15"/>
        <v>-1.8139539885590625E-2</v>
      </c>
      <c r="W571">
        <f t="shared" si="15"/>
        <v>-1.6968578133700569E-2</v>
      </c>
      <c r="X571">
        <f t="shared" si="15"/>
        <v>-1.6229405281040755E-2</v>
      </c>
      <c r="Y571" s="88">
        <f>SUM(M571:X571)</f>
        <v>-0.21019977525360292</v>
      </c>
      <c r="Z571">
        <f t="shared" ref="Z571:AK571" si="16">SUM(Z433:Z570)</f>
        <v>-1.7613844054167695E-2</v>
      </c>
      <c r="AA571">
        <f t="shared" si="16"/>
        <v>-1.6887624352137316E-2</v>
      </c>
      <c r="AB571">
        <f t="shared" si="16"/>
        <v>-1.8915449224700773E-2</v>
      </c>
      <c r="AC571">
        <f t="shared" si="16"/>
        <v>-1.7445304546652336E-2</v>
      </c>
      <c r="AD571">
        <f t="shared" si="16"/>
        <v>-1.6061070973915632E-2</v>
      </c>
      <c r="AE571">
        <f t="shared" si="16"/>
        <v>-1.5083381119894837E-2</v>
      </c>
      <c r="AF571">
        <f t="shared" si="16"/>
        <v>-1.5717520829900949E-2</v>
      </c>
      <c r="AG571">
        <f t="shared" si="16"/>
        <v>-1.568408199398573E-2</v>
      </c>
      <c r="AH571">
        <f t="shared" si="16"/>
        <v>-1.5700509718415811E-2</v>
      </c>
      <c r="AI571">
        <f t="shared" si="16"/>
        <v>-1.6269927938700857E-2</v>
      </c>
      <c r="AJ571">
        <f t="shared" si="16"/>
        <v>-1.6023482745478903E-2</v>
      </c>
      <c r="AK571">
        <f t="shared" si="16"/>
        <v>-1.5992782520548462E-2</v>
      </c>
      <c r="AL571" s="88">
        <f>SUM(Z571:AK571)</f>
        <v>-0.19739498001849926</v>
      </c>
      <c r="AM571">
        <f t="shared" ref="AM571:AW571" si="17">SUM(AM433:AM570)</f>
        <v>-0.18484099548642821</v>
      </c>
      <c r="AN571">
        <f t="shared" si="17"/>
        <v>-0.18691107100412546</v>
      </c>
      <c r="AO571">
        <f t="shared" si="17"/>
        <v>-0.19571080777731173</v>
      </c>
      <c r="AP571">
        <f t="shared" si="17"/>
        <v>-0.19884864579861683</v>
      </c>
      <c r="AQ571">
        <f t="shared" si="17"/>
        <v>-0.20170830864248729</v>
      </c>
      <c r="AR571">
        <f t="shared" si="17"/>
        <v>-0.19009639719225366</v>
      </c>
      <c r="AS571">
        <f t="shared" si="17"/>
        <v>-0.16618479111237383</v>
      </c>
      <c r="AT571">
        <f t="shared" si="17"/>
        <v>-0.13660164990333484</v>
      </c>
      <c r="AU571">
        <f t="shared" si="17"/>
        <v>-0.12680675797509364</v>
      </c>
      <c r="AV571">
        <f t="shared" si="17"/>
        <v>-0.29736717154688619</v>
      </c>
      <c r="AW571">
        <f t="shared" si="17"/>
        <v>-0.2610853229984732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92D050"/>
  </sheetPr>
  <dimension ref="A1:BA576"/>
  <sheetViews>
    <sheetView workbookViewId="0">
      <pane xSplit="3" ySplit="6" topLeftCell="AK112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AS126" sqref="AS126"/>
    </sheetView>
  </sheetViews>
  <sheetFormatPr defaultColWidth="8.85546875" defaultRowHeight="12.75"/>
  <cols>
    <col min="1" max="1" width="7.42578125" style="13" customWidth="1"/>
    <col min="2" max="2" width="36" style="13" customWidth="1"/>
    <col min="3" max="3" width="8.7109375" style="13" customWidth="1"/>
    <col min="4" max="4" width="7.42578125" style="13" customWidth="1"/>
    <col min="5" max="5" width="8.85546875" style="165" hidden="1" customWidth="1"/>
    <col min="6" max="12" width="12.5703125" style="13" hidden="1" customWidth="1"/>
    <col min="13" max="13" width="12.7109375" style="13" hidden="1" customWidth="1"/>
    <col min="14" max="14" width="10.28515625" style="88" hidden="1" customWidth="1"/>
    <col min="15" max="15" width="12.28515625" style="13" customWidth="1"/>
    <col min="16" max="24" width="11.5703125" style="13" bestFit="1" customWidth="1"/>
    <col min="25" max="25" width="11.140625" style="13" bestFit="1" customWidth="1"/>
    <col min="26" max="26" width="10.42578125" style="13" customWidth="1"/>
    <col min="27" max="27" width="12.5703125" style="88" bestFit="1" customWidth="1"/>
    <col min="28" max="28" width="11.5703125" style="13" bestFit="1" customWidth="1"/>
    <col min="29" max="29" width="11.140625" style="13" bestFit="1" customWidth="1"/>
    <col min="30" max="37" width="11.5703125" style="13" bestFit="1" customWidth="1"/>
    <col min="38" max="38" width="11.140625" style="13" bestFit="1" customWidth="1"/>
    <col min="39" max="39" width="9.7109375" style="13" customWidth="1"/>
    <col min="40" max="40" width="10.28515625" style="88" customWidth="1"/>
    <col min="41" max="41" width="10" style="13" customWidth="1"/>
    <col min="42" max="42" width="9.7109375" style="13" customWidth="1"/>
    <col min="43" max="43" width="10" style="13" customWidth="1"/>
    <col min="44" max="45" width="9.7109375" style="13" customWidth="1"/>
    <col min="46" max="47" width="9.85546875" style="13" customWidth="1"/>
    <col min="48" max="51" width="9.7109375" style="13" customWidth="1"/>
    <col min="52" max="53" width="9.7109375" style="28" customWidth="1"/>
    <col min="54" max="16384" width="8.85546875" style="13"/>
  </cols>
  <sheetData>
    <row r="1" spans="1:53">
      <c r="C1" s="72"/>
    </row>
    <row r="2" spans="1:53">
      <c r="C2" s="72"/>
    </row>
    <row r="3" spans="1:53">
      <c r="B3" s="49" t="s">
        <v>357</v>
      </c>
      <c r="C3" s="49"/>
      <c r="D3" s="73">
        <v>0.03</v>
      </c>
    </row>
    <row r="4" spans="1:53" s="29" customFormat="1">
      <c r="E4" s="187"/>
      <c r="F4" s="208"/>
      <c r="G4" s="208"/>
      <c r="H4" s="208"/>
      <c r="I4" s="208"/>
      <c r="J4" s="208"/>
      <c r="K4" s="208"/>
      <c r="L4" s="208"/>
      <c r="M4" s="208"/>
      <c r="N4" s="181">
        <f>'Stmts RUS'!F1</f>
        <v>0</v>
      </c>
      <c r="O4" s="208">
        <f>'Stmts RUS'!G1</f>
        <v>2013</v>
      </c>
      <c r="P4" s="208">
        <f>'Stmts RUS'!H1</f>
        <v>2013</v>
      </c>
      <c r="Q4" s="208">
        <f>'Stmts RUS'!I1</f>
        <v>2013</v>
      </c>
      <c r="R4" s="208">
        <f>'Stmts RUS'!J1</f>
        <v>2013</v>
      </c>
      <c r="S4" s="208">
        <f>'Stmts RUS'!K1</f>
        <v>2013</v>
      </c>
      <c r="T4" s="208">
        <f>'Stmts RUS'!L1</f>
        <v>2013</v>
      </c>
      <c r="U4" s="208">
        <f>'Stmts RUS'!M1</f>
        <v>2013</v>
      </c>
      <c r="V4" s="208">
        <f>'Stmts RUS'!N1</f>
        <v>2013</v>
      </c>
      <c r="W4" s="208">
        <f>'Stmts RUS'!O1</f>
        <v>2013</v>
      </c>
      <c r="X4" s="208">
        <f>'Stmts RUS'!P1</f>
        <v>2013</v>
      </c>
      <c r="Y4" s="208">
        <f>'Stmts RUS'!Q1</f>
        <v>2013</v>
      </c>
      <c r="Z4" s="208">
        <f>'Stmts RUS'!R1</f>
        <v>2013</v>
      </c>
      <c r="AA4" s="181">
        <f>'Stmts RUS'!S1</f>
        <v>0</v>
      </c>
      <c r="AB4" s="208">
        <f>'Stmts RUS'!T1</f>
        <v>2014</v>
      </c>
      <c r="AC4" s="208">
        <f>'Stmts RUS'!U1</f>
        <v>2014</v>
      </c>
      <c r="AD4" s="208">
        <f>'Stmts RUS'!V1</f>
        <v>2014</v>
      </c>
      <c r="AE4" s="208">
        <f>'Stmts RUS'!W1</f>
        <v>2014</v>
      </c>
      <c r="AF4" s="208">
        <f>'Stmts RUS'!X1</f>
        <v>2014</v>
      </c>
      <c r="AG4" s="208">
        <f>'Stmts RUS'!Y1</f>
        <v>2014</v>
      </c>
      <c r="AH4" s="208">
        <f>'Stmts RUS'!Z1</f>
        <v>2014</v>
      </c>
      <c r="AI4" s="208">
        <f>'Stmts RUS'!AA1</f>
        <v>2014</v>
      </c>
      <c r="AJ4" s="208">
        <f>'Stmts RUS'!AB1</f>
        <v>2014</v>
      </c>
      <c r="AK4" s="208">
        <f>'Stmts RUS'!AC1</f>
        <v>2014</v>
      </c>
      <c r="AL4" s="208">
        <f>'Stmts RUS'!AD1</f>
        <v>2014</v>
      </c>
      <c r="AM4" s="208">
        <f>'Stmts RUS'!AE1</f>
        <v>2014</v>
      </c>
      <c r="AN4" s="181">
        <f>'Stmts RUS'!AF1</f>
        <v>0</v>
      </c>
      <c r="AZ4" s="918"/>
      <c r="BA4" s="918"/>
    </row>
    <row r="5" spans="1:53" s="29" customFormat="1">
      <c r="B5" s="29" t="s">
        <v>347</v>
      </c>
      <c r="E5" s="187"/>
      <c r="F5" s="208"/>
      <c r="G5" s="208"/>
      <c r="H5" s="208"/>
      <c r="I5" s="208"/>
      <c r="J5" s="208"/>
      <c r="K5" s="208"/>
      <c r="L5" s="208"/>
      <c r="M5" s="208"/>
      <c r="N5" s="181">
        <f>'Stmts RUS'!F2</f>
        <v>0</v>
      </c>
      <c r="O5" s="208" t="str">
        <f>'Stmts RUS'!G2</f>
        <v>January</v>
      </c>
      <c r="P5" s="208" t="str">
        <f>'Stmts RUS'!H2</f>
        <v>February</v>
      </c>
      <c r="Q5" s="208" t="str">
        <f>'Stmts RUS'!I2</f>
        <v>March</v>
      </c>
      <c r="R5" s="208" t="str">
        <f>'Stmts RUS'!J2</f>
        <v>April</v>
      </c>
      <c r="S5" s="208" t="str">
        <f>'Stmts RUS'!K2</f>
        <v>May</v>
      </c>
      <c r="T5" s="208" t="str">
        <f>'Stmts RUS'!L2</f>
        <v>June</v>
      </c>
      <c r="U5" s="208" t="str">
        <f>'Stmts RUS'!M2</f>
        <v>July</v>
      </c>
      <c r="V5" s="208" t="str">
        <f>'Stmts RUS'!N2</f>
        <v>August</v>
      </c>
      <c r="W5" s="208" t="str">
        <f>'Stmts RUS'!O2</f>
        <v>September</v>
      </c>
      <c r="X5" s="208" t="str">
        <f>'Stmts RUS'!P2</f>
        <v>October</v>
      </c>
      <c r="Y5" s="208" t="str">
        <f>'Stmts RUS'!Q2</f>
        <v>November</v>
      </c>
      <c r="Z5" s="208" t="str">
        <f>'Stmts RUS'!R2</f>
        <v>December</v>
      </c>
      <c r="AA5" s="181">
        <f>'Stmts RUS'!S2</f>
        <v>2013</v>
      </c>
      <c r="AB5" s="208" t="str">
        <f>'Stmts RUS'!T2</f>
        <v>January</v>
      </c>
      <c r="AC5" s="208" t="str">
        <f>'Stmts RUS'!U2</f>
        <v>February</v>
      </c>
      <c r="AD5" s="208" t="str">
        <f>'Stmts RUS'!V2</f>
        <v>March</v>
      </c>
      <c r="AE5" s="208" t="str">
        <f>'Stmts RUS'!W2</f>
        <v>April</v>
      </c>
      <c r="AF5" s="208" t="str">
        <f>'Stmts RUS'!X2</f>
        <v>May</v>
      </c>
      <c r="AG5" s="208" t="str">
        <f>'Stmts RUS'!Y2</f>
        <v>June</v>
      </c>
      <c r="AH5" s="208" t="str">
        <f>'Stmts RUS'!Z2</f>
        <v>July</v>
      </c>
      <c r="AI5" s="208" t="str">
        <f>'Stmts RUS'!AA2</f>
        <v>August</v>
      </c>
      <c r="AJ5" s="208" t="str">
        <f>'Stmts RUS'!AB2</f>
        <v>September</v>
      </c>
      <c r="AK5" s="208" t="str">
        <f>'Stmts RUS'!AC2</f>
        <v>October</v>
      </c>
      <c r="AL5" s="208" t="str">
        <f>'Stmts RUS'!AD2</f>
        <v>November</v>
      </c>
      <c r="AM5" s="208" t="str">
        <f>'Stmts RUS'!AE2</f>
        <v>December</v>
      </c>
      <c r="AN5" s="181">
        <f>'Stmts RUS'!AF2</f>
        <v>2014</v>
      </c>
      <c r="AO5" s="208">
        <f>'Stmts RUS'!AG2</f>
        <v>2015</v>
      </c>
      <c r="AP5" s="208">
        <f>'Stmts RUS'!AH2</f>
        <v>2016</v>
      </c>
      <c r="AQ5" s="208">
        <f>'Stmts RUS'!AI2</f>
        <v>2017</v>
      </c>
      <c r="AR5" s="208">
        <f>'Stmts RUS'!AJ2</f>
        <v>2018</v>
      </c>
      <c r="AS5" s="208">
        <f>'Stmts RUS'!AK2</f>
        <v>2019</v>
      </c>
      <c r="AT5" s="208">
        <f>'Stmts RUS'!AL2</f>
        <v>2020</v>
      </c>
      <c r="AU5" s="208">
        <f>'Stmts RUS'!AM2</f>
        <v>2021</v>
      </c>
      <c r="AV5" s="208">
        <f>'Stmts RUS'!AN2</f>
        <v>2022</v>
      </c>
      <c r="AW5" s="208">
        <f>'Stmts RUS'!AO2</f>
        <v>2023</v>
      </c>
      <c r="AX5" s="208">
        <f>'Stmts RUS'!AP2</f>
        <v>2024</v>
      </c>
      <c r="AY5" s="208">
        <f>'Stmts RUS'!AQ2</f>
        <v>2025</v>
      </c>
      <c r="AZ5" s="905"/>
      <c r="BA5" s="905"/>
    </row>
    <row r="7" spans="1:53">
      <c r="B7" s="49" t="s">
        <v>445</v>
      </c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31"/>
      <c r="BA7" s="31"/>
    </row>
    <row r="8" spans="1:53">
      <c r="B8" s="13" t="s">
        <v>406</v>
      </c>
      <c r="O8" s="74">
        <f>M11</f>
        <v>0.18497938000000011</v>
      </c>
      <c r="P8" s="74">
        <f>O11</f>
        <v>0.18451912000000012</v>
      </c>
      <c r="Q8" s="74">
        <f t="shared" ref="Q8:Z8" si="0">P11</f>
        <v>0.18405886000000013</v>
      </c>
      <c r="R8" s="74">
        <f t="shared" si="0"/>
        <v>0.18359860000000014</v>
      </c>
      <c r="S8" s="74">
        <f t="shared" si="0"/>
        <v>0.18313834000000015</v>
      </c>
      <c r="T8" s="74">
        <f t="shared" si="0"/>
        <v>0.18267808000000016</v>
      </c>
      <c r="U8" s="74">
        <f t="shared" si="0"/>
        <v>0.18221782000000017</v>
      </c>
      <c r="V8" s="74">
        <f t="shared" si="0"/>
        <v>0.18175756000000018</v>
      </c>
      <c r="W8" s="74">
        <f t="shared" si="0"/>
        <v>0.18129730000000019</v>
      </c>
      <c r="X8" s="74">
        <f t="shared" si="0"/>
        <v>0.1808370400000002</v>
      </c>
      <c r="Y8" s="74">
        <f t="shared" si="0"/>
        <v>0.18037678000000021</v>
      </c>
      <c r="Z8" s="74">
        <f t="shared" si="0"/>
        <v>0.17991652000000022</v>
      </c>
      <c r="AA8" s="211"/>
      <c r="AB8" s="74">
        <f>Z11</f>
        <v>0.17945626000000023</v>
      </c>
      <c r="AC8" s="74">
        <f>AB11</f>
        <v>0.17899600000000024</v>
      </c>
      <c r="AD8" s="74">
        <f t="shared" ref="AD8:AM8" si="1">AC11</f>
        <v>0.17853574000000025</v>
      </c>
      <c r="AE8" s="74">
        <f t="shared" si="1"/>
        <v>0.17807548000000026</v>
      </c>
      <c r="AF8" s="74">
        <f t="shared" si="1"/>
        <v>0.17761522000000027</v>
      </c>
      <c r="AG8" s="74">
        <f t="shared" si="1"/>
        <v>0.17715496000000028</v>
      </c>
      <c r="AH8" s="74">
        <f t="shared" si="1"/>
        <v>0.17669470000000029</v>
      </c>
      <c r="AI8" s="74">
        <f t="shared" si="1"/>
        <v>0.1762344400000003</v>
      </c>
      <c r="AJ8" s="74">
        <f t="shared" si="1"/>
        <v>0.17577418000000031</v>
      </c>
      <c r="AK8" s="74">
        <f t="shared" si="1"/>
        <v>0.17531392000000032</v>
      </c>
      <c r="AL8" s="74">
        <f t="shared" si="1"/>
        <v>0.17485366000000033</v>
      </c>
      <c r="AM8" s="74">
        <f t="shared" si="1"/>
        <v>0.17439340000000034</v>
      </c>
      <c r="AN8" s="211"/>
      <c r="AO8" s="74">
        <f>AM11</f>
        <v>0.17393314000000035</v>
      </c>
      <c r="AP8" s="74">
        <f>AO11</f>
        <v>0.16841002000000035</v>
      </c>
      <c r="AQ8" s="74">
        <f t="shared" ref="AQ8:AY8" si="2">AP11</f>
        <v>0.16288690000000036</v>
      </c>
      <c r="AR8" s="74">
        <f t="shared" si="2"/>
        <v>0.15736378000000037</v>
      </c>
      <c r="AS8" s="74">
        <f t="shared" si="2"/>
        <v>0.15184066000000038</v>
      </c>
      <c r="AT8" s="74">
        <f t="shared" si="2"/>
        <v>0.14631754000000038</v>
      </c>
      <c r="AU8" s="74">
        <f t="shared" si="2"/>
        <v>0.14079442000000039</v>
      </c>
      <c r="AV8" s="74">
        <f t="shared" si="2"/>
        <v>0.1352713000000004</v>
      </c>
      <c r="AW8" s="74">
        <f t="shared" si="2"/>
        <v>0.12974818000000041</v>
      </c>
      <c r="AX8" s="74">
        <f t="shared" si="2"/>
        <v>0.12422506000000041</v>
      </c>
      <c r="AY8" s="74">
        <f t="shared" si="2"/>
        <v>0.11870194000000041</v>
      </c>
      <c r="AZ8" s="726"/>
      <c r="BA8" s="726"/>
    </row>
    <row r="9" spans="1:53">
      <c r="A9" s="262" t="s">
        <v>100</v>
      </c>
      <c r="B9" s="262" t="s">
        <v>118</v>
      </c>
      <c r="F9" s="348"/>
      <c r="G9" s="348"/>
      <c r="H9" s="348"/>
      <c r="I9" s="348"/>
      <c r="J9" s="348"/>
      <c r="K9" s="348"/>
      <c r="L9" s="348"/>
      <c r="M9" s="348"/>
      <c r="N9" s="379"/>
      <c r="O9" s="578">
        <v>2.9917000000000002E-4</v>
      </c>
      <c r="P9" s="578">
        <v>2.9917000000000002E-4</v>
      </c>
      <c r="Q9" s="578">
        <v>2.9917000000000002E-4</v>
      </c>
      <c r="R9" s="578">
        <v>2.9917000000000002E-4</v>
      </c>
      <c r="S9" s="578">
        <v>2.9917000000000002E-4</v>
      </c>
      <c r="T9" s="578">
        <v>2.9917000000000002E-4</v>
      </c>
      <c r="U9" s="578">
        <v>2.9917000000000002E-4</v>
      </c>
      <c r="V9" s="578">
        <v>2.9917000000000002E-4</v>
      </c>
      <c r="W9" s="578">
        <v>2.9917000000000002E-4</v>
      </c>
      <c r="X9" s="578">
        <v>2.9917000000000002E-4</v>
      </c>
      <c r="Y9" s="578">
        <v>2.9917000000000002E-4</v>
      </c>
      <c r="Z9" s="578">
        <v>2.9917000000000002E-4</v>
      </c>
      <c r="AA9" s="580">
        <f>SUM(O9:Z9)</f>
        <v>3.5900400000000005E-3</v>
      </c>
      <c r="AB9" s="578">
        <v>2.9917000000000002E-4</v>
      </c>
      <c r="AC9" s="578">
        <v>2.9917000000000002E-4</v>
      </c>
      <c r="AD9" s="578">
        <v>2.9917000000000002E-4</v>
      </c>
      <c r="AE9" s="578">
        <v>2.9917000000000002E-4</v>
      </c>
      <c r="AF9" s="578">
        <v>2.9917000000000002E-4</v>
      </c>
      <c r="AG9" s="578">
        <v>2.9917000000000002E-4</v>
      </c>
      <c r="AH9" s="578">
        <v>2.9917000000000002E-4</v>
      </c>
      <c r="AI9" s="578">
        <v>2.9917000000000002E-4</v>
      </c>
      <c r="AJ9" s="578">
        <v>2.9917000000000002E-4</v>
      </c>
      <c r="AK9" s="578">
        <v>2.9917000000000002E-4</v>
      </c>
      <c r="AL9" s="578">
        <v>2.9917000000000002E-4</v>
      </c>
      <c r="AM9" s="578">
        <v>2.9917000000000002E-4</v>
      </c>
      <c r="AN9" s="211">
        <f>SUM(AB9:AM9)</f>
        <v>3.5900400000000005E-3</v>
      </c>
      <c r="AO9" s="578">
        <v>3.5900400000000001E-3</v>
      </c>
      <c r="AP9" s="578">
        <v>3.5900400000000001E-3</v>
      </c>
      <c r="AQ9" s="578">
        <v>3.5900400000000001E-3</v>
      </c>
      <c r="AR9" s="578">
        <v>3.5900400000000001E-3</v>
      </c>
      <c r="AS9" s="578">
        <v>3.5900400000000001E-3</v>
      </c>
      <c r="AT9" s="578">
        <v>3.5900400000000001E-3</v>
      </c>
      <c r="AU9" s="578">
        <v>3.5900400000000001E-3</v>
      </c>
      <c r="AV9" s="578">
        <v>3.5900400000000001E-3</v>
      </c>
      <c r="AW9" s="578">
        <v>3.5900400000000001E-3</v>
      </c>
      <c r="AX9" s="578">
        <v>3.5900400000000001E-3</v>
      </c>
      <c r="AY9" s="578">
        <v>3.5900400000000001E-3</v>
      </c>
      <c r="AZ9" s="519"/>
      <c r="BA9" s="519"/>
    </row>
    <row r="10" spans="1:53">
      <c r="A10" s="262" t="s">
        <v>122</v>
      </c>
      <c r="B10" s="262" t="s">
        <v>118</v>
      </c>
      <c r="F10" s="348"/>
      <c r="G10" s="348"/>
      <c r="H10" s="348"/>
      <c r="I10" s="348"/>
      <c r="J10" s="348"/>
      <c r="K10" s="348"/>
      <c r="L10" s="348"/>
      <c r="M10" s="348"/>
      <c r="N10" s="379"/>
      <c r="O10" s="578">
        <v>1.6108999999999999E-4</v>
      </c>
      <c r="P10" s="578">
        <v>1.6108999999999999E-4</v>
      </c>
      <c r="Q10" s="578">
        <v>1.6108999999999999E-4</v>
      </c>
      <c r="R10" s="578">
        <v>1.6108999999999999E-4</v>
      </c>
      <c r="S10" s="578">
        <v>1.6108999999999999E-4</v>
      </c>
      <c r="T10" s="578">
        <v>1.6108999999999999E-4</v>
      </c>
      <c r="U10" s="578">
        <v>1.6108999999999999E-4</v>
      </c>
      <c r="V10" s="578">
        <v>1.6108999999999999E-4</v>
      </c>
      <c r="W10" s="578">
        <v>1.6108999999999999E-4</v>
      </c>
      <c r="X10" s="578">
        <v>1.6108999999999999E-4</v>
      </c>
      <c r="Y10" s="578">
        <v>1.6108999999999999E-4</v>
      </c>
      <c r="Z10" s="578">
        <v>1.6108999999999999E-4</v>
      </c>
      <c r="AA10" s="580">
        <f>SUM(O10:Z10)</f>
        <v>1.93308E-3</v>
      </c>
      <c r="AB10" s="578">
        <v>1.6108999999999999E-4</v>
      </c>
      <c r="AC10" s="578">
        <v>1.6108999999999999E-4</v>
      </c>
      <c r="AD10" s="578">
        <v>1.6108999999999999E-4</v>
      </c>
      <c r="AE10" s="578">
        <v>1.6108999999999999E-4</v>
      </c>
      <c r="AF10" s="578">
        <v>1.6108999999999999E-4</v>
      </c>
      <c r="AG10" s="578">
        <v>1.6108999999999999E-4</v>
      </c>
      <c r="AH10" s="578">
        <v>1.6108999999999999E-4</v>
      </c>
      <c r="AI10" s="578">
        <v>1.6108999999999999E-4</v>
      </c>
      <c r="AJ10" s="578">
        <v>1.6108999999999999E-4</v>
      </c>
      <c r="AK10" s="578">
        <v>1.6108999999999999E-4</v>
      </c>
      <c r="AL10" s="578">
        <v>1.6108999999999999E-4</v>
      </c>
      <c r="AM10" s="578">
        <v>1.6108999999999999E-4</v>
      </c>
      <c r="AN10" s="211">
        <f>SUM(AB10:AM10)</f>
        <v>1.93308E-3</v>
      </c>
      <c r="AO10" s="578">
        <v>1.93308E-3</v>
      </c>
      <c r="AP10" s="578">
        <v>1.93308E-3</v>
      </c>
      <c r="AQ10" s="578">
        <v>1.93308E-3</v>
      </c>
      <c r="AR10" s="578">
        <v>1.93308E-3</v>
      </c>
      <c r="AS10" s="578">
        <v>1.93308E-3</v>
      </c>
      <c r="AT10" s="578">
        <v>1.93308E-3</v>
      </c>
      <c r="AU10" s="578">
        <v>1.93308E-3</v>
      </c>
      <c r="AV10" s="578">
        <v>1.93308E-3</v>
      </c>
      <c r="AW10" s="578">
        <v>1.93308E-3</v>
      </c>
      <c r="AX10" s="578">
        <v>1.93308E-3</v>
      </c>
      <c r="AY10" s="578">
        <v>1.93308E-3</v>
      </c>
      <c r="AZ10" s="519"/>
      <c r="BA10" s="519"/>
    </row>
    <row r="11" spans="1:53">
      <c r="A11" s="293" t="s">
        <v>117</v>
      </c>
      <c r="B11" s="293" t="s">
        <v>116</v>
      </c>
      <c r="M11" s="348">
        <v>0.18497938000000011</v>
      </c>
      <c r="O11" s="74">
        <f>O8-O9-O10</f>
        <v>0.18451912000000012</v>
      </c>
      <c r="P11" s="74">
        <f t="shared" ref="P11:Z11" si="3">P8-P9-P10</f>
        <v>0.18405886000000013</v>
      </c>
      <c r="Q11" s="74">
        <f t="shared" si="3"/>
        <v>0.18359860000000014</v>
      </c>
      <c r="R11" s="74">
        <f t="shared" si="3"/>
        <v>0.18313834000000015</v>
      </c>
      <c r="S11" s="74">
        <f t="shared" si="3"/>
        <v>0.18267808000000016</v>
      </c>
      <c r="T11" s="74">
        <f t="shared" si="3"/>
        <v>0.18221782000000017</v>
      </c>
      <c r="U11" s="74">
        <f t="shared" si="3"/>
        <v>0.18175756000000018</v>
      </c>
      <c r="V11" s="74">
        <f t="shared" si="3"/>
        <v>0.18129730000000019</v>
      </c>
      <c r="W11" s="74">
        <f t="shared" si="3"/>
        <v>0.1808370400000002</v>
      </c>
      <c r="X11" s="74">
        <f t="shared" si="3"/>
        <v>0.18037678000000021</v>
      </c>
      <c r="Y11" s="74">
        <f t="shared" si="3"/>
        <v>0.17991652000000022</v>
      </c>
      <c r="Z11" s="74">
        <f t="shared" si="3"/>
        <v>0.17945626000000023</v>
      </c>
      <c r="AA11" s="580"/>
      <c r="AB11" s="74">
        <f t="shared" ref="AB11:AM11" si="4">AB8-AB9-AB10</f>
        <v>0.17899600000000024</v>
      </c>
      <c r="AC11" s="74">
        <f t="shared" si="4"/>
        <v>0.17853574000000025</v>
      </c>
      <c r="AD11" s="74">
        <f t="shared" si="4"/>
        <v>0.17807548000000026</v>
      </c>
      <c r="AE11" s="74">
        <f t="shared" si="4"/>
        <v>0.17761522000000027</v>
      </c>
      <c r="AF11" s="74">
        <f t="shared" si="4"/>
        <v>0.17715496000000028</v>
      </c>
      <c r="AG11" s="74">
        <f t="shared" si="4"/>
        <v>0.17669470000000029</v>
      </c>
      <c r="AH11" s="74">
        <f t="shared" si="4"/>
        <v>0.1762344400000003</v>
      </c>
      <c r="AI11" s="74">
        <f t="shared" si="4"/>
        <v>0.17577418000000031</v>
      </c>
      <c r="AJ11" s="74">
        <f t="shared" si="4"/>
        <v>0.17531392000000032</v>
      </c>
      <c r="AK11" s="74">
        <f t="shared" si="4"/>
        <v>0.17485366000000033</v>
      </c>
      <c r="AL11" s="74">
        <f t="shared" si="4"/>
        <v>0.17439340000000034</v>
      </c>
      <c r="AM11" s="74">
        <f t="shared" si="4"/>
        <v>0.17393314000000035</v>
      </c>
      <c r="AN11" s="211"/>
      <c r="AO11" s="74">
        <f t="shared" ref="AO11:AY11" si="5">AO8-AO9-AO10</f>
        <v>0.16841002000000035</v>
      </c>
      <c r="AP11" s="74">
        <f t="shared" si="5"/>
        <v>0.16288690000000036</v>
      </c>
      <c r="AQ11" s="74">
        <f t="shared" si="5"/>
        <v>0.15736378000000037</v>
      </c>
      <c r="AR11" s="74">
        <f t="shared" si="5"/>
        <v>0.15184066000000038</v>
      </c>
      <c r="AS11" s="74">
        <f t="shared" si="5"/>
        <v>0.14631754000000038</v>
      </c>
      <c r="AT11" s="74">
        <f t="shared" si="5"/>
        <v>0.14079442000000039</v>
      </c>
      <c r="AU11" s="74">
        <f t="shared" si="5"/>
        <v>0.1352713000000004</v>
      </c>
      <c r="AV11" s="74">
        <f t="shared" si="5"/>
        <v>0.12974818000000041</v>
      </c>
      <c r="AW11" s="74">
        <f t="shared" si="5"/>
        <v>0.12422506000000041</v>
      </c>
      <c r="AX11" s="74">
        <f t="shared" si="5"/>
        <v>0.11870194000000041</v>
      </c>
      <c r="AY11" s="74">
        <f t="shared" si="5"/>
        <v>0.1131788200000004</v>
      </c>
      <c r="AZ11" s="726"/>
      <c r="BA11" s="726"/>
    </row>
    <row r="12" spans="1:53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211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211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26"/>
      <c r="BA12" s="726"/>
    </row>
    <row r="13" spans="1:53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211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211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26"/>
      <c r="BA13" s="726"/>
    </row>
    <row r="14" spans="1:53">
      <c r="A14" s="49" t="s">
        <v>641</v>
      </c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211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211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26"/>
      <c r="BA14" s="726"/>
    </row>
    <row r="15" spans="1:53">
      <c r="A15" s="66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211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211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26"/>
      <c r="BA15" s="726"/>
    </row>
    <row r="16" spans="1:53">
      <c r="A16" s="49"/>
      <c r="B16" s="75" t="s">
        <v>642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211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211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26"/>
      <c r="BA16" s="726"/>
    </row>
    <row r="17" spans="1:53">
      <c r="A17"/>
      <c r="B17" s="265" t="s">
        <v>620</v>
      </c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211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211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26"/>
      <c r="BA17" s="726"/>
    </row>
    <row r="18" spans="1:53">
      <c r="A18" s="268">
        <v>908.11</v>
      </c>
      <c r="B18" t="s">
        <v>621</v>
      </c>
      <c r="E18" s="277"/>
      <c r="F18" s="278"/>
      <c r="G18" s="278"/>
      <c r="H18" s="325"/>
      <c r="I18" s="325"/>
      <c r="J18" s="325"/>
      <c r="K18" s="325"/>
      <c r="L18" s="325"/>
      <c r="M18" s="325"/>
      <c r="N18" s="224">
        <f>SUM(E18:M18)</f>
        <v>0</v>
      </c>
      <c r="O18" s="581">
        <v>5.0316471290000012E-2</v>
      </c>
      <c r="P18" s="581">
        <v>4.4639701480000002E-2</v>
      </c>
      <c r="Q18" s="581">
        <v>0.16670022529000003</v>
      </c>
      <c r="R18" s="581">
        <v>6.6229918679999986E-2</v>
      </c>
      <c r="S18" s="581">
        <v>6.6121494699999991E-2</v>
      </c>
      <c r="T18" s="581">
        <v>0.26170981800000004</v>
      </c>
      <c r="U18" s="581">
        <v>6.6849484279999996E-2</v>
      </c>
      <c r="V18" s="581">
        <v>6.6229918679999986E-2</v>
      </c>
      <c r="W18" s="581">
        <v>0.17268677789999998</v>
      </c>
      <c r="X18" s="581">
        <v>7.9271774560000008E-2</v>
      </c>
      <c r="Y18" s="581">
        <v>6.5680054210000005E-2</v>
      </c>
      <c r="Z18" s="581">
        <v>0.19574770055000001</v>
      </c>
      <c r="AA18" s="211">
        <f>SUM(O18:Z18)</f>
        <v>1.30218333962</v>
      </c>
      <c r="AB18" s="581">
        <v>4.8986186501099989E-2</v>
      </c>
      <c r="AC18" s="581">
        <v>4.3459501153199992E-2</v>
      </c>
      <c r="AD18" s="581">
        <v>0.14097194536110003</v>
      </c>
      <c r="AE18" s="581">
        <v>4.3157908501199993E-2</v>
      </c>
      <c r="AF18" s="581">
        <v>4.3052351072999998E-2</v>
      </c>
      <c r="AG18" s="581">
        <v>0.2282946418206</v>
      </c>
      <c r="AH18" s="581">
        <v>4.3761093805199991E-2</v>
      </c>
      <c r="AI18" s="581">
        <v>4.3157908501199993E-2</v>
      </c>
      <c r="AJ18" s="581">
        <v>0.14680022336100002</v>
      </c>
      <c r="AK18" s="581">
        <v>5.5854959150400001E-2</v>
      </c>
      <c r="AL18" s="581">
        <v>4.2622581543899994E-2</v>
      </c>
      <c r="AM18" s="581">
        <v>0.21886232892449997</v>
      </c>
      <c r="AN18" s="211">
        <f>SUM(AB18:AM18)</f>
        <v>1.0989816296963999</v>
      </c>
      <c r="AO18" s="581">
        <v>1.1319510785872919</v>
      </c>
      <c r="AP18" s="581">
        <v>1.154590100159038</v>
      </c>
      <c r="AQ18" s="74">
        <f t="shared" ref="AQ18:AY18" si="6">AP18*(1+$D$3)</f>
        <v>1.189227803163809</v>
      </c>
      <c r="AR18" s="74">
        <f t="shared" si="6"/>
        <v>1.2249046372587233</v>
      </c>
      <c r="AS18" s="74">
        <f t="shared" si="6"/>
        <v>1.2616517763764852</v>
      </c>
      <c r="AT18" s="74">
        <f t="shared" si="6"/>
        <v>1.2995013296677798</v>
      </c>
      <c r="AU18" s="74">
        <f t="shared" si="6"/>
        <v>1.3384863695578131</v>
      </c>
      <c r="AV18" s="74">
        <f t="shared" si="6"/>
        <v>1.3786409606445476</v>
      </c>
      <c r="AW18" s="74">
        <f t="shared" si="6"/>
        <v>1.4200001894638841</v>
      </c>
      <c r="AX18" s="74">
        <f t="shared" si="6"/>
        <v>1.4626001951478007</v>
      </c>
      <c r="AY18" s="74">
        <f t="shared" si="6"/>
        <v>1.5064782010022348</v>
      </c>
      <c r="AZ18" s="726"/>
      <c r="BA18" s="726"/>
    </row>
    <row r="19" spans="1:53">
      <c r="A19" s="268">
        <v>909.11</v>
      </c>
      <c r="B19" t="s">
        <v>622</v>
      </c>
      <c r="E19" s="277"/>
      <c r="F19" s="278"/>
      <c r="G19" s="278"/>
      <c r="H19" s="325"/>
      <c r="I19" s="325"/>
      <c r="J19" s="325"/>
      <c r="K19" s="325"/>
      <c r="L19" s="325"/>
      <c r="M19" s="325"/>
      <c r="N19" s="224">
        <f>SUM(E19:M19)</f>
        <v>0</v>
      </c>
      <c r="O19" s="581">
        <v>1.3785334599999998E-3</v>
      </c>
      <c r="P19" s="581">
        <v>1.22300552E-3</v>
      </c>
      <c r="Q19" s="581">
        <v>4.5671294600000013E-3</v>
      </c>
      <c r="R19" s="581">
        <v>1.8145183199999998E-3</v>
      </c>
      <c r="S19" s="581">
        <v>1.8115477999999996E-3</v>
      </c>
      <c r="T19" s="581">
        <v>7.1701320000000009E-3</v>
      </c>
      <c r="U19" s="581">
        <v>1.8314927199999998E-3</v>
      </c>
      <c r="V19" s="581">
        <v>1.8145183199999998E-3</v>
      </c>
      <c r="W19" s="581">
        <v>4.7311446000000007E-3</v>
      </c>
      <c r="X19" s="581">
        <v>2.1718294400000001E-3</v>
      </c>
      <c r="Y19" s="581">
        <v>1.7994535399999997E-3</v>
      </c>
      <c r="Z19" s="581">
        <v>5.3629507000000007E-3</v>
      </c>
      <c r="AA19" s="211">
        <f>SUM(O19:Z19)</f>
        <v>3.5676255880000007E-2</v>
      </c>
      <c r="AB19" s="581">
        <v>1.4198894637999998E-3</v>
      </c>
      <c r="AC19" s="581">
        <v>1.2596956855999999E-3</v>
      </c>
      <c r="AD19" s="581">
        <v>4.0861433438000002E-3</v>
      </c>
      <c r="AE19" s="581">
        <v>1.2509538696E-3</v>
      </c>
      <c r="AF19" s="581">
        <v>1.2478942340000002E-3</v>
      </c>
      <c r="AG19" s="581">
        <v>6.617235994800001E-3</v>
      </c>
      <c r="AH19" s="581">
        <v>1.2684375015999999E-3</v>
      </c>
      <c r="AI19" s="581">
        <v>1.2509538696E-3</v>
      </c>
      <c r="AJ19" s="581">
        <v>4.2550789380000013E-3</v>
      </c>
      <c r="AK19" s="581">
        <v>1.6189843232000001E-3</v>
      </c>
      <c r="AL19" s="581">
        <v>1.2354371461999998E-3</v>
      </c>
      <c r="AM19" s="581">
        <v>6.3438356210000005E-3</v>
      </c>
      <c r="AN19" s="211">
        <f t="shared" ref="AN19:AN41" si="7">SUM(AB19:AM19)</f>
        <v>3.1854539991199998E-2</v>
      </c>
      <c r="AO19" s="581">
        <v>3.2810176190936E-2</v>
      </c>
      <c r="AP19" s="581">
        <v>3.3466379714754732E-2</v>
      </c>
      <c r="AQ19" s="74">
        <f t="shared" ref="AQ19:AY19" si="8">AP19*(1+$D$3)</f>
        <v>3.4470371106197377E-2</v>
      </c>
      <c r="AR19" s="74">
        <f t="shared" si="8"/>
        <v>3.5504482239383302E-2</v>
      </c>
      <c r="AS19" s="74">
        <f t="shared" si="8"/>
        <v>3.6569616706564799E-2</v>
      </c>
      <c r="AT19" s="74">
        <f t="shared" si="8"/>
        <v>3.7666705207761747E-2</v>
      </c>
      <c r="AU19" s="74">
        <f t="shared" si="8"/>
        <v>3.8796706363994599E-2</v>
      </c>
      <c r="AV19" s="74">
        <f t="shared" si="8"/>
        <v>3.9960607554914436E-2</v>
      </c>
      <c r="AW19" s="74">
        <f t="shared" si="8"/>
        <v>4.115942578156187E-2</v>
      </c>
      <c r="AX19" s="74">
        <f t="shared" si="8"/>
        <v>4.2394208555008729E-2</v>
      </c>
      <c r="AY19" s="74">
        <f t="shared" si="8"/>
        <v>4.3666034811658989E-2</v>
      </c>
      <c r="AZ19" s="726"/>
      <c r="BA19" s="726"/>
    </row>
    <row r="20" spans="1:53">
      <c r="A20" s="78"/>
      <c r="B20"/>
      <c r="E20" s="277"/>
      <c r="F20" s="278"/>
      <c r="G20" s="278"/>
      <c r="H20" s="326"/>
      <c r="I20" s="326"/>
      <c r="J20" s="326"/>
      <c r="K20" s="326"/>
      <c r="L20" s="326"/>
      <c r="M20" s="326"/>
      <c r="N20" s="224"/>
      <c r="O20" s="582"/>
      <c r="P20" s="582"/>
      <c r="Q20" s="582"/>
      <c r="R20" s="582"/>
      <c r="S20" s="582"/>
      <c r="T20" s="582"/>
      <c r="U20" s="582"/>
      <c r="V20" s="582"/>
      <c r="W20" s="582"/>
      <c r="X20" s="582"/>
      <c r="Y20" s="582"/>
      <c r="Z20" s="582"/>
      <c r="AA20" s="211"/>
      <c r="AB20" s="582"/>
      <c r="AC20" s="582"/>
      <c r="AD20" s="582"/>
      <c r="AE20" s="582"/>
      <c r="AF20" s="582"/>
      <c r="AG20" s="582"/>
      <c r="AH20" s="582"/>
      <c r="AI20" s="582"/>
      <c r="AJ20" s="582"/>
      <c r="AK20" s="582"/>
      <c r="AL20" s="582"/>
      <c r="AM20" s="582"/>
      <c r="AN20" s="211"/>
      <c r="AO20" s="582"/>
      <c r="AP20" s="582"/>
      <c r="AQ20" s="74"/>
      <c r="AR20" s="74"/>
      <c r="AS20" s="74"/>
      <c r="AT20" s="74"/>
      <c r="AU20" s="74"/>
      <c r="AV20" s="74"/>
      <c r="AW20" s="74"/>
      <c r="AX20" s="74"/>
      <c r="AY20" s="74"/>
      <c r="AZ20" s="726"/>
      <c r="BA20" s="726"/>
    </row>
    <row r="21" spans="1:53">
      <c r="A21" s="78"/>
      <c r="B21" s="50" t="s">
        <v>623</v>
      </c>
      <c r="E21" s="277"/>
      <c r="F21" s="278"/>
      <c r="G21" s="278"/>
      <c r="H21" s="326"/>
      <c r="I21" s="326"/>
      <c r="J21" s="326"/>
      <c r="K21" s="326"/>
      <c r="L21" s="326"/>
      <c r="M21" s="326"/>
      <c r="N21" s="224"/>
      <c r="O21" s="582"/>
      <c r="P21" s="582"/>
      <c r="Q21" s="582"/>
      <c r="R21" s="582"/>
      <c r="S21" s="582"/>
      <c r="T21" s="582"/>
      <c r="U21" s="582"/>
      <c r="V21" s="582"/>
      <c r="W21" s="582"/>
      <c r="X21" s="582"/>
      <c r="Y21" s="582"/>
      <c r="Z21" s="582"/>
      <c r="AA21" s="211"/>
      <c r="AB21" s="582"/>
      <c r="AC21" s="582"/>
      <c r="AD21" s="582"/>
      <c r="AE21" s="582"/>
      <c r="AF21" s="582"/>
      <c r="AG21" s="582"/>
      <c r="AH21" s="582"/>
      <c r="AI21" s="582"/>
      <c r="AJ21" s="582"/>
      <c r="AK21" s="582"/>
      <c r="AL21" s="582"/>
      <c r="AM21" s="582"/>
      <c r="AN21" s="211"/>
      <c r="AO21" s="582"/>
      <c r="AP21" s="582"/>
      <c r="AQ21" s="74"/>
      <c r="AR21" s="74"/>
      <c r="AS21" s="74"/>
      <c r="AT21" s="74"/>
      <c r="AU21" s="74"/>
      <c r="AV21" s="74"/>
      <c r="AW21" s="74"/>
      <c r="AX21" s="74"/>
      <c r="AY21" s="74"/>
      <c r="AZ21" s="726"/>
      <c r="BA21" s="726"/>
    </row>
    <row r="22" spans="1:53">
      <c r="A22" s="268">
        <v>913.11</v>
      </c>
      <c r="B22" t="s">
        <v>624</v>
      </c>
      <c r="E22" s="277"/>
      <c r="F22" s="278"/>
      <c r="G22" s="278"/>
      <c r="H22" s="325"/>
      <c r="I22" s="325"/>
      <c r="J22" s="325"/>
      <c r="K22" s="325"/>
      <c r="L22" s="325"/>
      <c r="M22" s="325"/>
      <c r="N22" s="224">
        <f>SUM(E22:M22)</f>
        <v>0</v>
      </c>
      <c r="O22" s="581">
        <v>5.5141338399999993E-3</v>
      </c>
      <c r="P22" s="581">
        <v>4.8920220799999999E-3</v>
      </c>
      <c r="Q22" s="581">
        <v>1.8268517840000005E-2</v>
      </c>
      <c r="R22" s="581">
        <v>7.2580732799999992E-3</v>
      </c>
      <c r="S22" s="581">
        <v>7.2461911999999983E-3</v>
      </c>
      <c r="T22" s="581">
        <v>2.8680528000000004E-2</v>
      </c>
      <c r="U22" s="581">
        <v>7.3259708799999993E-3</v>
      </c>
      <c r="V22" s="581">
        <v>7.2580732799999992E-3</v>
      </c>
      <c r="W22" s="581">
        <v>1.8924578400000003E-2</v>
      </c>
      <c r="X22" s="581">
        <v>8.6873177600000004E-3</v>
      </c>
      <c r="Y22" s="581">
        <v>7.1978141599999988E-3</v>
      </c>
      <c r="Z22" s="581">
        <v>2.1451802800000003E-2</v>
      </c>
      <c r="AA22" s="211">
        <f>SUM(O22:Z22)</f>
        <v>0.14270502352000003</v>
      </c>
      <c r="AB22" s="581">
        <v>6.3895025870999997E-3</v>
      </c>
      <c r="AC22" s="581">
        <v>5.6686305851999996E-3</v>
      </c>
      <c r="AD22" s="581">
        <v>1.8387645047099999E-2</v>
      </c>
      <c r="AE22" s="581">
        <v>5.6292924131999995E-3</v>
      </c>
      <c r="AF22" s="581">
        <v>5.6155240529999996E-3</v>
      </c>
      <c r="AG22" s="581">
        <v>2.97775619766E-2</v>
      </c>
      <c r="AH22" s="581">
        <v>5.7079687572000005E-3</v>
      </c>
      <c r="AI22" s="581">
        <v>5.6292924131999995E-3</v>
      </c>
      <c r="AJ22" s="581">
        <v>1.9147855221000001E-2</v>
      </c>
      <c r="AK22" s="581">
        <v>7.2854294544000006E-3</v>
      </c>
      <c r="AL22" s="581">
        <v>5.5594671578999997E-3</v>
      </c>
      <c r="AM22" s="581">
        <v>2.8547260294499999E-2</v>
      </c>
      <c r="AN22" s="211">
        <f t="shared" si="7"/>
        <v>0.14334542996040001</v>
      </c>
      <c r="AO22" s="581">
        <v>0.14764579285921201</v>
      </c>
      <c r="AP22" s="581">
        <v>0.15059870871639627</v>
      </c>
      <c r="AQ22" s="74">
        <f t="shared" ref="AQ22:AY22" si="9">AP22*(1+$D$3)</f>
        <v>0.15511666997788817</v>
      </c>
      <c r="AR22" s="74">
        <f t="shared" si="9"/>
        <v>0.15977017007722483</v>
      </c>
      <c r="AS22" s="74">
        <f t="shared" si="9"/>
        <v>0.16456327517954158</v>
      </c>
      <c r="AT22" s="74">
        <f t="shared" si="9"/>
        <v>0.16950017343492785</v>
      </c>
      <c r="AU22" s="74">
        <f t="shared" si="9"/>
        <v>0.17458517863797568</v>
      </c>
      <c r="AV22" s="74">
        <f t="shared" si="9"/>
        <v>0.17982273399711496</v>
      </c>
      <c r="AW22" s="74">
        <f t="shared" si="9"/>
        <v>0.1852174160170284</v>
      </c>
      <c r="AX22" s="74">
        <f t="shared" si="9"/>
        <v>0.19077393849753926</v>
      </c>
      <c r="AY22" s="74">
        <f t="shared" si="9"/>
        <v>0.19649715665246545</v>
      </c>
      <c r="AZ22" s="726"/>
      <c r="BA22" s="726"/>
    </row>
    <row r="23" spans="1:53">
      <c r="A23" s="78"/>
      <c r="B23"/>
      <c r="E23" s="277"/>
      <c r="F23" s="278"/>
      <c r="G23" s="278"/>
      <c r="H23" s="326"/>
      <c r="I23" s="326"/>
      <c r="J23" s="326"/>
      <c r="K23" s="326"/>
      <c r="L23" s="326"/>
      <c r="M23" s="326"/>
      <c r="N23" s="224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211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211"/>
      <c r="AO23" s="582"/>
      <c r="AP23" s="582"/>
      <c r="AQ23" s="74"/>
      <c r="AR23" s="74"/>
      <c r="AS23" s="74"/>
      <c r="AT23" s="74"/>
      <c r="AU23" s="74"/>
      <c r="AV23" s="74"/>
      <c r="AW23" s="74"/>
      <c r="AX23" s="74"/>
      <c r="AY23" s="74"/>
      <c r="AZ23" s="726"/>
      <c r="BA23" s="726"/>
    </row>
    <row r="24" spans="1:53">
      <c r="A24" s="78"/>
      <c r="B24" s="265" t="s">
        <v>625</v>
      </c>
      <c r="E24" s="277"/>
      <c r="F24" s="278"/>
      <c r="G24" s="278"/>
      <c r="H24" s="326"/>
      <c r="I24" s="326"/>
      <c r="J24" s="326"/>
      <c r="K24" s="326"/>
      <c r="L24" s="326"/>
      <c r="M24" s="326"/>
      <c r="N24" s="224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211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211"/>
      <c r="AO24" s="582"/>
      <c r="AP24" s="582"/>
      <c r="AQ24" s="74"/>
      <c r="AR24" s="74"/>
      <c r="AS24" s="74"/>
      <c r="AT24" s="74"/>
      <c r="AU24" s="74"/>
      <c r="AV24" s="74"/>
      <c r="AW24" s="74"/>
      <c r="AX24" s="74"/>
      <c r="AY24" s="74"/>
      <c r="AZ24" s="726"/>
      <c r="BA24" s="726"/>
    </row>
    <row r="25" spans="1:53">
      <c r="A25" s="268">
        <v>409.2</v>
      </c>
      <c r="B25" t="s">
        <v>873</v>
      </c>
      <c r="E25" s="277"/>
      <c r="F25" s="278"/>
      <c r="G25" s="278"/>
      <c r="H25" s="326"/>
      <c r="I25" s="326"/>
      <c r="J25" s="326"/>
      <c r="K25" s="326"/>
      <c r="L25" s="326"/>
      <c r="M25" s="326"/>
      <c r="N25" s="224"/>
      <c r="O25" s="581">
        <v>0</v>
      </c>
      <c r="P25" s="581">
        <v>0</v>
      </c>
      <c r="Q25" s="581">
        <v>0</v>
      </c>
      <c r="R25" s="581">
        <v>0</v>
      </c>
      <c r="S25" s="581">
        <v>0</v>
      </c>
      <c r="T25" s="581">
        <v>0</v>
      </c>
      <c r="U25" s="581">
        <v>0</v>
      </c>
      <c r="V25" s="581">
        <v>0</v>
      </c>
      <c r="W25" s="581">
        <v>0</v>
      </c>
      <c r="X25" s="581">
        <v>0</v>
      </c>
      <c r="Y25" s="581">
        <v>0</v>
      </c>
      <c r="Z25" s="581">
        <v>0</v>
      </c>
      <c r="AA25" s="211">
        <f t="shared" ref="AA25:AA36" si="10">SUM(O25:Z25)</f>
        <v>0</v>
      </c>
      <c r="AB25" s="581">
        <v>0</v>
      </c>
      <c r="AC25" s="581">
        <v>0</v>
      </c>
      <c r="AD25" s="581">
        <v>0</v>
      </c>
      <c r="AE25" s="581">
        <v>0</v>
      </c>
      <c r="AF25" s="581">
        <v>0</v>
      </c>
      <c r="AG25" s="581">
        <v>0</v>
      </c>
      <c r="AH25" s="581">
        <v>0</v>
      </c>
      <c r="AI25" s="581">
        <v>0</v>
      </c>
      <c r="AJ25" s="581">
        <v>0</v>
      </c>
      <c r="AK25" s="581">
        <v>0</v>
      </c>
      <c r="AL25" s="581">
        <v>0</v>
      </c>
      <c r="AM25" s="581">
        <v>0</v>
      </c>
      <c r="AN25" s="211">
        <f t="shared" si="7"/>
        <v>0</v>
      </c>
      <c r="AO25" s="581">
        <v>0</v>
      </c>
      <c r="AP25" s="581">
        <v>0</v>
      </c>
      <c r="AQ25" s="74">
        <f t="shared" ref="AQ25:AY25" si="11">AP25*(1+$D$3)</f>
        <v>0</v>
      </c>
      <c r="AR25" s="74">
        <f t="shared" si="11"/>
        <v>0</v>
      </c>
      <c r="AS25" s="74">
        <f t="shared" si="11"/>
        <v>0</v>
      </c>
      <c r="AT25" s="74">
        <f t="shared" si="11"/>
        <v>0</v>
      </c>
      <c r="AU25" s="74">
        <f t="shared" si="11"/>
        <v>0</v>
      </c>
      <c r="AV25" s="74">
        <f t="shared" si="11"/>
        <v>0</v>
      </c>
      <c r="AW25" s="74">
        <f t="shared" si="11"/>
        <v>0</v>
      </c>
      <c r="AX25" s="74">
        <f t="shared" si="11"/>
        <v>0</v>
      </c>
      <c r="AY25" s="74">
        <f t="shared" si="11"/>
        <v>0</v>
      </c>
      <c r="AZ25" s="726"/>
      <c r="BA25" s="726"/>
    </row>
    <row r="26" spans="1:53">
      <c r="A26" s="268" t="s">
        <v>1002</v>
      </c>
      <c r="B26" t="s">
        <v>260</v>
      </c>
      <c r="E26" s="277"/>
      <c r="F26" s="278"/>
      <c r="G26" s="278"/>
      <c r="H26" s="326"/>
      <c r="I26" s="326"/>
      <c r="J26" s="326"/>
      <c r="K26" s="326"/>
      <c r="L26" s="326"/>
      <c r="M26" s="326"/>
      <c r="N26" s="224"/>
      <c r="O26" s="581">
        <v>1.0759854000000001E-2</v>
      </c>
      <c r="P26" s="581">
        <v>5.7126540000000002E-3</v>
      </c>
      <c r="Q26" s="581">
        <v>6.1971540000000007E-3</v>
      </c>
      <c r="R26" s="581">
        <v>4.4232539999999997E-3</v>
      </c>
      <c r="S26" s="581">
        <v>3.2904540000000004E-3</v>
      </c>
      <c r="T26" s="581">
        <v>2.8727040000000002E-3</v>
      </c>
      <c r="U26" s="581">
        <v>2.3766540000000002E-3</v>
      </c>
      <c r="V26" s="581">
        <v>2.7276539999999999E-3</v>
      </c>
      <c r="W26" s="581">
        <v>2.5935540000000001E-3</v>
      </c>
      <c r="X26" s="581">
        <v>4.7094540000000009E-3</v>
      </c>
      <c r="Y26" s="581">
        <v>4.9251540000000002E-3</v>
      </c>
      <c r="Z26" s="581">
        <v>4.8822539999999999E-3</v>
      </c>
      <c r="AA26" s="211">
        <f t="shared" si="10"/>
        <v>5.5470798000000009E-2</v>
      </c>
      <c r="AB26" s="581">
        <v>1.0759854000000001E-2</v>
      </c>
      <c r="AC26" s="581">
        <v>5.7126540000000002E-3</v>
      </c>
      <c r="AD26" s="581">
        <v>6.1971540000000007E-3</v>
      </c>
      <c r="AE26" s="581">
        <v>4.4232539999999997E-3</v>
      </c>
      <c r="AF26" s="581">
        <v>3.2904540000000004E-3</v>
      </c>
      <c r="AG26" s="581">
        <v>2.8727040000000002E-3</v>
      </c>
      <c r="AH26" s="581">
        <v>2.3766540000000002E-3</v>
      </c>
      <c r="AI26" s="581">
        <v>2.7276539999999999E-3</v>
      </c>
      <c r="AJ26" s="581">
        <v>2.5935540000000001E-3</v>
      </c>
      <c r="AK26" s="581">
        <v>4.7094540000000009E-3</v>
      </c>
      <c r="AL26" s="581">
        <v>4.9251540000000002E-3</v>
      </c>
      <c r="AM26" s="581">
        <v>4.8822539999999999E-3</v>
      </c>
      <c r="AN26" s="211">
        <f t="shared" si="7"/>
        <v>5.5470798000000009E-2</v>
      </c>
      <c r="AO26" s="581">
        <v>5.999989800000001E-2</v>
      </c>
      <c r="AP26" s="581">
        <v>5.999989800000001E-2</v>
      </c>
      <c r="AQ26" s="74">
        <f t="shared" ref="AQ26:AY26" si="12">AP26*(1+$D$3)</f>
        <v>6.1799894940000009E-2</v>
      </c>
      <c r="AR26" s="74">
        <f t="shared" si="12"/>
        <v>6.3653891788200009E-2</v>
      </c>
      <c r="AS26" s="74">
        <f t="shared" si="12"/>
        <v>6.5563508541846005E-2</v>
      </c>
      <c r="AT26" s="74">
        <f t="shared" si="12"/>
        <v>6.7530413798101388E-2</v>
      </c>
      <c r="AU26" s="74">
        <f t="shared" si="12"/>
        <v>6.9556326212044425E-2</v>
      </c>
      <c r="AV26" s="74">
        <f t="shared" si="12"/>
        <v>7.1643015998405765E-2</v>
      </c>
      <c r="AW26" s="74">
        <f t="shared" si="12"/>
        <v>7.3792306478357939E-2</v>
      </c>
      <c r="AX26" s="74">
        <f t="shared" si="12"/>
        <v>7.6006075672708673E-2</v>
      </c>
      <c r="AY26" s="74">
        <f t="shared" si="12"/>
        <v>7.8286257942889931E-2</v>
      </c>
      <c r="AZ26" s="726"/>
      <c r="BA26" s="726"/>
    </row>
    <row r="27" spans="1:53">
      <c r="A27" s="268" t="s">
        <v>1003</v>
      </c>
      <c r="B27" t="s">
        <v>874</v>
      </c>
      <c r="E27" s="277"/>
      <c r="F27" s="278"/>
      <c r="G27" s="278"/>
      <c r="H27" s="326"/>
      <c r="I27" s="326"/>
      <c r="J27" s="326"/>
      <c r="K27" s="326"/>
      <c r="L27" s="326"/>
      <c r="M27" s="326"/>
      <c r="N27" s="224"/>
      <c r="O27" s="581">
        <v>1.0299491999999997E-3</v>
      </c>
      <c r="P27" s="581">
        <v>6.4111319999999997E-4</v>
      </c>
      <c r="Q27" s="581">
        <v>7.0411319999999999E-4</v>
      </c>
      <c r="R27" s="581">
        <v>9.8257320000000011E-4</v>
      </c>
      <c r="S27" s="581">
        <v>6.3783719999999989E-4</v>
      </c>
      <c r="T27" s="581">
        <v>2.0869909200000002E-2</v>
      </c>
      <c r="U27" s="581">
        <v>9.6795719999999994E-4</v>
      </c>
      <c r="V27" s="581">
        <v>6.2145719999999992E-4</v>
      </c>
      <c r="W27" s="581">
        <v>7.2754920000000004E-4</v>
      </c>
      <c r="X27" s="581">
        <v>9.7501320000000001E-4</v>
      </c>
      <c r="Y27" s="581">
        <v>6.2120519999999985E-4</v>
      </c>
      <c r="Z27" s="581">
        <v>6.2120519999999985E-4</v>
      </c>
      <c r="AA27" s="211">
        <f t="shared" si="10"/>
        <v>2.9399882400000001E-2</v>
      </c>
      <c r="AB27" s="581">
        <v>1.1316060000000001E-3</v>
      </c>
      <c r="AC27" s="581">
        <v>7.4176199999999998E-4</v>
      </c>
      <c r="AD27" s="581">
        <v>8.0476199999999999E-4</v>
      </c>
      <c r="AE27" s="581">
        <v>1.0842299999999998E-3</v>
      </c>
      <c r="AF27" s="581">
        <v>7.3873799999999985E-4</v>
      </c>
      <c r="AG27" s="581">
        <v>2.1474558000000001E-2</v>
      </c>
      <c r="AH27" s="581">
        <v>1.0192139999999998E-3</v>
      </c>
      <c r="AI27" s="581">
        <v>6.7170599999999978E-4</v>
      </c>
      <c r="AJ27" s="581">
        <v>7.777979999999999E-4</v>
      </c>
      <c r="AK27" s="581">
        <v>1.0262699999999997E-3</v>
      </c>
      <c r="AL27" s="581">
        <v>6.7145399999999971E-4</v>
      </c>
      <c r="AM27" s="581">
        <v>6.7145399999999971E-4</v>
      </c>
      <c r="AN27" s="211">
        <f t="shared" si="7"/>
        <v>3.0813551999999998E-2</v>
      </c>
      <c r="AO27" s="581">
        <v>2.9327255999999993E-2</v>
      </c>
      <c r="AP27" s="581">
        <v>3.5565515999999998E-2</v>
      </c>
      <c r="AQ27" s="74">
        <f t="shared" ref="AQ27:AY27" si="13">AP27*(1+$D$3)</f>
        <v>3.663248148E-2</v>
      </c>
      <c r="AR27" s="74">
        <f t="shared" si="13"/>
        <v>3.7731455924399998E-2</v>
      </c>
      <c r="AS27" s="74">
        <f t="shared" si="13"/>
        <v>3.8863399602131997E-2</v>
      </c>
      <c r="AT27" s="74">
        <f t="shared" si="13"/>
        <v>4.0029301590195958E-2</v>
      </c>
      <c r="AU27" s="74">
        <f t="shared" si="13"/>
        <v>4.1230180637901841E-2</v>
      </c>
      <c r="AV27" s="74">
        <f t="shared" si="13"/>
        <v>4.2467086057038896E-2</v>
      </c>
      <c r="AW27" s="74">
        <f t="shared" si="13"/>
        <v>4.3741098638750066E-2</v>
      </c>
      <c r="AX27" s="74">
        <f t="shared" si="13"/>
        <v>4.5053331597912569E-2</v>
      </c>
      <c r="AY27" s="74">
        <f t="shared" si="13"/>
        <v>4.6404931545849945E-2</v>
      </c>
      <c r="AZ27" s="726"/>
      <c r="BA27" s="726"/>
    </row>
    <row r="28" spans="1:53">
      <c r="A28" s="268" t="s">
        <v>884</v>
      </c>
      <c r="B28" t="s">
        <v>446</v>
      </c>
      <c r="E28" s="277"/>
      <c r="F28" s="278"/>
      <c r="G28" s="278"/>
      <c r="H28" s="326"/>
      <c r="I28" s="326"/>
      <c r="J28" s="326"/>
      <c r="K28" s="326"/>
      <c r="L28" s="326"/>
      <c r="M28" s="326"/>
      <c r="N28" s="224"/>
      <c r="O28" s="581">
        <v>0</v>
      </c>
      <c r="P28" s="581">
        <v>0</v>
      </c>
      <c r="Q28" s="581">
        <v>0</v>
      </c>
      <c r="R28" s="581">
        <v>0</v>
      </c>
      <c r="S28" s="581">
        <v>0</v>
      </c>
      <c r="T28" s="581">
        <v>0</v>
      </c>
      <c r="U28" s="581">
        <v>0</v>
      </c>
      <c r="V28" s="581">
        <v>0</v>
      </c>
      <c r="W28" s="581">
        <v>0</v>
      </c>
      <c r="X28" s="581">
        <v>0</v>
      </c>
      <c r="Y28" s="581">
        <v>0</v>
      </c>
      <c r="Z28" s="581">
        <v>0</v>
      </c>
      <c r="AA28" s="211">
        <f t="shared" si="10"/>
        <v>0</v>
      </c>
      <c r="AB28" s="581">
        <v>0</v>
      </c>
      <c r="AC28" s="581">
        <v>0</v>
      </c>
      <c r="AD28" s="581">
        <v>0</v>
      </c>
      <c r="AE28" s="581">
        <v>0</v>
      </c>
      <c r="AF28" s="581">
        <v>0</v>
      </c>
      <c r="AG28" s="581">
        <v>0</v>
      </c>
      <c r="AH28" s="581">
        <v>0</v>
      </c>
      <c r="AI28" s="581">
        <v>0</v>
      </c>
      <c r="AJ28" s="581">
        <v>0</v>
      </c>
      <c r="AK28" s="581">
        <v>0</v>
      </c>
      <c r="AL28" s="581">
        <v>0</v>
      </c>
      <c r="AM28" s="581">
        <v>0</v>
      </c>
      <c r="AN28" s="211">
        <f t="shared" si="7"/>
        <v>0</v>
      </c>
      <c r="AO28" s="581">
        <v>0</v>
      </c>
      <c r="AP28" s="581">
        <v>0</v>
      </c>
      <c r="AQ28" s="74">
        <f t="shared" ref="AQ28:AY28" si="14">AP28*(1+$D$3)</f>
        <v>0</v>
      </c>
      <c r="AR28" s="74">
        <f t="shared" si="14"/>
        <v>0</v>
      </c>
      <c r="AS28" s="74">
        <f t="shared" si="14"/>
        <v>0</v>
      </c>
      <c r="AT28" s="74">
        <f t="shared" si="14"/>
        <v>0</v>
      </c>
      <c r="AU28" s="74">
        <f t="shared" si="14"/>
        <v>0</v>
      </c>
      <c r="AV28" s="74">
        <f t="shared" si="14"/>
        <v>0</v>
      </c>
      <c r="AW28" s="74">
        <f t="shared" si="14"/>
        <v>0</v>
      </c>
      <c r="AX28" s="74">
        <f t="shared" si="14"/>
        <v>0</v>
      </c>
      <c r="AY28" s="74">
        <f t="shared" si="14"/>
        <v>0</v>
      </c>
      <c r="AZ28" s="726"/>
      <c r="BA28" s="726"/>
    </row>
    <row r="29" spans="1:53">
      <c r="A29" s="268" t="s">
        <v>44</v>
      </c>
      <c r="B29" t="s">
        <v>875</v>
      </c>
      <c r="E29" s="277"/>
      <c r="F29" s="278"/>
      <c r="G29" s="278"/>
      <c r="H29" s="326"/>
      <c r="I29" s="326"/>
      <c r="J29" s="326"/>
      <c r="K29" s="326"/>
      <c r="L29" s="326"/>
      <c r="M29" s="326"/>
      <c r="N29" s="224"/>
      <c r="O29" s="581">
        <v>0</v>
      </c>
      <c r="P29" s="581">
        <v>0</v>
      </c>
      <c r="Q29" s="581">
        <v>0</v>
      </c>
      <c r="R29" s="581">
        <v>0</v>
      </c>
      <c r="S29" s="581">
        <v>0</v>
      </c>
      <c r="T29" s="581">
        <v>0</v>
      </c>
      <c r="U29" s="581">
        <v>0</v>
      </c>
      <c r="V29" s="581">
        <v>0</v>
      </c>
      <c r="W29" s="581">
        <v>0</v>
      </c>
      <c r="X29" s="581">
        <v>0</v>
      </c>
      <c r="Y29" s="581">
        <v>0</v>
      </c>
      <c r="Z29" s="581">
        <v>0</v>
      </c>
      <c r="AA29" s="211">
        <f t="shared" si="10"/>
        <v>0</v>
      </c>
      <c r="AB29" s="581">
        <v>0</v>
      </c>
      <c r="AC29" s="581">
        <v>0</v>
      </c>
      <c r="AD29" s="581">
        <v>0</v>
      </c>
      <c r="AE29" s="581">
        <v>0</v>
      </c>
      <c r="AF29" s="581">
        <v>0</v>
      </c>
      <c r="AG29" s="581">
        <v>0</v>
      </c>
      <c r="AH29" s="581">
        <v>0</v>
      </c>
      <c r="AI29" s="581">
        <v>0</v>
      </c>
      <c r="AJ29" s="581">
        <v>0</v>
      </c>
      <c r="AK29" s="581">
        <v>0</v>
      </c>
      <c r="AL29" s="581">
        <v>0</v>
      </c>
      <c r="AM29" s="581">
        <v>0</v>
      </c>
      <c r="AN29" s="211">
        <f t="shared" si="7"/>
        <v>0</v>
      </c>
      <c r="AO29" s="581">
        <v>0</v>
      </c>
      <c r="AP29" s="581">
        <v>0</v>
      </c>
      <c r="AQ29" s="74">
        <f t="shared" ref="AQ29:AY29" si="15">AP29*(1+$D$3)</f>
        <v>0</v>
      </c>
      <c r="AR29" s="74">
        <f t="shared" si="15"/>
        <v>0</v>
      </c>
      <c r="AS29" s="74">
        <f t="shared" si="15"/>
        <v>0</v>
      </c>
      <c r="AT29" s="74">
        <f t="shared" si="15"/>
        <v>0</v>
      </c>
      <c r="AU29" s="74">
        <f t="shared" si="15"/>
        <v>0</v>
      </c>
      <c r="AV29" s="74">
        <f t="shared" si="15"/>
        <v>0</v>
      </c>
      <c r="AW29" s="74">
        <f t="shared" si="15"/>
        <v>0</v>
      </c>
      <c r="AX29" s="74">
        <f t="shared" si="15"/>
        <v>0</v>
      </c>
      <c r="AY29" s="74">
        <f t="shared" si="15"/>
        <v>0</v>
      </c>
      <c r="AZ29" s="726"/>
      <c r="BA29" s="726"/>
    </row>
    <row r="30" spans="1:53">
      <c r="A30" s="268" t="s">
        <v>722</v>
      </c>
      <c r="B30" t="s">
        <v>704</v>
      </c>
      <c r="E30" s="277"/>
      <c r="F30" s="278"/>
      <c r="G30" s="278"/>
      <c r="H30" s="326"/>
      <c r="I30" s="326"/>
      <c r="J30" s="326"/>
      <c r="K30" s="326"/>
      <c r="L30" s="326"/>
      <c r="M30" s="326"/>
      <c r="N30" s="224"/>
      <c r="O30" s="581">
        <v>2.5361702100000001E-2</v>
      </c>
      <c r="P30" s="581">
        <v>1.9707152100000003E-2</v>
      </c>
      <c r="Q30" s="581">
        <v>2.4817292100000003E-2</v>
      </c>
      <c r="R30" s="581">
        <v>2.5361702100000001E-2</v>
      </c>
      <c r="S30" s="581">
        <v>1.9738202100000001E-2</v>
      </c>
      <c r="T30" s="581">
        <v>2.0401292100000003E-2</v>
      </c>
      <c r="U30" s="581">
        <v>2.6396702100000002E-2</v>
      </c>
      <c r="V30" s="581">
        <v>1.9669202100000002E-2</v>
      </c>
      <c r="W30" s="581">
        <v>2.5921292100000003E-2</v>
      </c>
      <c r="X30" s="581">
        <v>2.5361702100000001E-2</v>
      </c>
      <c r="Y30" s="581">
        <v>1.9669202100000002E-2</v>
      </c>
      <c r="Z30" s="581">
        <v>2.04040521E-2</v>
      </c>
      <c r="AA30" s="211">
        <f t="shared" si="10"/>
        <v>0.27280949520000003</v>
      </c>
      <c r="AB30" s="581">
        <v>2.5853453162999994E-2</v>
      </c>
      <c r="AC30" s="581">
        <v>2.0029266662999999E-2</v>
      </c>
      <c r="AD30" s="581">
        <v>2.5934849633999994E-2</v>
      </c>
      <c r="AE30" s="581">
        <v>2.5853453162999994E-2</v>
      </c>
      <c r="AF30" s="581">
        <v>2.0061248162999996E-2</v>
      </c>
      <c r="AG30" s="581">
        <v>2.0744230862999997E-2</v>
      </c>
      <c r="AH30" s="581">
        <v>2.6888453162999995E-2</v>
      </c>
      <c r="AI30" s="581">
        <v>1.9990178162999996E-2</v>
      </c>
      <c r="AJ30" s="581">
        <v>2.7109668715499993E-2</v>
      </c>
      <c r="AK30" s="581">
        <v>2.5853453162999994E-2</v>
      </c>
      <c r="AL30" s="581">
        <v>1.9990178162999996E-2</v>
      </c>
      <c r="AM30" s="581">
        <v>2.0747073663E-2</v>
      </c>
      <c r="AN30" s="211">
        <f t="shared" si="7"/>
        <v>0.27905550667949997</v>
      </c>
      <c r="AO30" s="581">
        <v>0.28416674937988495</v>
      </c>
      <c r="AP30" s="581">
        <v>0.22744535186128159</v>
      </c>
      <c r="AQ30" s="74">
        <f t="shared" ref="AQ30:AY30" si="16">AP30*(1+$D$3)</f>
        <v>0.23426871241712005</v>
      </c>
      <c r="AR30" s="74">
        <f t="shared" si="16"/>
        <v>0.24129677378963366</v>
      </c>
      <c r="AS30" s="74">
        <f t="shared" si="16"/>
        <v>0.24853567700332269</v>
      </c>
      <c r="AT30" s="74">
        <f t="shared" si="16"/>
        <v>0.25599174731342239</v>
      </c>
      <c r="AU30" s="74">
        <f t="shared" si="16"/>
        <v>0.26367149973282505</v>
      </c>
      <c r="AV30" s="74">
        <f t="shared" si="16"/>
        <v>0.27158164472480983</v>
      </c>
      <c r="AW30" s="74">
        <f t="shared" si="16"/>
        <v>0.27972909406655416</v>
      </c>
      <c r="AX30" s="74">
        <f t="shared" si="16"/>
        <v>0.28812096688855082</v>
      </c>
      <c r="AY30" s="74">
        <f t="shared" si="16"/>
        <v>0.29676459589520737</v>
      </c>
      <c r="AZ30" s="726"/>
      <c r="BA30" s="726"/>
    </row>
    <row r="31" spans="1:53">
      <c r="A31" s="268" t="s">
        <v>657</v>
      </c>
      <c r="B31" t="s">
        <v>876</v>
      </c>
      <c r="E31" s="277"/>
      <c r="F31" s="278"/>
      <c r="G31" s="278"/>
      <c r="H31" s="326"/>
      <c r="I31" s="326"/>
      <c r="J31" s="326"/>
      <c r="K31" s="326"/>
      <c r="L31" s="326"/>
      <c r="M31" s="326"/>
      <c r="N31" s="224"/>
      <c r="O31" s="581">
        <v>2.2901342849999992E-2</v>
      </c>
      <c r="P31" s="581">
        <v>2.686246019999999E-2</v>
      </c>
      <c r="Q31" s="581">
        <v>2.6345055149999994E-2</v>
      </c>
      <c r="R31" s="581">
        <v>2.6322436349999992E-2</v>
      </c>
      <c r="S31" s="581">
        <v>3.7711002149999999E-2</v>
      </c>
      <c r="T31" s="581">
        <v>4.3450522650000011E-2</v>
      </c>
      <c r="U31" s="581">
        <v>2.8151166329999994E-2</v>
      </c>
      <c r="V31" s="581">
        <v>2.1427728029999996E-2</v>
      </c>
      <c r="W31" s="581">
        <v>2.381853518999999E-2</v>
      </c>
      <c r="X31" s="581">
        <v>1.8541569149999996E-2</v>
      </c>
      <c r="Y31" s="581">
        <v>2.0973090149999991E-2</v>
      </c>
      <c r="Z31" s="581">
        <v>2.1377977649999991E-2</v>
      </c>
      <c r="AA31" s="211">
        <f t="shared" si="10"/>
        <v>0.31788288584999996</v>
      </c>
      <c r="AB31" s="581">
        <v>2.3129919000000002E-2</v>
      </c>
      <c r="AC31" s="581">
        <v>2.7130482000000004E-2</v>
      </c>
      <c r="AD31" s="581">
        <v>2.6607834000000004E-2</v>
      </c>
      <c r="AE31" s="581">
        <v>2.6585325000000003E-2</v>
      </c>
      <c r="AF31" s="581">
        <v>3.8087424000000002E-2</v>
      </c>
      <c r="AG31" s="581">
        <v>4.3884864000000003E-2</v>
      </c>
      <c r="AH31" s="581">
        <v>2.8431612000000002E-2</v>
      </c>
      <c r="AI31" s="581">
        <v>2.1641031000000002E-2</v>
      </c>
      <c r="AJ31" s="581">
        <v>2.4056631000000002E-2</v>
      </c>
      <c r="AK31" s="581">
        <v>1.8726389999999999E-2</v>
      </c>
      <c r="AL31" s="581">
        <v>2.1182067000000002E-2</v>
      </c>
      <c r="AM31" s="581">
        <v>2.1591071999999996E-2</v>
      </c>
      <c r="AN31" s="211">
        <f t="shared" si="7"/>
        <v>0.32105465100000002</v>
      </c>
      <c r="AO31" s="581">
        <v>0.32745873600000008</v>
      </c>
      <c r="AP31" s="581">
        <v>0.33398689500000001</v>
      </c>
      <c r="AQ31" s="74">
        <f t="shared" ref="AQ31:AY31" si="17">AP31*(1+$D$3)</f>
        <v>0.34400650185000003</v>
      </c>
      <c r="AR31" s="74">
        <f t="shared" si="17"/>
        <v>0.35432669690550006</v>
      </c>
      <c r="AS31" s="74">
        <f t="shared" si="17"/>
        <v>0.36495649781266509</v>
      </c>
      <c r="AT31" s="74">
        <f t="shared" si="17"/>
        <v>0.37590519274704504</v>
      </c>
      <c r="AU31" s="74">
        <f t="shared" si="17"/>
        <v>0.38718234852945638</v>
      </c>
      <c r="AV31" s="74">
        <f t="shared" si="17"/>
        <v>0.39879781898534006</v>
      </c>
      <c r="AW31" s="74">
        <f t="shared" si="17"/>
        <v>0.41076175355490024</v>
      </c>
      <c r="AX31" s="74">
        <f t="shared" si="17"/>
        <v>0.42308460616154725</v>
      </c>
      <c r="AY31" s="74">
        <f t="shared" si="17"/>
        <v>0.4357771443463937</v>
      </c>
      <c r="AZ31" s="726"/>
      <c r="BA31" s="726"/>
    </row>
    <row r="32" spans="1:53">
      <c r="A32" s="268" t="s">
        <v>708</v>
      </c>
      <c r="B32" t="s">
        <v>877</v>
      </c>
      <c r="E32" s="277"/>
      <c r="F32" s="278"/>
      <c r="G32" s="278"/>
      <c r="H32" s="326"/>
      <c r="I32" s="326"/>
      <c r="J32" s="326"/>
      <c r="K32" s="326"/>
      <c r="L32" s="326"/>
      <c r="M32" s="326"/>
      <c r="N32" s="224"/>
      <c r="O32" s="581">
        <v>5.6467049999999982E-4</v>
      </c>
      <c r="P32" s="581">
        <v>5.6467049999999982E-4</v>
      </c>
      <c r="Q32" s="581">
        <v>5.7823649999999983E-4</v>
      </c>
      <c r="R32" s="581">
        <v>5.8493399999999984E-4</v>
      </c>
      <c r="S32" s="581">
        <v>5.4802649999999981E-4</v>
      </c>
      <c r="T32" s="581">
        <v>5.6313149999999987E-4</v>
      </c>
      <c r="U32" s="581">
        <v>5.6313149999999987E-4</v>
      </c>
      <c r="V32" s="581">
        <v>5.4802649999999981E-4</v>
      </c>
      <c r="W32" s="581">
        <v>5.7823649999999983E-4</v>
      </c>
      <c r="X32" s="581">
        <v>5.4802649999999981E-4</v>
      </c>
      <c r="Y32" s="581">
        <v>5.4802649999999981E-4</v>
      </c>
      <c r="Z32" s="581">
        <v>5.6327399999999978E-4</v>
      </c>
      <c r="AA32" s="211">
        <f t="shared" si="10"/>
        <v>6.7523909999999982E-3</v>
      </c>
      <c r="AB32" s="581">
        <v>5.8519050000000003E-4</v>
      </c>
      <c r="AC32" s="581">
        <v>5.8519050000000003E-4</v>
      </c>
      <c r="AD32" s="581">
        <v>5.9915550000000004E-4</v>
      </c>
      <c r="AE32" s="581">
        <v>6.060525E-4</v>
      </c>
      <c r="AF32" s="581">
        <v>5.6803349999999997E-4</v>
      </c>
      <c r="AG32" s="581">
        <v>5.8359450000000006E-4</v>
      </c>
      <c r="AH32" s="581">
        <v>5.8359450000000006E-4</v>
      </c>
      <c r="AI32" s="581">
        <v>5.6803349999999997E-4</v>
      </c>
      <c r="AJ32" s="581">
        <v>5.9915550000000004E-4</v>
      </c>
      <c r="AK32" s="581">
        <v>5.6803349999999997E-4</v>
      </c>
      <c r="AL32" s="581">
        <v>5.6803349999999997E-4</v>
      </c>
      <c r="AM32" s="581">
        <v>5.8373699999999997E-4</v>
      </c>
      <c r="AN32" s="211">
        <f t="shared" si="7"/>
        <v>6.9978044999999996E-3</v>
      </c>
      <c r="AO32" s="581">
        <v>7.2490604999999987E-3</v>
      </c>
      <c r="AP32" s="581">
        <v>7.4927355000000001E-3</v>
      </c>
      <c r="AQ32" s="74">
        <f t="shared" ref="AQ32:AY33" si="18">AP32*(1+$D$3)</f>
        <v>7.717517565E-3</v>
      </c>
      <c r="AR32" s="74">
        <f t="shared" si="18"/>
        <v>7.9490430919500008E-3</v>
      </c>
      <c r="AS32" s="74">
        <f t="shared" si="18"/>
        <v>8.1875143847085011E-3</v>
      </c>
      <c r="AT32" s="74">
        <f t="shared" si="18"/>
        <v>8.4331398162497562E-3</v>
      </c>
      <c r="AU32" s="74">
        <f t="shared" si="18"/>
        <v>8.6861340107372495E-3</v>
      </c>
      <c r="AV32" s="74">
        <f t="shared" si="18"/>
        <v>8.946718031059368E-3</v>
      </c>
      <c r="AW32" s="74">
        <f t="shared" si="18"/>
        <v>9.2151195719911497E-3</v>
      </c>
      <c r="AX32" s="74">
        <f t="shared" si="18"/>
        <v>9.4915731591508849E-3</v>
      </c>
      <c r="AY32" s="74">
        <f t="shared" si="18"/>
        <v>9.7763203539254113E-3</v>
      </c>
      <c r="AZ32" s="726"/>
      <c r="BA32" s="726"/>
    </row>
    <row r="33" spans="1:53">
      <c r="A33" s="268">
        <v>512.1</v>
      </c>
      <c r="B33" t="s">
        <v>890</v>
      </c>
      <c r="E33" s="277"/>
      <c r="F33" s="278"/>
      <c r="G33" s="278"/>
      <c r="H33" s="326"/>
      <c r="I33" s="326"/>
      <c r="J33" s="326"/>
      <c r="K33" s="326"/>
      <c r="L33" s="326"/>
      <c r="M33" s="326"/>
      <c r="N33" s="224"/>
      <c r="O33" s="581">
        <v>0</v>
      </c>
      <c r="P33" s="581">
        <v>0</v>
      </c>
      <c r="Q33" s="581">
        <v>0</v>
      </c>
      <c r="R33" s="581">
        <v>0</v>
      </c>
      <c r="S33" s="581">
        <v>0</v>
      </c>
      <c r="T33" s="581">
        <v>0</v>
      </c>
      <c r="U33" s="581">
        <v>0</v>
      </c>
      <c r="V33" s="581">
        <v>0</v>
      </c>
      <c r="W33" s="581">
        <v>0</v>
      </c>
      <c r="X33" s="581">
        <v>0</v>
      </c>
      <c r="Y33" s="581">
        <v>0</v>
      </c>
      <c r="Z33" s="581">
        <v>0</v>
      </c>
      <c r="AA33" s="211">
        <f t="shared" si="10"/>
        <v>0</v>
      </c>
      <c r="AB33" s="581">
        <v>0</v>
      </c>
      <c r="AC33" s="581">
        <v>0</v>
      </c>
      <c r="AD33" s="581">
        <v>0</v>
      </c>
      <c r="AE33" s="581">
        <v>0</v>
      </c>
      <c r="AF33" s="581">
        <v>0</v>
      </c>
      <c r="AG33" s="581">
        <v>0</v>
      </c>
      <c r="AH33" s="581">
        <v>0</v>
      </c>
      <c r="AI33" s="581">
        <v>0</v>
      </c>
      <c r="AJ33" s="581">
        <v>0</v>
      </c>
      <c r="AK33" s="581">
        <v>0</v>
      </c>
      <c r="AL33" s="581">
        <v>0</v>
      </c>
      <c r="AM33" s="581">
        <v>0</v>
      </c>
      <c r="AN33" s="211">
        <f t="shared" si="7"/>
        <v>0</v>
      </c>
      <c r="AO33" s="581">
        <v>0</v>
      </c>
      <c r="AP33" s="581">
        <v>0</v>
      </c>
      <c r="AQ33" s="74">
        <f t="shared" si="18"/>
        <v>0</v>
      </c>
      <c r="AR33" s="74">
        <f t="shared" si="18"/>
        <v>0</v>
      </c>
      <c r="AS33" s="74">
        <f t="shared" si="18"/>
        <v>0</v>
      </c>
      <c r="AT33" s="74">
        <f t="shared" si="18"/>
        <v>0</v>
      </c>
      <c r="AU33" s="74">
        <f t="shared" si="18"/>
        <v>0</v>
      </c>
      <c r="AV33" s="74">
        <f t="shared" si="18"/>
        <v>0</v>
      </c>
      <c r="AW33" s="74">
        <f t="shared" si="18"/>
        <v>0</v>
      </c>
      <c r="AX33" s="74">
        <f t="shared" si="18"/>
        <v>0</v>
      </c>
      <c r="AY33" s="74">
        <f t="shared" si="18"/>
        <v>0</v>
      </c>
      <c r="AZ33" s="726"/>
      <c r="BA33" s="726"/>
    </row>
    <row r="34" spans="1:53">
      <c r="A34" s="268" t="s">
        <v>82</v>
      </c>
      <c r="B34" t="s">
        <v>967</v>
      </c>
      <c r="E34" s="277"/>
      <c r="F34" s="278"/>
      <c r="G34" s="278"/>
      <c r="H34" s="326"/>
      <c r="I34" s="326"/>
      <c r="J34" s="326"/>
      <c r="K34" s="326"/>
      <c r="L34" s="326"/>
      <c r="M34" s="326"/>
      <c r="N34" s="224"/>
      <c r="O34" s="581">
        <v>7.5289400000000015E-4</v>
      </c>
      <c r="P34" s="581">
        <v>7.5289400000000015E-4</v>
      </c>
      <c r="Q34" s="581">
        <v>7.7098200000000013E-4</v>
      </c>
      <c r="R34" s="581">
        <v>7.7991200000000012E-4</v>
      </c>
      <c r="S34" s="581">
        <v>7.3070200000000007E-4</v>
      </c>
      <c r="T34" s="581">
        <v>7.5084200000000005E-4</v>
      </c>
      <c r="U34" s="581">
        <v>7.5084200000000005E-4</v>
      </c>
      <c r="V34" s="581">
        <v>7.3070200000000007E-4</v>
      </c>
      <c r="W34" s="581">
        <v>7.7098200000000013E-4</v>
      </c>
      <c r="X34" s="581">
        <v>7.3070200000000007E-4</v>
      </c>
      <c r="Y34" s="581">
        <v>7.3070200000000007E-4</v>
      </c>
      <c r="Z34" s="581">
        <v>7.51032E-4</v>
      </c>
      <c r="AA34" s="211">
        <f t="shared" si="10"/>
        <v>9.0031880000000005E-3</v>
      </c>
      <c r="AB34" s="581">
        <v>7.802540000000003E-4</v>
      </c>
      <c r="AC34" s="581">
        <v>7.802540000000003E-4</v>
      </c>
      <c r="AD34" s="581">
        <v>7.9887400000000042E-4</v>
      </c>
      <c r="AE34" s="581">
        <v>8.0807000000000025E-4</v>
      </c>
      <c r="AF34" s="581">
        <v>7.5737800000000028E-4</v>
      </c>
      <c r="AG34" s="581">
        <v>7.7812600000000029E-4</v>
      </c>
      <c r="AH34" s="581">
        <v>7.7812600000000029E-4</v>
      </c>
      <c r="AI34" s="581">
        <v>7.5737800000000028E-4</v>
      </c>
      <c r="AJ34" s="581">
        <v>7.9887400000000042E-4</v>
      </c>
      <c r="AK34" s="581">
        <v>7.5737800000000028E-4</v>
      </c>
      <c r="AL34" s="581">
        <v>7.5737800000000028E-4</v>
      </c>
      <c r="AM34" s="581">
        <v>7.7831600000000036E-4</v>
      </c>
      <c r="AN34" s="211">
        <f t="shared" si="7"/>
        <v>9.3304060000000046E-3</v>
      </c>
      <c r="AO34" s="581">
        <v>9.6654139999999989E-3</v>
      </c>
      <c r="AP34" s="581">
        <v>9.9903140000000019E-3</v>
      </c>
      <c r="AQ34" s="74">
        <f t="shared" ref="AQ34:AY34" si="19">AP34*(1+$D$3)</f>
        <v>1.0290023420000002E-2</v>
      </c>
      <c r="AR34" s="74">
        <f t="shared" si="19"/>
        <v>1.0598724122600003E-2</v>
      </c>
      <c r="AS34" s="74">
        <f t="shared" si="19"/>
        <v>1.0916685846278003E-2</v>
      </c>
      <c r="AT34" s="74">
        <f t="shared" si="19"/>
        <v>1.1244186421666344E-2</v>
      </c>
      <c r="AU34" s="74">
        <f t="shared" si="19"/>
        <v>1.1581512014316335E-2</v>
      </c>
      <c r="AV34" s="74">
        <f t="shared" si="19"/>
        <v>1.1928957374745825E-2</v>
      </c>
      <c r="AW34" s="74">
        <f t="shared" si="19"/>
        <v>1.2286826095988201E-2</v>
      </c>
      <c r="AX34" s="74">
        <f t="shared" si="19"/>
        <v>1.2655430878867847E-2</v>
      </c>
      <c r="AY34" s="74">
        <f t="shared" si="19"/>
        <v>1.3035093805233882E-2</v>
      </c>
      <c r="AZ34" s="726"/>
      <c r="BA34" s="726"/>
    </row>
    <row r="35" spans="1:53">
      <c r="A35" s="268" t="s">
        <v>546</v>
      </c>
      <c r="B35" t="s">
        <v>547</v>
      </c>
      <c r="E35" s="277"/>
      <c r="F35" s="278"/>
      <c r="G35" s="278"/>
      <c r="H35" s="326"/>
      <c r="I35" s="326"/>
      <c r="J35" s="326"/>
      <c r="K35" s="326"/>
      <c r="L35" s="326"/>
      <c r="M35" s="326"/>
      <c r="N35" s="224"/>
      <c r="O35" s="581">
        <v>5.1399589878130009E-2</v>
      </c>
      <c r="P35" s="581">
        <v>4.4157982557988001E-2</v>
      </c>
      <c r="Q35" s="581">
        <v>8.0524487157166008E-2</v>
      </c>
      <c r="R35" s="581">
        <v>4.7117602226838001E-2</v>
      </c>
      <c r="S35" s="581">
        <v>5.7991152479130004E-2</v>
      </c>
      <c r="T35" s="581">
        <v>0.128219558167943</v>
      </c>
      <c r="U35" s="581">
        <v>4.9020850699550998E-2</v>
      </c>
      <c r="V35" s="581">
        <v>4.8298425194189185E-2</v>
      </c>
      <c r="W35" s="581">
        <v>4.4455361569199006E-2</v>
      </c>
      <c r="X35" s="581">
        <v>4.9070233868876996E-2</v>
      </c>
      <c r="Y35" s="581">
        <v>3.7542157248448997E-2</v>
      </c>
      <c r="Z35" s="581">
        <v>3.9558747801124991E-2</v>
      </c>
      <c r="AA35" s="211">
        <f t="shared" si="10"/>
        <v>0.67735614884858519</v>
      </c>
      <c r="AB35" s="581">
        <v>4.8022762814207996E-2</v>
      </c>
      <c r="AC35" s="581">
        <v>4.2489283786555004E-2</v>
      </c>
      <c r="AD35" s="581">
        <v>7.7680398827141992E-2</v>
      </c>
      <c r="AE35" s="581">
        <v>5.0537958601589002E-2</v>
      </c>
      <c r="AF35" s="581">
        <v>5.5718487624033003E-2</v>
      </c>
      <c r="AG35" s="581">
        <v>0.12430983942383697</v>
      </c>
      <c r="AH35" s="581">
        <v>4.56827308607516E-2</v>
      </c>
      <c r="AI35" s="581">
        <v>4.4541101206142603E-2</v>
      </c>
      <c r="AJ35" s="581">
        <v>4.6001229873736199E-2</v>
      </c>
      <c r="AK35" s="581">
        <v>4.7057669397136598E-2</v>
      </c>
      <c r="AL35" s="581">
        <v>3.7848327885846404E-2</v>
      </c>
      <c r="AM35" s="581">
        <v>3.9264173393212198E-2</v>
      </c>
      <c r="AN35" s="211">
        <f t="shared" si="7"/>
        <v>0.65915396369418966</v>
      </c>
      <c r="AO35" s="581">
        <v>0.6522868148780735</v>
      </c>
      <c r="AP35" s="581">
        <v>0.71427911455819526</v>
      </c>
      <c r="AQ35" s="74">
        <f t="shared" ref="AQ35:AY35" si="20">AP35*(1+$D$3)</f>
        <v>0.73570748799494112</v>
      </c>
      <c r="AR35" s="74">
        <f t="shared" si="20"/>
        <v>0.75777871263478935</v>
      </c>
      <c r="AS35" s="74">
        <f t="shared" si="20"/>
        <v>0.78051207401383305</v>
      </c>
      <c r="AT35" s="74">
        <f t="shared" si="20"/>
        <v>0.80392743623424801</v>
      </c>
      <c r="AU35" s="74">
        <f t="shared" si="20"/>
        <v>0.82804525932127548</v>
      </c>
      <c r="AV35" s="74">
        <f t="shared" si="20"/>
        <v>0.85288661710091374</v>
      </c>
      <c r="AW35" s="74">
        <f t="shared" si="20"/>
        <v>0.87847321561394121</v>
      </c>
      <c r="AX35" s="74">
        <f t="shared" si="20"/>
        <v>0.90482741208235951</v>
      </c>
      <c r="AY35" s="74">
        <f t="shared" si="20"/>
        <v>0.93197223444483035</v>
      </c>
      <c r="AZ35" s="726"/>
      <c r="BA35" s="726"/>
    </row>
    <row r="36" spans="1:53">
      <c r="A36" s="268" t="s">
        <v>647</v>
      </c>
      <c r="B36" t="s">
        <v>648</v>
      </c>
      <c r="E36" s="277"/>
      <c r="F36" s="278"/>
      <c r="G36" s="278"/>
      <c r="H36" s="326"/>
      <c r="I36" s="326"/>
      <c r="J36" s="326"/>
      <c r="K36" s="326"/>
      <c r="L36" s="326"/>
      <c r="M36" s="326"/>
      <c r="N36" s="224"/>
      <c r="O36" s="581">
        <v>2.8827750000000002E-3</v>
      </c>
      <c r="P36" s="581">
        <v>2.818175E-3</v>
      </c>
      <c r="Q36" s="581">
        <v>2.8787375000000003E-3</v>
      </c>
      <c r="R36" s="581">
        <v>4.7965500000000001E-3</v>
      </c>
      <c r="S36" s="581">
        <v>3.3470875000000001E-3</v>
      </c>
      <c r="T36" s="581">
        <v>4.8207750000000002E-3</v>
      </c>
      <c r="U36" s="581">
        <v>3.4641750000000003E-3</v>
      </c>
      <c r="V36" s="581">
        <v>3.3470875000000001E-3</v>
      </c>
      <c r="W36" s="581">
        <v>3.3834250000000002E-3</v>
      </c>
      <c r="X36" s="581">
        <v>3.4157250000000001E-3</v>
      </c>
      <c r="Y36" s="581">
        <v>3.1411750000000004E-3</v>
      </c>
      <c r="Z36" s="581">
        <v>2.818175E-3</v>
      </c>
      <c r="AA36" s="211">
        <f t="shared" si="10"/>
        <v>4.1113862500000008E-2</v>
      </c>
      <c r="AB36" s="581">
        <v>2.9796750000000002E-3</v>
      </c>
      <c r="AC36" s="581">
        <v>2.9150750000000005E-3</v>
      </c>
      <c r="AD36" s="581">
        <v>3.1694374999999999E-3</v>
      </c>
      <c r="AE36" s="581">
        <v>3.2784500000000005E-3</v>
      </c>
      <c r="AF36" s="581">
        <v>3.4520624999999998E-3</v>
      </c>
      <c r="AG36" s="581">
        <v>3.3026750000000001E-3</v>
      </c>
      <c r="AH36" s="581">
        <v>3.3026750000000001E-3</v>
      </c>
      <c r="AI36" s="581">
        <v>2.9756375000000003E-3</v>
      </c>
      <c r="AJ36" s="581">
        <v>3.1088750000000001E-3</v>
      </c>
      <c r="AK36" s="581">
        <v>3.3995750000000002E-3</v>
      </c>
      <c r="AL36" s="581">
        <v>3.1088750000000001E-3</v>
      </c>
      <c r="AM36" s="581">
        <v>2.9150750000000005E-3</v>
      </c>
      <c r="AN36" s="211">
        <f t="shared" si="7"/>
        <v>3.7908087500000007E-2</v>
      </c>
      <c r="AO36" s="581">
        <v>3.5808587499999996E-2</v>
      </c>
      <c r="AP36" s="581">
        <v>3.9070887499999998E-2</v>
      </c>
      <c r="AQ36" s="74">
        <f t="shared" ref="AQ36:AY36" si="21">AP36*(1+$D$3)</f>
        <v>4.0243014124999997E-2</v>
      </c>
      <c r="AR36" s="74">
        <f t="shared" si="21"/>
        <v>4.1450304548749997E-2</v>
      </c>
      <c r="AS36" s="74">
        <f t="shared" si="21"/>
        <v>4.2693813685212495E-2</v>
      </c>
      <c r="AT36" s="74">
        <f t="shared" si="21"/>
        <v>4.3974628095768874E-2</v>
      </c>
      <c r="AU36" s="74">
        <f t="shared" si="21"/>
        <v>4.5293866938641944E-2</v>
      </c>
      <c r="AV36" s="74">
        <f t="shared" si="21"/>
        <v>4.6652682946801201E-2</v>
      </c>
      <c r="AW36" s="74">
        <f t="shared" si="21"/>
        <v>4.8052263435205238E-2</v>
      </c>
      <c r="AX36" s="74">
        <f t="shared" si="21"/>
        <v>4.9493831338261393E-2</v>
      </c>
      <c r="AY36" s="74">
        <f t="shared" si="21"/>
        <v>5.0978646278409236E-2</v>
      </c>
      <c r="AZ36" s="726"/>
      <c r="BA36" s="726"/>
    </row>
    <row r="37" spans="1:53">
      <c r="A37" s="268">
        <v>921.1</v>
      </c>
      <c r="B37" t="s">
        <v>627</v>
      </c>
      <c r="E37" s="277"/>
      <c r="F37" s="278"/>
      <c r="G37" s="278"/>
      <c r="H37" s="325"/>
      <c r="I37" s="325"/>
      <c r="J37" s="325"/>
      <c r="K37" s="325"/>
      <c r="L37" s="325"/>
      <c r="M37" s="325"/>
      <c r="N37" s="224">
        <f>SUM(E37:M37)</f>
        <v>0</v>
      </c>
      <c r="O37" s="581">
        <v>0.59970047304999996</v>
      </c>
      <c r="P37" s="581">
        <v>0.57262918589999989</v>
      </c>
      <c r="Q37" s="581">
        <v>1.0918803646499999</v>
      </c>
      <c r="R37" s="581">
        <v>0.5774350772500001</v>
      </c>
      <c r="S37" s="581">
        <v>0.66083669825000002</v>
      </c>
      <c r="T37" s="581">
        <v>0.7893160144500001</v>
      </c>
      <c r="U37" s="581">
        <v>0.60393180797000001</v>
      </c>
      <c r="V37" s="581">
        <v>0.59598041486374997</v>
      </c>
      <c r="W37" s="581">
        <v>0.57549497430999996</v>
      </c>
      <c r="X37" s="581">
        <v>0.61052207354999999</v>
      </c>
      <c r="Y37" s="581">
        <v>0.52810946834999994</v>
      </c>
      <c r="Z37" s="581">
        <v>0.72707597475000008</v>
      </c>
      <c r="AA37" s="211">
        <f t="shared" ref="AA37:AA43" si="22">SUM(O37:Z37)</f>
        <v>7.9329125273437491</v>
      </c>
      <c r="AB37" s="581">
        <v>0.61678824722000003</v>
      </c>
      <c r="AC37" s="581">
        <v>0.59747604967000012</v>
      </c>
      <c r="AD37" s="581">
        <v>1.1137021849100002</v>
      </c>
      <c r="AE37" s="581">
        <v>0.64262052326999997</v>
      </c>
      <c r="AF37" s="581">
        <v>0.68549010266999999</v>
      </c>
      <c r="AG37" s="581">
        <v>0.79019398777000005</v>
      </c>
      <c r="AH37" s="581">
        <v>0.62582592372000012</v>
      </c>
      <c r="AI37" s="581">
        <v>0.62338395537000002</v>
      </c>
      <c r="AJ37" s="581">
        <v>0.63014110739499996</v>
      </c>
      <c r="AK37" s="581">
        <v>0.64805168327000007</v>
      </c>
      <c r="AL37" s="581">
        <v>0.56323245682</v>
      </c>
      <c r="AM37" s="581">
        <v>0.78299753136999994</v>
      </c>
      <c r="AN37" s="211">
        <f t="shared" si="7"/>
        <v>8.3199037534549998</v>
      </c>
      <c r="AO37" s="581">
        <v>8.4787328288066526</v>
      </c>
      <c r="AP37" s="581">
        <v>8.7787176135641509</v>
      </c>
      <c r="AQ37" s="74">
        <f t="shared" ref="AQ37:AY37" si="23">AP37*(1+$D$3)</f>
        <v>9.042079141971076</v>
      </c>
      <c r="AR37" s="74">
        <f t="shared" si="23"/>
        <v>9.3133415162302082</v>
      </c>
      <c r="AS37" s="74">
        <f t="shared" si="23"/>
        <v>9.5927417617171145</v>
      </c>
      <c r="AT37" s="74">
        <f t="shared" si="23"/>
        <v>9.8805240145686284</v>
      </c>
      <c r="AU37" s="74">
        <f t="shared" si="23"/>
        <v>10.176939735005687</v>
      </c>
      <c r="AV37" s="74">
        <f t="shared" si="23"/>
        <v>10.482247927055859</v>
      </c>
      <c r="AW37" s="74">
        <f t="shared" si="23"/>
        <v>10.796715364867534</v>
      </c>
      <c r="AX37" s="74">
        <f t="shared" si="23"/>
        <v>11.12061682581356</v>
      </c>
      <c r="AY37" s="74">
        <f t="shared" si="23"/>
        <v>11.454235330587967</v>
      </c>
      <c r="AZ37" s="726"/>
      <c r="BA37" s="726"/>
    </row>
    <row r="38" spans="1:53">
      <c r="A38" s="268">
        <v>928.1</v>
      </c>
      <c r="B38" s="261" t="s">
        <v>634</v>
      </c>
      <c r="E38" s="277"/>
      <c r="F38" s="278"/>
      <c r="G38" s="278"/>
      <c r="H38" s="325"/>
      <c r="I38" s="325"/>
      <c r="J38" s="325"/>
      <c r="K38" s="325"/>
      <c r="L38" s="325"/>
      <c r="M38" s="325"/>
      <c r="N38" s="224">
        <f>SUM(E38:M38)</f>
        <v>0</v>
      </c>
      <c r="O38" s="581">
        <v>0</v>
      </c>
      <c r="P38" s="581">
        <v>0</v>
      </c>
      <c r="Q38" s="581">
        <v>0</v>
      </c>
      <c r="R38" s="581">
        <v>0</v>
      </c>
      <c r="S38" s="581">
        <v>0</v>
      </c>
      <c r="T38" s="581">
        <v>0</v>
      </c>
      <c r="U38" s="581">
        <v>0</v>
      </c>
      <c r="V38" s="581">
        <v>0</v>
      </c>
      <c r="W38" s="581">
        <v>0</v>
      </c>
      <c r="X38" s="581">
        <v>0</v>
      </c>
      <c r="Y38" s="581">
        <v>0</v>
      </c>
      <c r="Z38" s="581">
        <v>0</v>
      </c>
      <c r="AA38" s="211">
        <f t="shared" si="22"/>
        <v>0</v>
      </c>
      <c r="AB38" s="581">
        <v>0</v>
      </c>
      <c r="AC38" s="581">
        <v>0</v>
      </c>
      <c r="AD38" s="581">
        <v>0</v>
      </c>
      <c r="AE38" s="581">
        <v>0</v>
      </c>
      <c r="AF38" s="581">
        <v>0</v>
      </c>
      <c r="AG38" s="581">
        <v>0</v>
      </c>
      <c r="AH38" s="581">
        <v>0</v>
      </c>
      <c r="AI38" s="581">
        <v>0</v>
      </c>
      <c r="AJ38" s="581">
        <v>0</v>
      </c>
      <c r="AK38" s="581">
        <v>0</v>
      </c>
      <c r="AL38" s="581">
        <v>0</v>
      </c>
      <c r="AM38" s="581">
        <v>0</v>
      </c>
      <c r="AN38" s="211">
        <f t="shared" si="7"/>
        <v>0</v>
      </c>
      <c r="AO38" s="581">
        <v>0</v>
      </c>
      <c r="AP38" s="581">
        <v>0</v>
      </c>
      <c r="AQ38" s="74">
        <f t="shared" ref="AQ38:AY38" si="24">AP38*(1+$D$3)</f>
        <v>0</v>
      </c>
      <c r="AR38" s="74">
        <f t="shared" si="24"/>
        <v>0</v>
      </c>
      <c r="AS38" s="74">
        <f t="shared" si="24"/>
        <v>0</v>
      </c>
      <c r="AT38" s="74">
        <f t="shared" si="24"/>
        <v>0</v>
      </c>
      <c r="AU38" s="74">
        <f t="shared" si="24"/>
        <v>0</v>
      </c>
      <c r="AV38" s="74">
        <f t="shared" si="24"/>
        <v>0</v>
      </c>
      <c r="AW38" s="74">
        <f t="shared" si="24"/>
        <v>0</v>
      </c>
      <c r="AX38" s="74">
        <f t="shared" si="24"/>
        <v>0</v>
      </c>
      <c r="AY38" s="74">
        <f t="shared" si="24"/>
        <v>0</v>
      </c>
      <c r="AZ38" s="726"/>
      <c r="BA38" s="726"/>
    </row>
    <row r="39" spans="1:53">
      <c r="A39" s="268">
        <v>930.21</v>
      </c>
      <c r="B39" s="261" t="s">
        <v>636</v>
      </c>
      <c r="E39" s="277"/>
      <c r="F39" s="278"/>
      <c r="G39" s="278"/>
      <c r="H39" s="325"/>
      <c r="I39" s="325"/>
      <c r="J39" s="325"/>
      <c r="K39" s="325"/>
      <c r="L39" s="325"/>
      <c r="M39" s="325"/>
      <c r="N39" s="224">
        <f>SUM(E39:M39)</f>
        <v>0</v>
      </c>
      <c r="O39" s="581">
        <v>3.5810801510000004E-2</v>
      </c>
      <c r="P39" s="581">
        <v>2.8239511719999999E-2</v>
      </c>
      <c r="Q39" s="581">
        <v>4.0976485510000001E-2</v>
      </c>
      <c r="R39" s="581">
        <v>3.7407926519999996E-2</v>
      </c>
      <c r="S39" s="581">
        <v>0.16706160370000001</v>
      </c>
      <c r="T39" s="581">
        <v>0.1541561364</v>
      </c>
      <c r="U39" s="581">
        <v>2.878664492E-2</v>
      </c>
      <c r="V39" s="581">
        <v>2.7252462382499995E-2</v>
      </c>
      <c r="W39" s="581">
        <v>3.34901565E-2</v>
      </c>
      <c r="X39" s="581">
        <v>2.8346171440000002E-2</v>
      </c>
      <c r="Y39" s="581">
        <v>2.5511799789999998E-2</v>
      </c>
      <c r="Z39" s="581">
        <v>3.7368631850000007E-2</v>
      </c>
      <c r="AA39" s="211">
        <f t="shared" si="22"/>
        <v>0.64440833224249994</v>
      </c>
      <c r="AB39" s="581">
        <v>3.2999693855199998E-2</v>
      </c>
      <c r="AC39" s="581">
        <v>2.5324890742399998E-2</v>
      </c>
      <c r="AD39" s="581">
        <v>3.7673481375200005E-2</v>
      </c>
      <c r="AE39" s="581">
        <v>3.23934194784E-2</v>
      </c>
      <c r="AF39" s="581">
        <v>0.16204122293599996</v>
      </c>
      <c r="AG39" s="581">
        <v>0.15454815397920002</v>
      </c>
      <c r="AH39" s="581">
        <v>2.3520702006400003E-2</v>
      </c>
      <c r="AI39" s="581">
        <v>2.1968911478399997E-2</v>
      </c>
      <c r="AJ39" s="581">
        <v>3.4304275751999999E-2</v>
      </c>
      <c r="AK39" s="581">
        <v>2.7584021292800003E-2</v>
      </c>
      <c r="AL39" s="581">
        <v>2.45031405848E-2</v>
      </c>
      <c r="AM39" s="581">
        <v>4.4403406484000006E-2</v>
      </c>
      <c r="AN39" s="211">
        <f t="shared" si="7"/>
        <v>0.62126531996479994</v>
      </c>
      <c r="AO39" s="581">
        <v>0.62781365510374398</v>
      </c>
      <c r="AP39" s="581">
        <v>0.67191162485901879</v>
      </c>
      <c r="AQ39" s="74">
        <f t="shared" ref="AQ39:AY39" si="25">AP39*(1+$D$3)</f>
        <v>0.69206897360478936</v>
      </c>
      <c r="AR39" s="74">
        <f t="shared" si="25"/>
        <v>0.71283104281293308</v>
      </c>
      <c r="AS39" s="74">
        <f t="shared" si="25"/>
        <v>0.73421597409732109</v>
      </c>
      <c r="AT39" s="74">
        <f t="shared" si="25"/>
        <v>0.75624245332024076</v>
      </c>
      <c r="AU39" s="74">
        <f t="shared" si="25"/>
        <v>0.77892972691984796</v>
      </c>
      <c r="AV39" s="74">
        <f t="shared" si="25"/>
        <v>0.80229761872744343</v>
      </c>
      <c r="AW39" s="74">
        <f t="shared" si="25"/>
        <v>0.82636654728926673</v>
      </c>
      <c r="AX39" s="74">
        <f t="shared" si="25"/>
        <v>0.85115754370794472</v>
      </c>
      <c r="AY39" s="74">
        <f t="shared" si="25"/>
        <v>0.87669227001918304</v>
      </c>
      <c r="AZ39" s="726"/>
      <c r="BA39" s="726"/>
    </row>
    <row r="40" spans="1:53">
      <c r="A40" s="268">
        <v>923.1</v>
      </c>
      <c r="B40" t="s">
        <v>638</v>
      </c>
      <c r="E40" s="277"/>
      <c r="F40" s="278"/>
      <c r="G40" s="278"/>
      <c r="H40" s="325"/>
      <c r="I40" s="325"/>
      <c r="J40" s="325"/>
      <c r="K40" s="325"/>
      <c r="L40" s="325"/>
      <c r="M40" s="325"/>
      <c r="N40" s="224">
        <f>SUM(E40:M40)</f>
        <v>0</v>
      </c>
      <c r="O40" s="581">
        <v>0.17700023170000001</v>
      </c>
      <c r="P40" s="581">
        <v>0.151956434</v>
      </c>
      <c r="Q40" s="581">
        <v>0.23423696869999999</v>
      </c>
      <c r="R40" s="581">
        <v>0.18719631050000002</v>
      </c>
      <c r="S40" s="581">
        <v>0.31347511239999998</v>
      </c>
      <c r="T40" s="581">
        <v>0.61598159140000008</v>
      </c>
      <c r="U40" s="581">
        <v>0.15444933000000002</v>
      </c>
      <c r="V40" s="581">
        <v>0.21756547050625002</v>
      </c>
      <c r="W40" s="581">
        <v>0.1903180864</v>
      </c>
      <c r="X40" s="581">
        <v>0.16352627560000002</v>
      </c>
      <c r="Y40" s="581">
        <v>0.1236232711</v>
      </c>
      <c r="Z40" s="581">
        <v>0.16179728840000002</v>
      </c>
      <c r="AA40" s="211">
        <f t="shared" si="22"/>
        <v>2.6911263707062503</v>
      </c>
      <c r="AB40" s="581">
        <v>0.16765675129980001</v>
      </c>
      <c r="AC40" s="581">
        <v>0.13893857948059998</v>
      </c>
      <c r="AD40" s="581">
        <v>0.21960946241880003</v>
      </c>
      <c r="AE40" s="581">
        <v>0.2096299060846</v>
      </c>
      <c r="AF40" s="581">
        <v>0.29561706197099996</v>
      </c>
      <c r="AG40" s="581">
        <v>0.61612692503580013</v>
      </c>
      <c r="AH40" s="581">
        <v>0.13560513042660002</v>
      </c>
      <c r="AI40" s="581">
        <v>0.19600933148460004</v>
      </c>
      <c r="AJ40" s="581">
        <v>0.21589150566749996</v>
      </c>
      <c r="AK40" s="581">
        <v>0.14529091680619999</v>
      </c>
      <c r="AL40" s="581">
        <v>0.12585507399420001</v>
      </c>
      <c r="AM40" s="581">
        <v>0.17930536559300003</v>
      </c>
      <c r="AN40" s="211">
        <f t="shared" si="7"/>
        <v>2.6455360102627004</v>
      </c>
      <c r="AO40" s="581">
        <v>2.6083568232855816</v>
      </c>
      <c r="AP40" s="581">
        <v>2.9755397718395926</v>
      </c>
      <c r="AQ40" s="74">
        <f t="shared" ref="AQ40:AY40" si="26">AP40*(1+$D$3)</f>
        <v>3.0648059649947803</v>
      </c>
      <c r="AR40" s="74">
        <f t="shared" si="26"/>
        <v>3.1567501439446239</v>
      </c>
      <c r="AS40" s="74">
        <f t="shared" si="26"/>
        <v>3.2514526482629629</v>
      </c>
      <c r="AT40" s="74">
        <f t="shared" si="26"/>
        <v>3.348996227710852</v>
      </c>
      <c r="AU40" s="74">
        <f t="shared" si="26"/>
        <v>3.4494661145421777</v>
      </c>
      <c r="AV40" s="74">
        <f t="shared" si="26"/>
        <v>3.5529500979784432</v>
      </c>
      <c r="AW40" s="74">
        <f t="shared" si="26"/>
        <v>3.6595386009177964</v>
      </c>
      <c r="AX40" s="74">
        <f t="shared" si="26"/>
        <v>3.7693247589453303</v>
      </c>
      <c r="AY40" s="74">
        <f t="shared" si="26"/>
        <v>3.8824045017136903</v>
      </c>
      <c r="AZ40" s="726"/>
      <c r="BA40" s="726"/>
    </row>
    <row r="41" spans="1:53">
      <c r="A41" s="268">
        <v>935.11</v>
      </c>
      <c r="B41" t="s">
        <v>640</v>
      </c>
      <c r="E41" s="277"/>
      <c r="F41" s="278"/>
      <c r="G41" s="278"/>
      <c r="H41" s="325"/>
      <c r="I41" s="325"/>
      <c r="J41" s="325"/>
      <c r="K41" s="325"/>
      <c r="L41" s="325"/>
      <c r="M41" s="325"/>
      <c r="N41" s="224">
        <f>SUM(E41:M41)</f>
        <v>0</v>
      </c>
      <c r="O41" s="581">
        <v>1.0446513500000001E-2</v>
      </c>
      <c r="P41" s="581">
        <v>8.8085135000000002E-3</v>
      </c>
      <c r="Q41" s="581">
        <v>7.9835354999999997E-3</v>
      </c>
      <c r="R41" s="581">
        <v>9.0861680000000004E-3</v>
      </c>
      <c r="S41" s="581">
        <v>8.1078655000000003E-3</v>
      </c>
      <c r="T41" s="581">
        <v>8.423700499999999E-3</v>
      </c>
      <c r="U41" s="581">
        <v>9.1681504999999996E-3</v>
      </c>
      <c r="V41" s="581">
        <v>8.3010655000000013E-3</v>
      </c>
      <c r="W41" s="581">
        <v>8.2943355000000014E-3</v>
      </c>
      <c r="X41" s="581">
        <v>8.7756654999999999E-3</v>
      </c>
      <c r="Y41" s="581">
        <v>8.1078655000000003E-3</v>
      </c>
      <c r="Z41" s="581">
        <v>9.1062479999999991E-3</v>
      </c>
      <c r="AA41" s="211">
        <f t="shared" si="22"/>
        <v>0.104609627</v>
      </c>
      <c r="AB41" s="581">
        <v>1.08777635E-2</v>
      </c>
      <c r="AC41" s="581">
        <v>9.1893635000000005E-3</v>
      </c>
      <c r="AD41" s="581">
        <v>8.3414184999999995E-3</v>
      </c>
      <c r="AE41" s="581">
        <v>9.4735175000000005E-3</v>
      </c>
      <c r="AF41" s="581">
        <v>8.4675445000000002E-3</v>
      </c>
      <c r="AG41" s="581">
        <v>8.7940315000000005E-3</v>
      </c>
      <c r="AH41" s="581">
        <v>9.5563315000000027E-3</v>
      </c>
      <c r="AI41" s="581">
        <v>8.6649444999999988E-3</v>
      </c>
      <c r="AJ41" s="581">
        <v>8.6606184999999999E-3</v>
      </c>
      <c r="AK41" s="581">
        <v>9.1563445E-3</v>
      </c>
      <c r="AL41" s="581">
        <v>8.4675445000000002E-3</v>
      </c>
      <c r="AM41" s="581">
        <v>9.4954790000000011E-3</v>
      </c>
      <c r="AN41" s="211">
        <f t="shared" si="7"/>
        <v>0.1091449015</v>
      </c>
      <c r="AO41" s="581">
        <v>0.11241435349999999</v>
      </c>
      <c r="AP41" s="581">
        <v>0.11578417850000002</v>
      </c>
      <c r="AQ41" s="74">
        <f t="shared" ref="AQ41:AY41" si="27">AP41*(1+$D$3)</f>
        <v>0.11925770385500002</v>
      </c>
      <c r="AR41" s="74">
        <f t="shared" si="27"/>
        <v>0.12283543497065003</v>
      </c>
      <c r="AS41" s="74">
        <f t="shared" si="27"/>
        <v>0.12652049801976953</v>
      </c>
      <c r="AT41" s="74">
        <f t="shared" si="27"/>
        <v>0.13031611296036261</v>
      </c>
      <c r="AU41" s="74">
        <f t="shared" si="27"/>
        <v>0.1342255963491735</v>
      </c>
      <c r="AV41" s="74">
        <f t="shared" si="27"/>
        <v>0.13825236423964871</v>
      </c>
      <c r="AW41" s="74">
        <f t="shared" si="27"/>
        <v>0.14239993516683816</v>
      </c>
      <c r="AX41" s="74">
        <f t="shared" si="27"/>
        <v>0.1466719332218433</v>
      </c>
      <c r="AY41" s="74">
        <f t="shared" si="27"/>
        <v>0.1510720912184986</v>
      </c>
      <c r="AZ41" s="726"/>
      <c r="BA41" s="726"/>
    </row>
    <row r="42" spans="1:53">
      <c r="A42" s="268">
        <v>926.1</v>
      </c>
      <c r="B42" s="546" t="s">
        <v>538</v>
      </c>
      <c r="E42" s="277"/>
      <c r="F42" s="278"/>
      <c r="G42" s="278"/>
      <c r="H42" s="325"/>
      <c r="I42" s="325"/>
      <c r="J42" s="325"/>
      <c r="K42" s="325"/>
      <c r="L42" s="325"/>
      <c r="M42" s="325"/>
      <c r="N42" s="224"/>
      <c r="O42" s="581">
        <v>1.5289050000000002E-2</v>
      </c>
      <c r="P42" s="581">
        <v>5.1513000000000001E-3</v>
      </c>
      <c r="Q42" s="581">
        <v>9.3764999999999994E-3</v>
      </c>
      <c r="R42" s="581">
        <v>6.3798000000000006E-3</v>
      </c>
      <c r="S42" s="581">
        <v>6.0648000000000004E-3</v>
      </c>
      <c r="T42" s="581">
        <v>8.7066000000000001E-3</v>
      </c>
      <c r="U42" s="581">
        <v>7.7489999999999998E-3</v>
      </c>
      <c r="V42" s="581">
        <v>1.15227E-2</v>
      </c>
      <c r="W42" s="581">
        <v>6.1215000000000002E-3</v>
      </c>
      <c r="X42" s="581">
        <v>1.6169999999999997E-2</v>
      </c>
      <c r="Y42" s="581">
        <v>5.0714999999999996E-3</v>
      </c>
      <c r="Z42" s="581">
        <v>6.7221E-3</v>
      </c>
      <c r="AA42" s="211">
        <f t="shared" si="22"/>
        <v>0.10432485000000001</v>
      </c>
      <c r="AB42" s="581">
        <v>1.19028E-2</v>
      </c>
      <c r="AC42" s="581">
        <v>4.5654000000000007E-3</v>
      </c>
      <c r="AD42" s="581">
        <v>9.632700000000001E-3</v>
      </c>
      <c r="AE42" s="581">
        <v>9.3744000000000015E-3</v>
      </c>
      <c r="AF42" s="581">
        <v>5.478900000000001E-3</v>
      </c>
      <c r="AG42" s="581">
        <v>7.7595000000000008E-3</v>
      </c>
      <c r="AH42" s="581">
        <v>6.4365000000000012E-3</v>
      </c>
      <c r="AI42" s="581">
        <v>8.0555999999999996E-3</v>
      </c>
      <c r="AJ42" s="581">
        <v>5.6553000000000003E-3</v>
      </c>
      <c r="AK42" s="581">
        <v>1.6308599999999999E-2</v>
      </c>
      <c r="AL42" s="581">
        <v>5.2226999999999994E-3</v>
      </c>
      <c r="AM42" s="581">
        <v>5.6133000000000008E-3</v>
      </c>
      <c r="AN42" s="211">
        <f>SUM(AB42:AM42)</f>
        <v>9.6005700000000013E-2</v>
      </c>
      <c r="AO42" s="581">
        <v>8.8048799999999983E-2</v>
      </c>
      <c r="AP42" s="581">
        <v>9.35613E-2</v>
      </c>
      <c r="AQ42" s="74">
        <f t="shared" ref="AQ42:AY42" si="28">AP42*(1+$D$3)</f>
        <v>9.6368139000000005E-2</v>
      </c>
      <c r="AR42" s="74">
        <f t="shared" si="28"/>
        <v>9.9259183170000015E-2</v>
      </c>
      <c r="AS42" s="74">
        <f t="shared" si="28"/>
        <v>0.10223695866510002</v>
      </c>
      <c r="AT42" s="74">
        <f t="shared" si="28"/>
        <v>0.10530406742505302</v>
      </c>
      <c r="AU42" s="74">
        <f t="shared" si="28"/>
        <v>0.10846318944780461</v>
      </c>
      <c r="AV42" s="74">
        <f t="shared" si="28"/>
        <v>0.11171708513123875</v>
      </c>
      <c r="AW42" s="74">
        <f t="shared" si="28"/>
        <v>0.11506859768517591</v>
      </c>
      <c r="AX42" s="74">
        <f t="shared" si="28"/>
        <v>0.11852065561573119</v>
      </c>
      <c r="AY42" s="74">
        <f t="shared" si="28"/>
        <v>0.12207627528420313</v>
      </c>
      <c r="AZ42" s="726"/>
      <c r="BA42" s="726"/>
    </row>
    <row r="43" spans="1:53">
      <c r="A43" s="268">
        <v>567.20000000000005</v>
      </c>
      <c r="B43" s="546" t="s">
        <v>969</v>
      </c>
      <c r="E43" s="277"/>
      <c r="F43" s="278"/>
      <c r="G43" s="278"/>
      <c r="H43" s="325"/>
      <c r="I43" s="325"/>
      <c r="J43" s="325"/>
      <c r="K43" s="325"/>
      <c r="L43" s="325"/>
      <c r="M43" s="325"/>
      <c r="N43" s="224"/>
      <c r="O43" s="581">
        <v>8.9630999999999999E-3</v>
      </c>
      <c r="P43" s="581">
        <v>7.1207999999999992E-3</v>
      </c>
      <c r="Q43" s="581">
        <v>4.1054999999999998E-3</v>
      </c>
      <c r="R43" s="581">
        <v>3.9226499999999997E-3</v>
      </c>
      <c r="S43" s="581">
        <v>2.6841000000000005E-3</v>
      </c>
      <c r="T43" s="581">
        <v>4.0848000000000004E-3</v>
      </c>
      <c r="U43" s="581">
        <v>3.4948500000000003E-3</v>
      </c>
      <c r="V43" s="581">
        <v>6.1685999999999998E-3</v>
      </c>
      <c r="W43" s="581">
        <v>4.4711999999999998E-3</v>
      </c>
      <c r="X43" s="581">
        <v>3.4258500000000002E-3</v>
      </c>
      <c r="Y43" s="581">
        <v>2.9980500000000004E-3</v>
      </c>
      <c r="Z43" s="581">
        <v>2.5081499999999998E-3</v>
      </c>
      <c r="AA43" s="211">
        <f t="shared" si="22"/>
        <v>5.394765E-2</v>
      </c>
      <c r="AB43" s="581">
        <v>9.1217999999999994E-3</v>
      </c>
      <c r="AC43" s="581">
        <v>7.3657499999999999E-3</v>
      </c>
      <c r="AD43" s="581">
        <v>4.2193500000000002E-3</v>
      </c>
      <c r="AE43" s="581">
        <v>4.0503000000000006E-3</v>
      </c>
      <c r="AF43" s="581">
        <v>2.7979500000000004E-3</v>
      </c>
      <c r="AG43" s="581">
        <v>4.2296999999999994E-3</v>
      </c>
      <c r="AH43" s="581">
        <v>3.6087000000000003E-3</v>
      </c>
      <c r="AI43" s="581">
        <v>6.2824500000000002E-3</v>
      </c>
      <c r="AJ43" s="581">
        <v>4.5988500000000007E-3</v>
      </c>
      <c r="AK43" s="581">
        <v>3.6087000000000003E-3</v>
      </c>
      <c r="AL43" s="581">
        <v>3.1567500000000003E-3</v>
      </c>
      <c r="AM43" s="581">
        <v>2.4978000000000001E-3</v>
      </c>
      <c r="AN43" s="211">
        <f>SUM(AB43:AM43)</f>
        <v>5.5538100000000007E-2</v>
      </c>
      <c r="AO43" s="581">
        <v>5.7018149999999997E-2</v>
      </c>
      <c r="AP43" s="581">
        <v>5.9843699999999993E-2</v>
      </c>
      <c r="AQ43" s="74">
        <f t="shared" ref="AQ43:AY43" si="29">AP43*(1+$D$3)</f>
        <v>6.1639010999999994E-2</v>
      </c>
      <c r="AR43" s="74">
        <f t="shared" si="29"/>
        <v>6.348818132999999E-2</v>
      </c>
      <c r="AS43" s="74">
        <f t="shared" si="29"/>
        <v>6.5392826769899992E-2</v>
      </c>
      <c r="AT43" s="74">
        <f t="shared" si="29"/>
        <v>6.7354611572996992E-2</v>
      </c>
      <c r="AU43" s="74">
        <f t="shared" si="29"/>
        <v>6.9375249920186899E-2</v>
      </c>
      <c r="AV43" s="74">
        <f t="shared" si="29"/>
        <v>7.1456507417792511E-2</v>
      </c>
      <c r="AW43" s="74">
        <f t="shared" si="29"/>
        <v>7.3600202640326295E-2</v>
      </c>
      <c r="AX43" s="74">
        <f t="shared" si="29"/>
        <v>7.5808208719536085E-2</v>
      </c>
      <c r="AY43" s="74">
        <f t="shared" si="29"/>
        <v>7.8082454981122165E-2</v>
      </c>
      <c r="AZ43" s="726"/>
      <c r="BA43" s="726"/>
    </row>
    <row r="44" spans="1:53">
      <c r="E44" s="277"/>
      <c r="F44" s="273"/>
      <c r="G44" s="273"/>
      <c r="H44" s="273"/>
      <c r="I44" s="273"/>
      <c r="J44" s="273"/>
      <c r="K44" s="273"/>
      <c r="L44" s="273"/>
      <c r="M44" s="273"/>
      <c r="N44" s="22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211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211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26"/>
      <c r="BA44" s="726"/>
    </row>
    <row r="45" spans="1:53">
      <c r="B45" s="49" t="s">
        <v>643</v>
      </c>
      <c r="E45" s="277"/>
      <c r="F45" s="279"/>
      <c r="G45" s="279"/>
      <c r="H45" s="279"/>
      <c r="I45" s="279"/>
      <c r="J45" s="279"/>
      <c r="K45" s="279"/>
      <c r="L45" s="279"/>
      <c r="M45" s="279"/>
      <c r="N45" s="280">
        <f>SUM(E45:M45)</f>
        <v>0</v>
      </c>
      <c r="O45" s="583">
        <f t="shared" ref="O45:Z45" si="30">SUM(O18:O44)</f>
        <v>1.0200720858781298</v>
      </c>
      <c r="P45" s="583">
        <f t="shared" si="30"/>
        <v>0.92587757575798801</v>
      </c>
      <c r="Q45" s="583">
        <f t="shared" si="30"/>
        <v>1.7209112845571659</v>
      </c>
      <c r="R45" s="583">
        <f t="shared" si="30"/>
        <v>1.0070994064268382</v>
      </c>
      <c r="S45" s="583">
        <f t="shared" si="30"/>
        <v>1.3574038774791299</v>
      </c>
      <c r="T45" s="583">
        <f t="shared" si="30"/>
        <v>2.1001780553679432</v>
      </c>
      <c r="U45" s="583">
        <f t="shared" si="30"/>
        <v>0.9952782100995512</v>
      </c>
      <c r="V45" s="583">
        <f t="shared" si="30"/>
        <v>1.0394635060566892</v>
      </c>
      <c r="W45" s="583">
        <f t="shared" si="30"/>
        <v>1.1167816891691988</v>
      </c>
      <c r="X45" s="583">
        <f t="shared" si="30"/>
        <v>1.0242493836688769</v>
      </c>
      <c r="Y45" s="583">
        <f t="shared" si="30"/>
        <v>0.85624998884844894</v>
      </c>
      <c r="Z45" s="583">
        <f t="shared" si="30"/>
        <v>1.2581175648011249</v>
      </c>
      <c r="AA45" s="584">
        <f>SUM(O45:Z45)</f>
        <v>14.421682628111085</v>
      </c>
      <c r="AB45" s="583">
        <f t="shared" ref="AB45:AM45" si="31">SUM(AB18:AB44)</f>
        <v>1.019385348904208</v>
      </c>
      <c r="AC45" s="583">
        <f t="shared" si="31"/>
        <v>0.93363182876655504</v>
      </c>
      <c r="AD45" s="583">
        <f t="shared" si="31"/>
        <v>1.6984167964171424</v>
      </c>
      <c r="AE45" s="583">
        <f t="shared" si="31"/>
        <v>1.070757014381589</v>
      </c>
      <c r="AF45" s="583">
        <f t="shared" si="31"/>
        <v>1.3324823772240326</v>
      </c>
      <c r="AG45" s="583">
        <f t="shared" si="31"/>
        <v>2.0642923298638371</v>
      </c>
      <c r="AH45" s="583">
        <f t="shared" si="31"/>
        <v>0.96435384724075179</v>
      </c>
      <c r="AI45" s="583">
        <f t="shared" si="31"/>
        <v>1.0082760669861428</v>
      </c>
      <c r="AJ45" s="583">
        <f t="shared" si="31"/>
        <v>1.1745006009237362</v>
      </c>
      <c r="AK45" s="583">
        <f t="shared" si="31"/>
        <v>1.0168578618571367</v>
      </c>
      <c r="AL45" s="583">
        <f t="shared" si="31"/>
        <v>0.86890661929584645</v>
      </c>
      <c r="AM45" s="583">
        <f t="shared" si="31"/>
        <v>1.3694994623432122</v>
      </c>
      <c r="AN45" s="584">
        <f>SUM(AB45:AM45)</f>
        <v>14.521360154204189</v>
      </c>
      <c r="AO45" s="583">
        <f t="shared" ref="AO45:AY45" si="32">SUM(AO18:AO44)</f>
        <v>14.690754174591374</v>
      </c>
      <c r="AP45" s="583">
        <f t="shared" si="32"/>
        <v>15.461844089772429</v>
      </c>
      <c r="AQ45" s="583">
        <f t="shared" si="32"/>
        <v>15.925699412465603</v>
      </c>
      <c r="AR45" s="583">
        <f t="shared" si="32"/>
        <v>16.403470394839569</v>
      </c>
      <c r="AS45" s="583">
        <f t="shared" si="32"/>
        <v>16.895574506684756</v>
      </c>
      <c r="AT45" s="583">
        <f t="shared" si="32"/>
        <v>17.402441741885301</v>
      </c>
      <c r="AU45" s="583">
        <f t="shared" si="32"/>
        <v>17.924514994141862</v>
      </c>
      <c r="AV45" s="583">
        <f t="shared" si="32"/>
        <v>18.462250443966116</v>
      </c>
      <c r="AW45" s="583">
        <f t="shared" si="32"/>
        <v>19.0161179572851</v>
      </c>
      <c r="AX45" s="583">
        <f t="shared" si="32"/>
        <v>19.586601496003652</v>
      </c>
      <c r="AY45" s="583">
        <f t="shared" si="32"/>
        <v>20.174199540883762</v>
      </c>
      <c r="AZ45" s="920"/>
      <c r="BA45" s="920"/>
    </row>
    <row r="46" spans="1:53">
      <c r="E46" s="277"/>
      <c r="F46" s="273"/>
      <c r="G46" s="273"/>
      <c r="H46" s="273"/>
      <c r="I46" s="273"/>
      <c r="J46" s="273"/>
      <c r="K46" s="273"/>
      <c r="L46" s="273"/>
      <c r="M46" s="273"/>
      <c r="N46" s="22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211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211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26"/>
      <c r="BA46" s="726"/>
    </row>
    <row r="47" spans="1:53">
      <c r="A47" s="66"/>
      <c r="B47" s="75" t="s">
        <v>644</v>
      </c>
      <c r="C47" s="66"/>
      <c r="E47" s="277"/>
      <c r="F47" s="273"/>
      <c r="G47" s="273"/>
      <c r="H47" s="273"/>
      <c r="I47" s="273"/>
      <c r="J47" s="273"/>
      <c r="K47" s="273"/>
      <c r="L47" s="273"/>
      <c r="M47" s="273"/>
      <c r="N47" s="22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211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211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26"/>
      <c r="BA47" s="726"/>
    </row>
    <row r="48" spans="1:53">
      <c r="A48" s="268">
        <v>557.11</v>
      </c>
      <c r="B48" t="s">
        <v>648</v>
      </c>
      <c r="E48" s="277"/>
      <c r="F48" s="278"/>
      <c r="G48" s="278"/>
      <c r="H48" s="325"/>
      <c r="I48" s="325"/>
      <c r="J48" s="325"/>
      <c r="K48" s="325"/>
      <c r="L48" s="325"/>
      <c r="M48" s="325"/>
      <c r="N48" s="224">
        <f>SUM(E48:M48)</f>
        <v>0</v>
      </c>
      <c r="O48" s="578">
        <v>0.183333</v>
      </c>
      <c r="P48" s="578">
        <v>0.183333</v>
      </c>
      <c r="Q48" s="578">
        <v>0.183333</v>
      </c>
      <c r="R48" s="578">
        <v>0.183333</v>
      </c>
      <c r="S48" s="578">
        <v>0.183333</v>
      </c>
      <c r="T48" s="578">
        <v>0.188333</v>
      </c>
      <c r="U48" s="578">
        <v>0.183333</v>
      </c>
      <c r="V48" s="578">
        <v>0.183333</v>
      </c>
      <c r="W48" s="578">
        <v>0.183333</v>
      </c>
      <c r="X48" s="578">
        <v>0.183333</v>
      </c>
      <c r="Y48" s="578">
        <v>0.183333</v>
      </c>
      <c r="Z48" s="578">
        <v>0.183337</v>
      </c>
      <c r="AA48" s="211">
        <f>SUM(O48:Z48)</f>
        <v>2.2049999999999996</v>
      </c>
      <c r="AB48" s="578">
        <v>0.188833</v>
      </c>
      <c r="AC48" s="578">
        <v>0.188833</v>
      </c>
      <c r="AD48" s="578">
        <v>0.188833</v>
      </c>
      <c r="AE48" s="578">
        <v>0.188833</v>
      </c>
      <c r="AF48" s="578">
        <v>0.188833</v>
      </c>
      <c r="AG48" s="578">
        <v>0.19398299999999999</v>
      </c>
      <c r="AH48" s="578">
        <v>0.188833</v>
      </c>
      <c r="AI48" s="578">
        <v>0.188833</v>
      </c>
      <c r="AJ48" s="578">
        <v>0.188833</v>
      </c>
      <c r="AK48" s="578">
        <v>0.188833</v>
      </c>
      <c r="AL48" s="578">
        <v>0.188833</v>
      </c>
      <c r="AM48" s="578">
        <v>0.188837</v>
      </c>
      <c r="AN48" s="211">
        <f t="shared" ref="AN48:AN55" si="33">SUM(AB48:AM48)</f>
        <v>2.27115</v>
      </c>
      <c r="AO48" s="578">
        <v>2.3392849999999998</v>
      </c>
      <c r="AP48" s="578">
        <v>2.4094630000000001</v>
      </c>
      <c r="AQ48" s="74">
        <f t="shared" ref="AQ48:AY49" si="34">AP48*(1+$D$3)</f>
        <v>2.4817468900000001</v>
      </c>
      <c r="AR48" s="74">
        <f t="shared" si="34"/>
        <v>2.5561992967</v>
      </c>
      <c r="AS48" s="74">
        <f t="shared" si="34"/>
        <v>2.6328852756010002</v>
      </c>
      <c r="AT48" s="74">
        <f t="shared" si="34"/>
        <v>2.7118718338690302</v>
      </c>
      <c r="AU48" s="74">
        <f t="shared" si="34"/>
        <v>2.7932279888851013</v>
      </c>
      <c r="AV48" s="74">
        <f t="shared" si="34"/>
        <v>2.8770248285516544</v>
      </c>
      <c r="AW48" s="74">
        <f t="shared" si="34"/>
        <v>2.9633355734082043</v>
      </c>
      <c r="AX48" s="74">
        <f t="shared" si="34"/>
        <v>3.0522356406104505</v>
      </c>
      <c r="AY48" s="74">
        <f t="shared" si="34"/>
        <v>3.1438027098287642</v>
      </c>
      <c r="AZ48" s="726"/>
      <c r="BA48" s="726"/>
    </row>
    <row r="49" spans="1:53">
      <c r="A49" s="268">
        <v>565.1</v>
      </c>
      <c r="B49" t="s">
        <v>650</v>
      </c>
      <c r="E49" s="277"/>
      <c r="F49" s="278"/>
      <c r="G49" s="278"/>
      <c r="H49" s="325"/>
      <c r="I49" s="325"/>
      <c r="J49" s="325"/>
      <c r="K49" s="325"/>
      <c r="L49" s="325"/>
      <c r="M49" s="325"/>
      <c r="N49" s="224">
        <f>SUM(E49:M49)</f>
        <v>0</v>
      </c>
      <c r="O49" s="578">
        <v>0.2</v>
      </c>
      <c r="P49" s="578">
        <v>0.2</v>
      </c>
      <c r="Q49" s="578">
        <v>0.2</v>
      </c>
      <c r="R49" s="578">
        <v>0.2</v>
      </c>
      <c r="S49" s="578">
        <v>0.2</v>
      </c>
      <c r="T49" s="578">
        <v>0.2</v>
      </c>
      <c r="U49" s="578">
        <v>0.2</v>
      </c>
      <c r="V49" s="578">
        <v>0.2</v>
      </c>
      <c r="W49" s="578">
        <v>0.2</v>
      </c>
      <c r="X49" s="578">
        <v>0.2</v>
      </c>
      <c r="Y49" s="578">
        <v>0.2</v>
      </c>
      <c r="Z49" s="578">
        <v>0.2</v>
      </c>
      <c r="AA49" s="211">
        <f>SUM(O49:Z49)</f>
        <v>2.4</v>
      </c>
      <c r="AB49" s="578">
        <v>0.20599999999999999</v>
      </c>
      <c r="AC49" s="578">
        <v>0.20599999999999999</v>
      </c>
      <c r="AD49" s="578">
        <v>0.20599999999999999</v>
      </c>
      <c r="AE49" s="578">
        <v>0.20599999999999999</v>
      </c>
      <c r="AF49" s="578">
        <v>0.20599999999999999</v>
      </c>
      <c r="AG49" s="578">
        <v>0.20599999999999999</v>
      </c>
      <c r="AH49" s="578">
        <v>0.20599999999999999</v>
      </c>
      <c r="AI49" s="578">
        <v>0.20599999999999999</v>
      </c>
      <c r="AJ49" s="578">
        <v>0.20599999999999999</v>
      </c>
      <c r="AK49" s="578">
        <v>0.20599999999999999</v>
      </c>
      <c r="AL49" s="578">
        <v>0.20599999999999999</v>
      </c>
      <c r="AM49" s="578">
        <v>0.20599999999999999</v>
      </c>
      <c r="AN49" s="211">
        <f t="shared" si="33"/>
        <v>2.472</v>
      </c>
      <c r="AO49" s="578">
        <v>2.54616</v>
      </c>
      <c r="AP49" s="578">
        <v>2.6225447999999996</v>
      </c>
      <c r="AQ49" s="74">
        <f t="shared" si="34"/>
        <v>2.7012211439999998</v>
      </c>
      <c r="AR49" s="74">
        <f>AQ49*(1+$D$3)</f>
        <v>2.78225777832</v>
      </c>
      <c r="AS49" s="74">
        <f t="shared" si="34"/>
        <v>2.8657255116695999</v>
      </c>
      <c r="AT49" s="74">
        <f t="shared" si="34"/>
        <v>2.9516972770196879</v>
      </c>
      <c r="AU49" s="74">
        <f t="shared" si="34"/>
        <v>3.0402481953302787</v>
      </c>
      <c r="AV49" s="74">
        <f t="shared" si="34"/>
        <v>3.131455641190187</v>
      </c>
      <c r="AW49" s="74">
        <f t="shared" si="34"/>
        <v>3.2253993104258929</v>
      </c>
      <c r="AX49" s="74">
        <f t="shared" si="34"/>
        <v>3.3221612897386699</v>
      </c>
      <c r="AY49" s="74">
        <f t="shared" si="34"/>
        <v>3.4218261284308302</v>
      </c>
      <c r="AZ49" s="726"/>
      <c r="BA49" s="726"/>
    </row>
    <row r="50" spans="1:53">
      <c r="A50" s="268"/>
      <c r="B50"/>
      <c r="E50" s="277"/>
      <c r="F50" s="278"/>
      <c r="G50" s="278"/>
      <c r="H50" s="325"/>
      <c r="I50" s="325"/>
      <c r="J50" s="325"/>
      <c r="K50" s="325"/>
      <c r="L50" s="325"/>
      <c r="M50" s="325"/>
      <c r="N50" s="224"/>
      <c r="O50" s="585"/>
      <c r="P50" s="585"/>
      <c r="Q50" s="585"/>
      <c r="R50" s="585"/>
      <c r="S50" s="585"/>
      <c r="T50" s="585"/>
      <c r="U50" s="585"/>
      <c r="V50" s="585"/>
      <c r="W50" s="585"/>
      <c r="X50" s="585"/>
      <c r="Y50" s="585"/>
      <c r="Z50" s="585"/>
      <c r="AA50" s="211"/>
      <c r="AB50" s="585"/>
      <c r="AC50" s="585"/>
      <c r="AD50" s="585"/>
      <c r="AE50" s="585"/>
      <c r="AF50" s="585"/>
      <c r="AG50" s="585"/>
      <c r="AH50" s="585"/>
      <c r="AI50" s="585"/>
      <c r="AJ50" s="585"/>
      <c r="AK50" s="585"/>
      <c r="AL50" s="585"/>
      <c r="AM50" s="585"/>
      <c r="AN50" s="211"/>
      <c r="AO50" s="585"/>
      <c r="AP50" s="585"/>
      <c r="AQ50" s="74"/>
      <c r="AR50" s="74"/>
      <c r="AS50" s="74"/>
      <c r="AT50" s="74"/>
      <c r="AU50" s="74"/>
      <c r="AV50" s="74"/>
      <c r="AW50" s="74"/>
      <c r="AX50" s="74"/>
      <c r="AY50" s="74"/>
      <c r="AZ50" s="726"/>
      <c r="BA50" s="726"/>
    </row>
    <row r="51" spans="1:53">
      <c r="A51" s="351">
        <v>454</v>
      </c>
      <c r="B51" s="237" t="s">
        <v>1</v>
      </c>
      <c r="E51" s="277"/>
      <c r="F51" s="278"/>
      <c r="G51" s="278"/>
      <c r="H51" s="325"/>
      <c r="I51" s="325"/>
      <c r="J51" s="325"/>
      <c r="K51" s="325"/>
      <c r="L51" s="325"/>
      <c r="M51" s="325"/>
      <c r="N51" s="224"/>
      <c r="O51" s="578">
        <v>-2E-3</v>
      </c>
      <c r="P51" s="578">
        <v>-2E-3</v>
      </c>
      <c r="Q51" s="578">
        <v>-2E-3</v>
      </c>
      <c r="R51" s="578">
        <v>-2E-3</v>
      </c>
      <c r="S51" s="578">
        <v>-2E-3</v>
      </c>
      <c r="T51" s="578">
        <v>-2E-3</v>
      </c>
      <c r="U51" s="578">
        <v>-2E-3</v>
      </c>
      <c r="V51" s="578">
        <v>-2E-3</v>
      </c>
      <c r="W51" s="578">
        <v>-2E-3</v>
      </c>
      <c r="X51" s="578">
        <v>-2E-3</v>
      </c>
      <c r="Y51" s="578">
        <v>-2E-3</v>
      </c>
      <c r="Z51" s="578">
        <v>-2E-3</v>
      </c>
      <c r="AA51" s="211">
        <f>SUM(O51:Z51)</f>
        <v>-2.4000000000000007E-2</v>
      </c>
      <c r="AB51" s="578">
        <v>-2E-3</v>
      </c>
      <c r="AC51" s="578">
        <v>-2E-3</v>
      </c>
      <c r="AD51" s="578">
        <v>-2E-3</v>
      </c>
      <c r="AE51" s="578">
        <v>-2E-3</v>
      </c>
      <c r="AF51" s="578">
        <v>-2E-3</v>
      </c>
      <c r="AG51" s="578">
        <v>-2E-3</v>
      </c>
      <c r="AH51" s="578">
        <v>-2E-3</v>
      </c>
      <c r="AI51" s="578">
        <v>-2E-3</v>
      </c>
      <c r="AJ51" s="578">
        <v>-2E-3</v>
      </c>
      <c r="AK51" s="578">
        <v>-2E-3</v>
      </c>
      <c r="AL51" s="578">
        <v>-2E-3</v>
      </c>
      <c r="AM51" s="578">
        <v>-2E-3</v>
      </c>
      <c r="AN51" s="211">
        <f t="shared" si="33"/>
        <v>-2.4000000000000007E-2</v>
      </c>
      <c r="AO51" s="578">
        <v>-2.4E-2</v>
      </c>
      <c r="AP51" s="578">
        <v>-2.4E-2</v>
      </c>
      <c r="AQ51" s="578">
        <v>-2.4E-2</v>
      </c>
      <c r="AR51" s="578">
        <v>-2.4E-2</v>
      </c>
      <c r="AS51" s="578">
        <v>-2.4E-2</v>
      </c>
      <c r="AT51" s="578">
        <v>-2.4E-2</v>
      </c>
      <c r="AU51" s="578">
        <v>-2.4E-2</v>
      </c>
      <c r="AV51" s="578">
        <v>-2.4E-2</v>
      </c>
      <c r="AW51" s="578">
        <v>-2.4E-2</v>
      </c>
      <c r="AX51" s="578">
        <v>-2.4E-2</v>
      </c>
      <c r="AY51" s="578">
        <v>-2.4E-2</v>
      </c>
      <c r="AZ51" s="519"/>
      <c r="BA51" s="519"/>
    </row>
    <row r="52" spans="1:53">
      <c r="A52" s="268">
        <v>456.1</v>
      </c>
      <c r="B52" s="13" t="s">
        <v>39</v>
      </c>
      <c r="E52" s="277"/>
      <c r="F52" s="278"/>
      <c r="G52" s="278"/>
      <c r="H52" s="325"/>
      <c r="I52" s="325"/>
      <c r="J52" s="325"/>
      <c r="K52" s="325"/>
      <c r="L52" s="325"/>
      <c r="M52" s="325"/>
      <c r="N52" s="224">
        <f>SUM(E52:M52)</f>
        <v>0</v>
      </c>
      <c r="O52" s="519">
        <v>-0.30416700000000002</v>
      </c>
      <c r="P52" s="519">
        <v>-0.30416700000000002</v>
      </c>
      <c r="Q52" s="519">
        <v>-0.30416700000000002</v>
      </c>
      <c r="R52" s="519">
        <v>-0.30416700000000002</v>
      </c>
      <c r="S52" s="519">
        <v>-0.30416700000000002</v>
      </c>
      <c r="T52" s="519">
        <v>-0.30416700000000002</v>
      </c>
      <c r="U52" s="519">
        <v>-0.30416700000000002</v>
      </c>
      <c r="V52" s="519">
        <v>-0.30416700000000002</v>
      </c>
      <c r="W52" s="519">
        <v>-0.30416700000000002</v>
      </c>
      <c r="X52" s="519">
        <v>-0.30416700000000002</v>
      </c>
      <c r="Y52" s="519">
        <v>-0.30416700000000002</v>
      </c>
      <c r="Z52" s="519">
        <v>-0.30416300000000002</v>
      </c>
      <c r="AA52" s="211">
        <f>SUM(O52:Z52)</f>
        <v>-3.6500000000000004</v>
      </c>
      <c r="AB52" s="519">
        <v>-0.30416700000000002</v>
      </c>
      <c r="AC52" s="519">
        <v>-0.30416700000000002</v>
      </c>
      <c r="AD52" s="519">
        <v>-0.30416700000000002</v>
      </c>
      <c r="AE52" s="519">
        <v>-0.30416700000000002</v>
      </c>
      <c r="AF52" s="519">
        <v>-0.30416700000000002</v>
      </c>
      <c r="AG52" s="519">
        <v>-0.30416700000000002</v>
      </c>
      <c r="AH52" s="519">
        <v>-0.30416700000000002</v>
      </c>
      <c r="AI52" s="519">
        <v>-0.30416700000000002</v>
      </c>
      <c r="AJ52" s="519">
        <v>-0.30416700000000002</v>
      </c>
      <c r="AK52" s="519">
        <v>-0.30416700000000002</v>
      </c>
      <c r="AL52" s="519">
        <v>-0.30416700000000002</v>
      </c>
      <c r="AM52" s="519">
        <v>-0.30416300000000002</v>
      </c>
      <c r="AN52" s="211">
        <f t="shared" si="33"/>
        <v>-3.6500000000000004</v>
      </c>
      <c r="AO52" s="519">
        <v>-3.65</v>
      </c>
      <c r="AP52" s="519">
        <v>-3.65</v>
      </c>
      <c r="AQ52" s="482">
        <f>AP52</f>
        <v>-3.65</v>
      </c>
      <c r="AR52" s="482">
        <f t="shared" ref="AR52:AY52" si="35">AQ52</f>
        <v>-3.65</v>
      </c>
      <c r="AS52" s="482">
        <f t="shared" si="35"/>
        <v>-3.65</v>
      </c>
      <c r="AT52" s="482">
        <f t="shared" si="35"/>
        <v>-3.65</v>
      </c>
      <c r="AU52" s="482">
        <f t="shared" si="35"/>
        <v>-3.65</v>
      </c>
      <c r="AV52" s="482">
        <f t="shared" si="35"/>
        <v>-3.65</v>
      </c>
      <c r="AW52" s="482">
        <f t="shared" si="35"/>
        <v>-3.65</v>
      </c>
      <c r="AX52" s="482">
        <f t="shared" si="35"/>
        <v>-3.65</v>
      </c>
      <c r="AY52" s="482">
        <f t="shared" si="35"/>
        <v>-3.65</v>
      </c>
      <c r="AZ52" s="482"/>
      <c r="BA52" s="482"/>
    </row>
    <row r="53" spans="1:53">
      <c r="A53" s="268">
        <v>557.11</v>
      </c>
      <c r="B53" s="13" t="s">
        <v>94</v>
      </c>
      <c r="E53" s="277"/>
      <c r="F53" s="278"/>
      <c r="G53" s="278"/>
      <c r="H53" s="325"/>
      <c r="I53" s="325"/>
      <c r="J53" s="325"/>
      <c r="K53" s="325"/>
      <c r="L53" s="325"/>
      <c r="M53" s="325"/>
      <c r="N53" s="224">
        <f>SUM(E53:M53)</f>
        <v>0</v>
      </c>
      <c r="O53" s="519">
        <v>0.35833300000000001</v>
      </c>
      <c r="P53" s="519">
        <v>0.35833300000000001</v>
      </c>
      <c r="Q53" s="519">
        <v>0.35833300000000001</v>
      </c>
      <c r="R53" s="519">
        <v>0.35833300000000001</v>
      </c>
      <c r="S53" s="519">
        <v>0.35833300000000001</v>
      </c>
      <c r="T53" s="519">
        <v>0.35833300000000001</v>
      </c>
      <c r="U53" s="519">
        <v>0.35833300000000001</v>
      </c>
      <c r="V53" s="519">
        <v>0.35833300000000001</v>
      </c>
      <c r="W53" s="519">
        <v>0.35833300000000001</v>
      </c>
      <c r="X53" s="519">
        <v>0.35833300000000001</v>
      </c>
      <c r="Y53" s="519">
        <v>0.35833300000000001</v>
      </c>
      <c r="Z53" s="519">
        <v>0.35833700000000002</v>
      </c>
      <c r="AA53" s="211">
        <f>SUM(O53:Z53)</f>
        <v>4.3</v>
      </c>
      <c r="AB53" s="519">
        <v>0.35833300000000001</v>
      </c>
      <c r="AC53" s="519">
        <v>0.35833300000000001</v>
      </c>
      <c r="AD53" s="519">
        <v>0.35833300000000001</v>
      </c>
      <c r="AE53" s="519">
        <v>0.35833300000000001</v>
      </c>
      <c r="AF53" s="519">
        <v>0.35833300000000001</v>
      </c>
      <c r="AG53" s="519">
        <v>0.35833300000000001</v>
      </c>
      <c r="AH53" s="519">
        <v>0.35833300000000001</v>
      </c>
      <c r="AI53" s="519">
        <v>0.35833300000000001</v>
      </c>
      <c r="AJ53" s="519">
        <v>0.35833300000000001</v>
      </c>
      <c r="AK53" s="519">
        <v>0.35833300000000001</v>
      </c>
      <c r="AL53" s="519">
        <v>0.35833300000000001</v>
      </c>
      <c r="AM53" s="519">
        <v>0.35833700000000002</v>
      </c>
      <c r="AN53" s="211">
        <f t="shared" si="33"/>
        <v>4.3</v>
      </c>
      <c r="AO53" s="519">
        <v>4.3</v>
      </c>
      <c r="AP53" s="519">
        <v>4.3</v>
      </c>
      <c r="AQ53" s="586">
        <f>AP53</f>
        <v>4.3</v>
      </c>
      <c r="AR53" s="586">
        <f t="shared" ref="AR53:AY53" si="36">AQ53</f>
        <v>4.3</v>
      </c>
      <c r="AS53" s="586">
        <f t="shared" si="36"/>
        <v>4.3</v>
      </c>
      <c r="AT53" s="586">
        <f t="shared" si="36"/>
        <v>4.3</v>
      </c>
      <c r="AU53" s="586">
        <f t="shared" si="36"/>
        <v>4.3</v>
      </c>
      <c r="AV53" s="586">
        <f t="shared" si="36"/>
        <v>4.3</v>
      </c>
      <c r="AW53" s="586">
        <f t="shared" si="36"/>
        <v>4.3</v>
      </c>
      <c r="AX53" s="586">
        <f t="shared" si="36"/>
        <v>4.3</v>
      </c>
      <c r="AY53" s="586">
        <f t="shared" si="36"/>
        <v>4.3</v>
      </c>
      <c r="AZ53" s="482"/>
      <c r="BA53" s="482"/>
    </row>
    <row r="54" spans="1:53">
      <c r="E54" s="277"/>
      <c r="F54" s="273"/>
      <c r="G54" s="273"/>
      <c r="H54" s="273"/>
      <c r="I54" s="273"/>
      <c r="J54" s="273"/>
      <c r="K54" s="273"/>
      <c r="L54" s="273"/>
      <c r="M54" s="273"/>
      <c r="N54" s="22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211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211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26"/>
      <c r="BA54" s="726"/>
    </row>
    <row r="55" spans="1:53">
      <c r="B55" s="49" t="s">
        <v>651</v>
      </c>
      <c r="E55" s="277"/>
      <c r="F55" s="279"/>
      <c r="G55" s="279"/>
      <c r="H55" s="279"/>
      <c r="I55" s="279"/>
      <c r="J55" s="279"/>
      <c r="K55" s="279"/>
      <c r="L55" s="279"/>
      <c r="M55" s="279"/>
      <c r="N55" s="224">
        <f>SUM(E55:M55)</f>
        <v>0</v>
      </c>
      <c r="O55" s="583">
        <f t="shared" ref="O55:Z55" si="37">SUM(O48:O54)</f>
        <v>0.43549900000000002</v>
      </c>
      <c r="P55" s="583">
        <f t="shared" si="37"/>
        <v>0.43549900000000002</v>
      </c>
      <c r="Q55" s="583">
        <f t="shared" si="37"/>
        <v>0.43549900000000002</v>
      </c>
      <c r="R55" s="583">
        <f t="shared" si="37"/>
        <v>0.43549900000000002</v>
      </c>
      <c r="S55" s="583">
        <f t="shared" si="37"/>
        <v>0.43549900000000002</v>
      </c>
      <c r="T55" s="583">
        <f t="shared" si="37"/>
        <v>0.44049900000000003</v>
      </c>
      <c r="U55" s="583">
        <f t="shared" si="37"/>
        <v>0.43549900000000002</v>
      </c>
      <c r="V55" s="583">
        <f t="shared" si="37"/>
        <v>0.43549900000000002</v>
      </c>
      <c r="W55" s="583">
        <f t="shared" si="37"/>
        <v>0.43549900000000002</v>
      </c>
      <c r="X55" s="583">
        <f t="shared" si="37"/>
        <v>0.43549900000000002</v>
      </c>
      <c r="Y55" s="583">
        <f t="shared" si="37"/>
        <v>0.43549900000000002</v>
      </c>
      <c r="Z55" s="583">
        <f t="shared" si="37"/>
        <v>0.43551100000000004</v>
      </c>
      <c r="AA55" s="584">
        <f>SUM(O55:Z55)</f>
        <v>5.2309999999999999</v>
      </c>
      <c r="AB55" s="583">
        <f t="shared" ref="AB55:AM55" si="38">SUM(AB48:AB54)</f>
        <v>0.44699899999999998</v>
      </c>
      <c r="AC55" s="583">
        <f t="shared" si="38"/>
        <v>0.44699899999999998</v>
      </c>
      <c r="AD55" s="583">
        <f t="shared" si="38"/>
        <v>0.44699899999999998</v>
      </c>
      <c r="AE55" s="583">
        <f t="shared" si="38"/>
        <v>0.44699899999999998</v>
      </c>
      <c r="AF55" s="583">
        <f t="shared" si="38"/>
        <v>0.44699899999999998</v>
      </c>
      <c r="AG55" s="583">
        <f t="shared" si="38"/>
        <v>0.45214899999999997</v>
      </c>
      <c r="AH55" s="583">
        <f t="shared" si="38"/>
        <v>0.44699899999999998</v>
      </c>
      <c r="AI55" s="583">
        <f t="shared" si="38"/>
        <v>0.44699899999999998</v>
      </c>
      <c r="AJ55" s="583">
        <f t="shared" si="38"/>
        <v>0.44699899999999998</v>
      </c>
      <c r="AK55" s="583">
        <f t="shared" si="38"/>
        <v>0.44699899999999998</v>
      </c>
      <c r="AL55" s="583">
        <f t="shared" si="38"/>
        <v>0.44699899999999998</v>
      </c>
      <c r="AM55" s="583">
        <f t="shared" si="38"/>
        <v>0.44701099999999999</v>
      </c>
      <c r="AN55" s="584">
        <f t="shared" si="33"/>
        <v>5.3691499999999994</v>
      </c>
      <c r="AO55" s="583">
        <f t="shared" ref="AO55:AY55" si="39">SUM(AO48:AO54)</f>
        <v>5.5114450000000001</v>
      </c>
      <c r="AP55" s="583">
        <f t="shared" si="39"/>
        <v>5.6580078</v>
      </c>
      <c r="AQ55" s="583">
        <f t="shared" si="39"/>
        <v>5.8089680339999994</v>
      </c>
      <c r="AR55" s="583">
        <f t="shared" si="39"/>
        <v>5.9644570750200003</v>
      </c>
      <c r="AS55" s="583">
        <f t="shared" si="39"/>
        <v>6.1246107872705995</v>
      </c>
      <c r="AT55" s="583">
        <f t="shared" si="39"/>
        <v>6.2895691108887171</v>
      </c>
      <c r="AU55" s="583">
        <f t="shared" si="39"/>
        <v>6.4594761842153794</v>
      </c>
      <c r="AV55" s="583">
        <f t="shared" si="39"/>
        <v>6.6344804697418418</v>
      </c>
      <c r="AW55" s="583">
        <f t="shared" si="39"/>
        <v>6.8147348838340971</v>
      </c>
      <c r="AX55" s="583">
        <f t="shared" si="39"/>
        <v>7.0003969303491207</v>
      </c>
      <c r="AY55" s="583">
        <f t="shared" si="39"/>
        <v>7.1916288382595948</v>
      </c>
      <c r="AZ55" s="920"/>
      <c r="BA55" s="920"/>
    </row>
    <row r="56" spans="1:53">
      <c r="E56" s="277"/>
      <c r="F56" s="273"/>
      <c r="G56" s="273"/>
      <c r="H56" s="273"/>
      <c r="I56" s="273"/>
      <c r="J56" s="273"/>
      <c r="K56" s="273"/>
      <c r="L56" s="273"/>
      <c r="M56" s="273"/>
      <c r="N56" s="22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211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211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26"/>
      <c r="BA56" s="726"/>
    </row>
    <row r="57" spans="1:53">
      <c r="B57" s="75" t="s">
        <v>349</v>
      </c>
      <c r="E57" s="277"/>
      <c r="F57" s="273"/>
      <c r="G57" s="273"/>
      <c r="H57" s="273"/>
      <c r="I57" s="273"/>
      <c r="J57" s="273"/>
      <c r="K57" s="273"/>
      <c r="L57" s="273"/>
      <c r="M57" s="273"/>
      <c r="N57" s="22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211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211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26"/>
      <c r="BA57" s="726"/>
    </row>
    <row r="58" spans="1:53">
      <c r="A58" s="269">
        <v>502.11</v>
      </c>
      <c r="B58" s="235" t="s">
        <v>655</v>
      </c>
      <c r="E58" s="277"/>
      <c r="F58" s="278"/>
      <c r="G58" s="278"/>
      <c r="H58" s="327"/>
      <c r="I58" s="327"/>
      <c r="J58" s="327"/>
      <c r="K58" s="327"/>
      <c r="L58" s="327"/>
      <c r="M58" s="327"/>
      <c r="N58" s="224">
        <f t="shared" ref="N58:N65" si="40">SUM(E58:M58)</f>
        <v>0</v>
      </c>
      <c r="O58" s="518">
        <v>0.10823000000000001</v>
      </c>
      <c r="P58" s="518">
        <v>0.108069</v>
      </c>
      <c r="Q58" s="518">
        <v>0.108069</v>
      </c>
      <c r="R58" s="518">
        <v>0.108069</v>
      </c>
      <c r="S58" s="518">
        <v>0.108069</v>
      </c>
      <c r="T58" s="518">
        <v>0.108069</v>
      </c>
      <c r="U58" s="518">
        <v>0.108069</v>
      </c>
      <c r="V58" s="518">
        <v>0.108069</v>
      </c>
      <c r="W58" s="518">
        <v>0.108069</v>
      </c>
      <c r="X58" s="518">
        <v>0.108069</v>
      </c>
      <c r="Y58" s="518">
        <v>0.108069</v>
      </c>
      <c r="Z58" s="518">
        <v>0.108069</v>
      </c>
      <c r="AA58" s="211">
        <f t="shared" ref="AA58:AA67" si="41">SUM(O58:Z58)</f>
        <v>1.2969889999999997</v>
      </c>
      <c r="AB58" s="518">
        <v>0.119145</v>
      </c>
      <c r="AC58" s="518">
        <v>0.118976</v>
      </c>
      <c r="AD58" s="518">
        <v>0.118976</v>
      </c>
      <c r="AE58" s="518">
        <v>0.118976</v>
      </c>
      <c r="AF58" s="518">
        <v>0.118976</v>
      </c>
      <c r="AG58" s="518">
        <v>0.118976</v>
      </c>
      <c r="AH58" s="518">
        <v>0.118976</v>
      </c>
      <c r="AI58" s="518">
        <v>0.118976</v>
      </c>
      <c r="AJ58" s="518">
        <v>0.118976</v>
      </c>
      <c r="AK58" s="518">
        <v>0.118976</v>
      </c>
      <c r="AL58" s="518">
        <v>0.118976</v>
      </c>
      <c r="AM58" s="518">
        <v>0.118976</v>
      </c>
      <c r="AN58" s="211">
        <f t="shared" ref="AN58:AN67" si="42">SUM(AB58:AM58)</f>
        <v>1.4278809999999997</v>
      </c>
      <c r="AO58" s="518">
        <v>1.4992660000000002</v>
      </c>
      <c r="AP58" s="518">
        <v>1.5742379999999998</v>
      </c>
      <c r="AQ58" s="74">
        <f t="shared" ref="AQ58:AY58" si="43">AP58*(1+$D$3)</f>
        <v>1.6214651399999997</v>
      </c>
      <c r="AR58" s="74">
        <f t="shared" si="43"/>
        <v>1.6701090941999999</v>
      </c>
      <c r="AS58" s="74">
        <f t="shared" si="43"/>
        <v>1.7202123670259999</v>
      </c>
      <c r="AT58" s="74">
        <f t="shared" si="43"/>
        <v>1.77181873803678</v>
      </c>
      <c r="AU58" s="74">
        <f t="shared" si="43"/>
        <v>1.8249733001778834</v>
      </c>
      <c r="AV58" s="74">
        <f t="shared" si="43"/>
        <v>1.87972249918322</v>
      </c>
      <c r="AW58" s="74">
        <f t="shared" si="43"/>
        <v>1.9361141741587167</v>
      </c>
      <c r="AX58" s="74">
        <f t="shared" si="43"/>
        <v>1.9941975993834782</v>
      </c>
      <c r="AY58" s="74">
        <f t="shared" si="43"/>
        <v>2.0540235273649827</v>
      </c>
      <c r="AZ58" s="726"/>
      <c r="BA58" s="726"/>
    </row>
    <row r="59" spans="1:53">
      <c r="A59" s="269">
        <v>505.11</v>
      </c>
      <c r="B59" s="236" t="s">
        <v>659</v>
      </c>
      <c r="E59" s="277"/>
      <c r="F59" s="278"/>
      <c r="G59" s="278"/>
      <c r="H59" s="327"/>
      <c r="I59" s="327"/>
      <c r="J59" s="327"/>
      <c r="K59" s="327"/>
      <c r="L59" s="327"/>
      <c r="M59" s="327"/>
      <c r="N59" s="224">
        <f t="shared" si="40"/>
        <v>0</v>
      </c>
      <c r="O59" s="518">
        <v>0.10823000000000001</v>
      </c>
      <c r="P59" s="518">
        <v>0.108069</v>
      </c>
      <c r="Q59" s="518">
        <v>0.108069</v>
      </c>
      <c r="R59" s="518">
        <v>0.108069</v>
      </c>
      <c r="S59" s="518">
        <v>0.108069</v>
      </c>
      <c r="T59" s="518">
        <v>0.108069</v>
      </c>
      <c r="U59" s="518">
        <v>0.108069</v>
      </c>
      <c r="V59" s="518">
        <v>0.108069</v>
      </c>
      <c r="W59" s="518">
        <v>0.108069</v>
      </c>
      <c r="X59" s="518">
        <v>0.108069</v>
      </c>
      <c r="Y59" s="518">
        <v>0.108069</v>
      </c>
      <c r="Z59" s="518">
        <v>0.108069</v>
      </c>
      <c r="AA59" s="211">
        <f t="shared" si="41"/>
        <v>1.2969889999999997</v>
      </c>
      <c r="AB59" s="518">
        <v>0.119145</v>
      </c>
      <c r="AC59" s="518">
        <v>0.118976</v>
      </c>
      <c r="AD59" s="518">
        <v>0.118976</v>
      </c>
      <c r="AE59" s="518">
        <v>0.118976</v>
      </c>
      <c r="AF59" s="518">
        <v>0.118976</v>
      </c>
      <c r="AG59" s="518">
        <v>0.118976</v>
      </c>
      <c r="AH59" s="518">
        <v>0.118976</v>
      </c>
      <c r="AI59" s="518">
        <v>0.118976</v>
      </c>
      <c r="AJ59" s="518">
        <v>0.118976</v>
      </c>
      <c r="AK59" s="518">
        <v>0.118976</v>
      </c>
      <c r="AL59" s="518">
        <v>0.118976</v>
      </c>
      <c r="AM59" s="518">
        <v>0.118976</v>
      </c>
      <c r="AN59" s="211">
        <f t="shared" si="42"/>
        <v>1.4278809999999997</v>
      </c>
      <c r="AO59" s="518">
        <v>1.4992660000000002</v>
      </c>
      <c r="AP59" s="518">
        <v>1.5742379999999998</v>
      </c>
      <c r="AQ59" s="74">
        <f t="shared" ref="AQ59:AY59" si="44">AP59*(1+$D$3)</f>
        <v>1.6214651399999997</v>
      </c>
      <c r="AR59" s="74">
        <f t="shared" si="44"/>
        <v>1.6701090941999999</v>
      </c>
      <c r="AS59" s="74">
        <f t="shared" si="44"/>
        <v>1.7202123670259999</v>
      </c>
      <c r="AT59" s="74">
        <f t="shared" si="44"/>
        <v>1.77181873803678</v>
      </c>
      <c r="AU59" s="74">
        <f t="shared" si="44"/>
        <v>1.8249733001778834</v>
      </c>
      <c r="AV59" s="74">
        <f t="shared" si="44"/>
        <v>1.87972249918322</v>
      </c>
      <c r="AW59" s="74">
        <f t="shared" si="44"/>
        <v>1.9361141741587167</v>
      </c>
      <c r="AX59" s="74">
        <f t="shared" si="44"/>
        <v>1.9941975993834782</v>
      </c>
      <c r="AY59" s="74">
        <f t="shared" si="44"/>
        <v>2.0540235273649827</v>
      </c>
      <c r="AZ59" s="726"/>
      <c r="BA59" s="726"/>
    </row>
    <row r="60" spans="1:53">
      <c r="A60" s="269">
        <v>548.11</v>
      </c>
      <c r="B60" s="236" t="s">
        <v>668</v>
      </c>
      <c r="E60" s="277"/>
      <c r="F60" s="278"/>
      <c r="G60" s="278"/>
      <c r="H60" s="327"/>
      <c r="I60" s="327"/>
      <c r="J60" s="327"/>
      <c r="K60" s="327"/>
      <c r="L60" s="327"/>
      <c r="M60" s="327"/>
      <c r="N60" s="224">
        <f t="shared" si="40"/>
        <v>0</v>
      </c>
      <c r="O60" s="518">
        <v>2.0950000000000001E-3</v>
      </c>
      <c r="P60" s="518">
        <v>2.0920000000000001E-3</v>
      </c>
      <c r="Q60" s="518">
        <v>2.0920000000000001E-3</v>
      </c>
      <c r="R60" s="518">
        <v>2.0920000000000001E-3</v>
      </c>
      <c r="S60" s="518">
        <v>2.0920000000000001E-3</v>
      </c>
      <c r="T60" s="518">
        <v>2.0920000000000001E-3</v>
      </c>
      <c r="U60" s="518">
        <v>2.0920000000000001E-3</v>
      </c>
      <c r="V60" s="518">
        <v>2.0920000000000001E-3</v>
      </c>
      <c r="W60" s="518">
        <v>2.0920000000000001E-3</v>
      </c>
      <c r="X60" s="518">
        <v>2.0920000000000001E-3</v>
      </c>
      <c r="Y60" s="518">
        <v>2.0920000000000001E-3</v>
      </c>
      <c r="Z60" s="518">
        <v>2.0920000000000001E-3</v>
      </c>
      <c r="AA60" s="211">
        <f t="shared" si="41"/>
        <v>2.5107000000000001E-2</v>
      </c>
      <c r="AB60" s="518">
        <v>2.307E-3</v>
      </c>
      <c r="AC60" s="518">
        <v>2.3029999999999999E-3</v>
      </c>
      <c r="AD60" s="518">
        <v>2.3029999999999999E-3</v>
      </c>
      <c r="AE60" s="518">
        <v>2.3029999999999999E-3</v>
      </c>
      <c r="AF60" s="518">
        <v>2.3029999999999999E-3</v>
      </c>
      <c r="AG60" s="518">
        <v>2.3029999999999999E-3</v>
      </c>
      <c r="AH60" s="518">
        <v>2.3029999999999999E-3</v>
      </c>
      <c r="AI60" s="518">
        <v>2.3029999999999999E-3</v>
      </c>
      <c r="AJ60" s="518">
        <v>2.3029999999999999E-3</v>
      </c>
      <c r="AK60" s="518">
        <v>2.3029999999999999E-3</v>
      </c>
      <c r="AL60" s="518">
        <v>2.3029999999999999E-3</v>
      </c>
      <c r="AM60" s="518">
        <v>2.3029999999999999E-3</v>
      </c>
      <c r="AN60" s="211">
        <f t="shared" si="42"/>
        <v>2.7639999999999994E-2</v>
      </c>
      <c r="AO60" s="518">
        <v>2.9031000000000008E-2</v>
      </c>
      <c r="AP60" s="518">
        <v>3.0483000000000007E-2</v>
      </c>
      <c r="AQ60" s="74">
        <f t="shared" ref="AQ60:AY60" si="45">AP60*(1+$D$3)</f>
        <v>3.1397490000000007E-2</v>
      </c>
      <c r="AR60" s="74">
        <f t="shared" si="45"/>
        <v>3.2339414700000006E-2</v>
      </c>
      <c r="AS60" s="74">
        <f t="shared" si="45"/>
        <v>3.3309597141000007E-2</v>
      </c>
      <c r="AT60" s="74">
        <f t="shared" si="45"/>
        <v>3.4308885055230005E-2</v>
      </c>
      <c r="AU60" s="74">
        <f t="shared" si="45"/>
        <v>3.5338151606886907E-2</v>
      </c>
      <c r="AV60" s="74">
        <f t="shared" si="45"/>
        <v>3.6398296155093518E-2</v>
      </c>
      <c r="AW60" s="74">
        <f t="shared" si="45"/>
        <v>3.7490245039746323E-2</v>
      </c>
      <c r="AX60" s="74">
        <f t="shared" si="45"/>
        <v>3.8614952390938713E-2</v>
      </c>
      <c r="AY60" s="74">
        <f t="shared" si="45"/>
        <v>3.9773400962666877E-2</v>
      </c>
      <c r="AZ60" s="726"/>
      <c r="BA60" s="726"/>
    </row>
    <row r="61" spans="1:53">
      <c r="A61" s="269">
        <v>555.15</v>
      </c>
      <c r="B61" s="236" t="s">
        <v>669</v>
      </c>
      <c r="E61" s="277"/>
      <c r="F61" s="278"/>
      <c r="G61" s="278"/>
      <c r="H61" s="327"/>
      <c r="I61" s="327"/>
      <c r="J61" s="327"/>
      <c r="K61" s="327"/>
      <c r="L61" s="327"/>
      <c r="M61" s="327"/>
      <c r="N61" s="224">
        <f t="shared" si="40"/>
        <v>0</v>
      </c>
      <c r="O61" s="518">
        <v>3.3314999999999997E-2</v>
      </c>
      <c r="P61" s="518">
        <v>3.3265999999999997E-2</v>
      </c>
      <c r="Q61" s="518">
        <v>3.3265999999999997E-2</v>
      </c>
      <c r="R61" s="518">
        <v>3.3265999999999997E-2</v>
      </c>
      <c r="S61" s="518">
        <v>3.3265999999999997E-2</v>
      </c>
      <c r="T61" s="518">
        <v>3.3265999999999997E-2</v>
      </c>
      <c r="U61" s="518">
        <v>3.3265999999999997E-2</v>
      </c>
      <c r="V61" s="518">
        <v>3.3265999999999997E-2</v>
      </c>
      <c r="W61" s="518">
        <v>3.3265999999999997E-2</v>
      </c>
      <c r="X61" s="518">
        <v>3.3265999999999997E-2</v>
      </c>
      <c r="Y61" s="518">
        <v>3.3265999999999997E-2</v>
      </c>
      <c r="Z61" s="518">
        <v>3.3255E-2</v>
      </c>
      <c r="AA61" s="211">
        <f t="shared" si="41"/>
        <v>0.39922999999999997</v>
      </c>
      <c r="AB61" s="518">
        <v>3.6674999999999999E-2</v>
      </c>
      <c r="AC61" s="518">
        <v>3.6623000000000003E-2</v>
      </c>
      <c r="AD61" s="518">
        <v>3.6623000000000003E-2</v>
      </c>
      <c r="AE61" s="518">
        <v>3.6623000000000003E-2</v>
      </c>
      <c r="AF61" s="518">
        <v>3.6623000000000003E-2</v>
      </c>
      <c r="AG61" s="518">
        <v>3.6623000000000003E-2</v>
      </c>
      <c r="AH61" s="518">
        <v>3.6623000000000003E-2</v>
      </c>
      <c r="AI61" s="518">
        <v>3.6623000000000003E-2</v>
      </c>
      <c r="AJ61" s="518">
        <v>3.6623000000000003E-2</v>
      </c>
      <c r="AK61" s="518">
        <v>3.6623000000000003E-2</v>
      </c>
      <c r="AL61" s="518">
        <v>3.6623000000000003E-2</v>
      </c>
      <c r="AM61" s="518">
        <v>3.6616999999999997E-2</v>
      </c>
      <c r="AN61" s="211">
        <f t="shared" si="42"/>
        <v>0.43952200000000013</v>
      </c>
      <c r="AO61" s="518">
        <v>0.46149899999999994</v>
      </c>
      <c r="AP61" s="518">
        <v>0.48457499999999998</v>
      </c>
      <c r="AQ61" s="74">
        <f t="shared" ref="AQ61:AY61" si="46">AP61*(1+$D$3)</f>
        <v>0.49911224999999998</v>
      </c>
      <c r="AR61" s="74">
        <f t="shared" si="46"/>
        <v>0.51408561750000004</v>
      </c>
      <c r="AS61" s="74">
        <f t="shared" si="46"/>
        <v>0.52950818602500005</v>
      </c>
      <c r="AT61" s="74">
        <f t="shared" si="46"/>
        <v>0.54539343160575005</v>
      </c>
      <c r="AU61" s="74">
        <f t="shared" si="46"/>
        <v>0.56175523455392251</v>
      </c>
      <c r="AV61" s="74">
        <f t="shared" si="46"/>
        <v>0.57860789159054016</v>
      </c>
      <c r="AW61" s="74">
        <f t="shared" si="46"/>
        <v>0.59596612833825635</v>
      </c>
      <c r="AX61" s="74">
        <f t="shared" si="46"/>
        <v>0.6138451121884041</v>
      </c>
      <c r="AY61" s="74">
        <f t="shared" si="46"/>
        <v>0.63226046555405624</v>
      </c>
      <c r="AZ61" s="726"/>
      <c r="BA61" s="726"/>
    </row>
    <row r="62" spans="1:53">
      <c r="A62" s="270" t="s">
        <v>671</v>
      </c>
      <c r="B62" s="236" t="s">
        <v>672</v>
      </c>
      <c r="E62" s="277"/>
      <c r="F62" s="278"/>
      <c r="G62" s="278"/>
      <c r="H62" s="327"/>
      <c r="I62" s="327"/>
      <c r="J62" s="327"/>
      <c r="K62" s="327"/>
      <c r="L62" s="327"/>
      <c r="M62" s="327"/>
      <c r="N62" s="224">
        <f t="shared" si="40"/>
        <v>0</v>
      </c>
      <c r="O62" s="518">
        <v>2.0508999999999999E-2</v>
      </c>
      <c r="P62" s="518">
        <v>2.0478E-2</v>
      </c>
      <c r="Q62" s="518">
        <v>2.0478E-2</v>
      </c>
      <c r="R62" s="518">
        <v>2.0478E-2</v>
      </c>
      <c r="S62" s="518">
        <v>2.0478E-2</v>
      </c>
      <c r="T62" s="518">
        <v>2.0478E-2</v>
      </c>
      <c r="U62" s="518">
        <v>2.0478E-2</v>
      </c>
      <c r="V62" s="518">
        <v>2.0478E-2</v>
      </c>
      <c r="W62" s="518">
        <v>2.0478E-2</v>
      </c>
      <c r="X62" s="518">
        <v>2.0478E-2</v>
      </c>
      <c r="Y62" s="518">
        <v>2.0478E-2</v>
      </c>
      <c r="Z62" s="518">
        <v>2.0478E-2</v>
      </c>
      <c r="AA62" s="211">
        <f t="shared" si="41"/>
        <v>0.24576699999999996</v>
      </c>
      <c r="AB62" s="518">
        <v>2.2577E-2</v>
      </c>
      <c r="AC62" s="518">
        <v>2.2544999999999999E-2</v>
      </c>
      <c r="AD62" s="518">
        <v>2.2544999999999999E-2</v>
      </c>
      <c r="AE62" s="518">
        <v>2.2544999999999999E-2</v>
      </c>
      <c r="AF62" s="518">
        <v>2.2544999999999999E-2</v>
      </c>
      <c r="AG62" s="518">
        <v>2.2544999999999999E-2</v>
      </c>
      <c r="AH62" s="518">
        <v>2.2544999999999999E-2</v>
      </c>
      <c r="AI62" s="518">
        <v>2.2544999999999999E-2</v>
      </c>
      <c r="AJ62" s="518">
        <v>2.2544999999999999E-2</v>
      </c>
      <c r="AK62" s="518">
        <v>2.2544999999999999E-2</v>
      </c>
      <c r="AL62" s="518">
        <v>2.2544999999999999E-2</v>
      </c>
      <c r="AM62" s="518">
        <v>2.2544999999999999E-2</v>
      </c>
      <c r="AN62" s="211">
        <f t="shared" si="42"/>
        <v>0.27057200000000003</v>
      </c>
      <c r="AO62" s="518">
        <v>0.28409799999999996</v>
      </c>
      <c r="AP62" s="518">
        <v>0.29830699999999993</v>
      </c>
      <c r="AQ62" s="74">
        <f t="shared" ref="AQ62:AY62" si="47">AP62*(1+$D$3)</f>
        <v>0.30725620999999992</v>
      </c>
      <c r="AR62" s="74">
        <f t="shared" si="47"/>
        <v>0.31647389629999995</v>
      </c>
      <c r="AS62" s="74">
        <f t="shared" si="47"/>
        <v>0.32596811318899993</v>
      </c>
      <c r="AT62" s="74">
        <f t="shared" si="47"/>
        <v>0.33574715658466991</v>
      </c>
      <c r="AU62" s="74">
        <f t="shared" si="47"/>
        <v>0.34581957128221003</v>
      </c>
      <c r="AV62" s="74">
        <f t="shared" si="47"/>
        <v>0.35619415842067631</v>
      </c>
      <c r="AW62" s="74">
        <f t="shared" si="47"/>
        <v>0.36687998317329662</v>
      </c>
      <c r="AX62" s="74">
        <f t="shared" si="47"/>
        <v>0.3778863826684955</v>
      </c>
      <c r="AY62" s="74">
        <f t="shared" si="47"/>
        <v>0.38922297414855039</v>
      </c>
      <c r="AZ62" s="726"/>
      <c r="BA62" s="726"/>
    </row>
    <row r="63" spans="1:53">
      <c r="A63" s="270" t="s">
        <v>673</v>
      </c>
      <c r="B63" s="235" t="s">
        <v>681</v>
      </c>
      <c r="E63" s="277"/>
      <c r="F63" s="278"/>
      <c r="G63" s="278"/>
      <c r="H63" s="327"/>
      <c r="I63" s="327"/>
      <c r="J63" s="327"/>
      <c r="K63" s="327"/>
      <c r="L63" s="327"/>
      <c r="M63" s="327"/>
      <c r="N63" s="224">
        <f t="shared" si="40"/>
        <v>0</v>
      </c>
      <c r="O63" s="518">
        <v>1.83E-4</v>
      </c>
      <c r="P63" s="518">
        <v>1.83E-4</v>
      </c>
      <c r="Q63" s="518">
        <v>1.83E-4</v>
      </c>
      <c r="R63" s="518">
        <v>1.83E-4</v>
      </c>
      <c r="S63" s="518">
        <v>1.83E-4</v>
      </c>
      <c r="T63" s="518">
        <v>1.83E-4</v>
      </c>
      <c r="U63" s="518">
        <v>1.83E-4</v>
      </c>
      <c r="V63" s="518">
        <v>1.83E-4</v>
      </c>
      <c r="W63" s="518">
        <v>1.83E-4</v>
      </c>
      <c r="X63" s="518">
        <v>1.83E-4</v>
      </c>
      <c r="Y63" s="518">
        <v>1.83E-4</v>
      </c>
      <c r="Z63" s="518">
        <v>1.83E-4</v>
      </c>
      <c r="AA63" s="211">
        <f t="shared" si="41"/>
        <v>2.196E-3</v>
      </c>
      <c r="AB63" s="518">
        <v>2.02E-4</v>
      </c>
      <c r="AC63" s="518">
        <v>2.02E-4</v>
      </c>
      <c r="AD63" s="518">
        <v>2.02E-4</v>
      </c>
      <c r="AE63" s="518">
        <v>2.02E-4</v>
      </c>
      <c r="AF63" s="518">
        <v>2.02E-4</v>
      </c>
      <c r="AG63" s="518">
        <v>2.02E-4</v>
      </c>
      <c r="AH63" s="518">
        <v>2.02E-4</v>
      </c>
      <c r="AI63" s="518">
        <v>2.02E-4</v>
      </c>
      <c r="AJ63" s="518">
        <v>2.02E-4</v>
      </c>
      <c r="AK63" s="518">
        <v>2.02E-4</v>
      </c>
      <c r="AL63" s="518">
        <v>2.02E-4</v>
      </c>
      <c r="AM63" s="518">
        <v>2.02E-4</v>
      </c>
      <c r="AN63" s="211">
        <f t="shared" si="42"/>
        <v>2.4239999999999995E-3</v>
      </c>
      <c r="AO63" s="518">
        <v>2.5439999999999998E-3</v>
      </c>
      <c r="AP63" s="518">
        <v>2.6649999999999998E-3</v>
      </c>
      <c r="AQ63" s="74">
        <f t="shared" ref="AQ63:AY63" si="48">AP63*(1+$D$3)</f>
        <v>2.7449499999999999E-3</v>
      </c>
      <c r="AR63" s="74">
        <f t="shared" si="48"/>
        <v>2.8272985E-3</v>
      </c>
      <c r="AS63" s="74">
        <f t="shared" si="48"/>
        <v>2.912117455E-3</v>
      </c>
      <c r="AT63" s="74">
        <f t="shared" si="48"/>
        <v>2.9994809786500001E-3</v>
      </c>
      <c r="AU63" s="74">
        <f t="shared" si="48"/>
        <v>3.0894654080095003E-3</v>
      </c>
      <c r="AV63" s="74">
        <f t="shared" si="48"/>
        <v>3.1821493702497853E-3</v>
      </c>
      <c r="AW63" s="74">
        <f t="shared" si="48"/>
        <v>3.2776138513572789E-3</v>
      </c>
      <c r="AX63" s="74">
        <f t="shared" si="48"/>
        <v>3.3759422668979975E-3</v>
      </c>
      <c r="AY63" s="74">
        <f t="shared" si="48"/>
        <v>3.4772205349049377E-3</v>
      </c>
      <c r="AZ63" s="726"/>
      <c r="BA63" s="726"/>
    </row>
    <row r="64" spans="1:53">
      <c r="A64" s="270" t="s">
        <v>637</v>
      </c>
      <c r="B64" s="236" t="s">
        <v>638</v>
      </c>
      <c r="E64" s="277"/>
      <c r="F64" s="278"/>
      <c r="G64" s="278"/>
      <c r="H64" s="327"/>
      <c r="I64" s="327"/>
      <c r="J64" s="327"/>
      <c r="K64" s="327"/>
      <c r="L64" s="327"/>
      <c r="M64" s="327"/>
      <c r="N64" s="224">
        <f t="shared" si="40"/>
        <v>0</v>
      </c>
      <c r="O64" s="518">
        <v>1.9394999999999999E-2</v>
      </c>
      <c r="P64" s="518">
        <v>1.9366000000000001E-2</v>
      </c>
      <c r="Q64" s="518">
        <v>1.9366000000000001E-2</v>
      </c>
      <c r="R64" s="518">
        <v>1.9366000000000001E-2</v>
      </c>
      <c r="S64" s="518">
        <v>1.9366000000000001E-2</v>
      </c>
      <c r="T64" s="518">
        <v>1.9366000000000001E-2</v>
      </c>
      <c r="U64" s="518">
        <v>1.9366000000000001E-2</v>
      </c>
      <c r="V64" s="518">
        <v>1.9366000000000001E-2</v>
      </c>
      <c r="W64" s="518">
        <v>1.9366000000000001E-2</v>
      </c>
      <c r="X64" s="518">
        <v>1.9366000000000001E-2</v>
      </c>
      <c r="Y64" s="518">
        <v>1.9366000000000001E-2</v>
      </c>
      <c r="Z64" s="518">
        <v>1.9366000000000001E-2</v>
      </c>
      <c r="AA64" s="211">
        <f t="shared" si="41"/>
        <v>0.23242099999999996</v>
      </c>
      <c r="AB64" s="518">
        <v>2.1350999999999998E-2</v>
      </c>
      <c r="AC64" s="518">
        <v>2.1321E-2</v>
      </c>
      <c r="AD64" s="518">
        <v>2.1321E-2</v>
      </c>
      <c r="AE64" s="518">
        <v>2.1321E-2</v>
      </c>
      <c r="AF64" s="518">
        <v>2.1321E-2</v>
      </c>
      <c r="AG64" s="518">
        <v>2.1321E-2</v>
      </c>
      <c r="AH64" s="518">
        <v>2.1321E-2</v>
      </c>
      <c r="AI64" s="518">
        <v>2.1321E-2</v>
      </c>
      <c r="AJ64" s="518">
        <v>2.1321E-2</v>
      </c>
      <c r="AK64" s="518">
        <v>2.1321E-2</v>
      </c>
      <c r="AL64" s="518">
        <v>2.1321E-2</v>
      </c>
      <c r="AM64" s="518">
        <v>2.1321E-2</v>
      </c>
      <c r="AN64" s="211">
        <f t="shared" si="42"/>
        <v>0.25588200000000005</v>
      </c>
      <c r="AO64" s="518">
        <v>0.26867499999999994</v>
      </c>
      <c r="AP64" s="518">
        <v>0.28210500000000005</v>
      </c>
      <c r="AQ64" s="74">
        <f t="shared" ref="AQ64:AY64" si="49">AP64*(1+$D$3)</f>
        <v>0.29056815000000008</v>
      </c>
      <c r="AR64" s="74">
        <f t="shared" si="49"/>
        <v>0.29928519450000007</v>
      </c>
      <c r="AS64" s="74">
        <f t="shared" si="49"/>
        <v>0.30826375033500009</v>
      </c>
      <c r="AT64" s="74">
        <f t="shared" si="49"/>
        <v>0.31751166284505011</v>
      </c>
      <c r="AU64" s="74">
        <f t="shared" si="49"/>
        <v>0.32703701273040164</v>
      </c>
      <c r="AV64" s="74">
        <f t="shared" si="49"/>
        <v>0.33684812311231371</v>
      </c>
      <c r="AW64" s="74">
        <f t="shared" si="49"/>
        <v>0.34695356680568312</v>
      </c>
      <c r="AX64" s="74">
        <f t="shared" si="49"/>
        <v>0.35736217380985363</v>
      </c>
      <c r="AY64" s="74">
        <f t="shared" si="49"/>
        <v>0.36808303902414924</v>
      </c>
      <c r="AZ64" s="726"/>
      <c r="BA64" s="726"/>
    </row>
    <row r="65" spans="1:53">
      <c r="A65" s="270" t="s">
        <v>635</v>
      </c>
      <c r="B65" s="236" t="s">
        <v>682</v>
      </c>
      <c r="E65" s="277"/>
      <c r="F65" s="278"/>
      <c r="G65" s="278"/>
      <c r="H65" s="327"/>
      <c r="I65" s="327"/>
      <c r="J65" s="327"/>
      <c r="K65" s="327"/>
      <c r="L65" s="327"/>
      <c r="M65" s="327"/>
      <c r="N65" s="224">
        <f t="shared" si="40"/>
        <v>0</v>
      </c>
      <c r="O65" s="518">
        <v>3.803E-3</v>
      </c>
      <c r="P65" s="518">
        <v>3.7980000000000002E-3</v>
      </c>
      <c r="Q65" s="518">
        <v>3.7980000000000002E-3</v>
      </c>
      <c r="R65" s="518">
        <v>3.7980000000000002E-3</v>
      </c>
      <c r="S65" s="518">
        <v>3.7980000000000002E-3</v>
      </c>
      <c r="T65" s="518">
        <v>3.7980000000000002E-3</v>
      </c>
      <c r="U65" s="518">
        <v>3.7980000000000002E-3</v>
      </c>
      <c r="V65" s="518">
        <v>3.7980000000000002E-3</v>
      </c>
      <c r="W65" s="518">
        <v>3.7980000000000002E-3</v>
      </c>
      <c r="X65" s="518">
        <v>3.7980000000000002E-3</v>
      </c>
      <c r="Y65" s="518">
        <v>3.7980000000000002E-3</v>
      </c>
      <c r="Z65" s="518">
        <v>3.7980000000000002E-3</v>
      </c>
      <c r="AA65" s="211">
        <f t="shared" si="41"/>
        <v>4.5581000000000003E-2</v>
      </c>
      <c r="AB65" s="518">
        <v>4.1869999999999997E-3</v>
      </c>
      <c r="AC65" s="518">
        <v>4.1809999999999998E-3</v>
      </c>
      <c r="AD65" s="518">
        <v>4.1809999999999998E-3</v>
      </c>
      <c r="AE65" s="518">
        <v>4.1809999999999998E-3</v>
      </c>
      <c r="AF65" s="518">
        <v>4.1809999999999998E-3</v>
      </c>
      <c r="AG65" s="518">
        <v>4.1809999999999998E-3</v>
      </c>
      <c r="AH65" s="518">
        <v>4.1809999999999998E-3</v>
      </c>
      <c r="AI65" s="518">
        <v>4.1809999999999998E-3</v>
      </c>
      <c r="AJ65" s="518">
        <v>4.1809999999999998E-3</v>
      </c>
      <c r="AK65" s="518">
        <v>4.1809999999999998E-3</v>
      </c>
      <c r="AL65" s="518">
        <v>4.1809999999999998E-3</v>
      </c>
      <c r="AM65" s="518">
        <v>4.1809999999999998E-3</v>
      </c>
      <c r="AN65" s="211">
        <f t="shared" si="42"/>
        <v>5.0177999999999993E-2</v>
      </c>
      <c r="AO65" s="518">
        <v>5.2685999999999983E-2</v>
      </c>
      <c r="AP65" s="518">
        <v>5.5315000000000017E-2</v>
      </c>
      <c r="AQ65" s="74">
        <f t="shared" ref="AQ65:AY65" si="50">AP65*(1+$D$3)</f>
        <v>5.6974450000000017E-2</v>
      </c>
      <c r="AR65" s="74">
        <f t="shared" si="50"/>
        <v>5.8683683500000021E-2</v>
      </c>
      <c r="AS65" s="74">
        <f t="shared" si="50"/>
        <v>6.0444194005000021E-2</v>
      </c>
      <c r="AT65" s="74">
        <f t="shared" si="50"/>
        <v>6.2257519825150022E-2</v>
      </c>
      <c r="AU65" s="74">
        <f t="shared" si="50"/>
        <v>6.4125245419904525E-2</v>
      </c>
      <c r="AV65" s="74">
        <f t="shared" si="50"/>
        <v>6.6049002782501656E-2</v>
      </c>
      <c r="AW65" s="74">
        <f t="shared" si="50"/>
        <v>6.8030472865976702E-2</v>
      </c>
      <c r="AX65" s="74">
        <f t="shared" si="50"/>
        <v>7.0071387051956008E-2</v>
      </c>
      <c r="AY65" s="74">
        <f t="shared" si="50"/>
        <v>7.2173528663514688E-2</v>
      </c>
      <c r="AZ65" s="726"/>
      <c r="BA65" s="726"/>
    </row>
    <row r="66" spans="1:53">
      <c r="A66" s="262"/>
      <c r="B66" s="236"/>
      <c r="E66" s="277"/>
      <c r="F66" s="273"/>
      <c r="G66" s="273"/>
      <c r="H66" s="273"/>
      <c r="I66" s="273"/>
      <c r="J66" s="273"/>
      <c r="K66" s="273"/>
      <c r="L66" s="273"/>
      <c r="M66" s="273"/>
      <c r="N66" s="22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211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211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26"/>
      <c r="BA66" s="726"/>
    </row>
    <row r="67" spans="1:53">
      <c r="B67" s="263" t="s">
        <v>683</v>
      </c>
      <c r="E67" s="277"/>
      <c r="F67" s="279"/>
      <c r="G67" s="279"/>
      <c r="H67" s="279"/>
      <c r="I67" s="279"/>
      <c r="J67" s="279"/>
      <c r="K67" s="279"/>
      <c r="L67" s="279"/>
      <c r="M67" s="279"/>
      <c r="N67" s="280">
        <f>SUM(E67:M67)</f>
        <v>0</v>
      </c>
      <c r="O67" s="583">
        <f t="shared" ref="O67:Z67" si="51">SUM(O58:O66)</f>
        <v>0.29576000000000002</v>
      </c>
      <c r="P67" s="583">
        <f t="shared" si="51"/>
        <v>0.295321</v>
      </c>
      <c r="Q67" s="583">
        <f t="shared" si="51"/>
        <v>0.295321</v>
      </c>
      <c r="R67" s="583">
        <f t="shared" si="51"/>
        <v>0.295321</v>
      </c>
      <c r="S67" s="583">
        <f t="shared" si="51"/>
        <v>0.295321</v>
      </c>
      <c r="T67" s="583">
        <f t="shared" si="51"/>
        <v>0.295321</v>
      </c>
      <c r="U67" s="583">
        <f t="shared" si="51"/>
        <v>0.295321</v>
      </c>
      <c r="V67" s="583">
        <f t="shared" si="51"/>
        <v>0.295321</v>
      </c>
      <c r="W67" s="583">
        <f t="shared" si="51"/>
        <v>0.295321</v>
      </c>
      <c r="X67" s="583">
        <f t="shared" si="51"/>
        <v>0.295321</v>
      </c>
      <c r="Y67" s="583">
        <f t="shared" si="51"/>
        <v>0.295321</v>
      </c>
      <c r="Z67" s="583">
        <f t="shared" si="51"/>
        <v>0.29531000000000002</v>
      </c>
      <c r="AA67" s="584">
        <f t="shared" si="41"/>
        <v>3.5442799999999997</v>
      </c>
      <c r="AB67" s="583">
        <f t="shared" ref="AB67:AM67" si="52">SUM(AB58:AB66)</f>
        <v>0.32558900000000002</v>
      </c>
      <c r="AC67" s="583">
        <f t="shared" si="52"/>
        <v>0.32512699999999994</v>
      </c>
      <c r="AD67" s="583">
        <f t="shared" si="52"/>
        <v>0.32512699999999994</v>
      </c>
      <c r="AE67" s="583">
        <f t="shared" si="52"/>
        <v>0.32512699999999994</v>
      </c>
      <c r="AF67" s="583">
        <f t="shared" si="52"/>
        <v>0.32512699999999994</v>
      </c>
      <c r="AG67" s="583">
        <f t="shared" si="52"/>
        <v>0.32512699999999994</v>
      </c>
      <c r="AH67" s="583">
        <f t="shared" si="52"/>
        <v>0.32512699999999994</v>
      </c>
      <c r="AI67" s="583">
        <f t="shared" si="52"/>
        <v>0.32512699999999994</v>
      </c>
      <c r="AJ67" s="583">
        <f t="shared" si="52"/>
        <v>0.32512699999999994</v>
      </c>
      <c r="AK67" s="583">
        <f t="shared" si="52"/>
        <v>0.32512699999999994</v>
      </c>
      <c r="AL67" s="583">
        <f t="shared" si="52"/>
        <v>0.32512699999999994</v>
      </c>
      <c r="AM67" s="583">
        <f t="shared" si="52"/>
        <v>0.32512099999999994</v>
      </c>
      <c r="AN67" s="584">
        <f t="shared" si="42"/>
        <v>3.9019800000000004</v>
      </c>
      <c r="AO67" s="583">
        <f t="shared" ref="AO67:AY67" si="53">SUM(AO58:AO66)</f>
        <v>4.0970649999999988</v>
      </c>
      <c r="AP67" s="583">
        <f t="shared" si="53"/>
        <v>4.3019259999999999</v>
      </c>
      <c r="AQ67" s="583">
        <f t="shared" si="53"/>
        <v>4.43098378</v>
      </c>
      <c r="AR67" s="583">
        <f t="shared" si="53"/>
        <v>4.5639132933999997</v>
      </c>
      <c r="AS67" s="583">
        <f t="shared" si="53"/>
        <v>4.7008306922019996</v>
      </c>
      <c r="AT67" s="583">
        <f t="shared" si="53"/>
        <v>4.841855612968061</v>
      </c>
      <c r="AU67" s="583">
        <f t="shared" si="53"/>
        <v>4.9871112813571008</v>
      </c>
      <c r="AV67" s="583">
        <f t="shared" si="53"/>
        <v>5.1367246197978158</v>
      </c>
      <c r="AW67" s="583">
        <f t="shared" si="53"/>
        <v>5.2908263583917501</v>
      </c>
      <c r="AX67" s="583">
        <f t="shared" si="53"/>
        <v>5.4495511491435025</v>
      </c>
      <c r="AY67" s="583">
        <f t="shared" si="53"/>
        <v>5.6130376836178089</v>
      </c>
      <c r="AZ67" s="920"/>
      <c r="BA67" s="920"/>
    </row>
    <row r="68" spans="1:53">
      <c r="B68" s="263" t="s">
        <v>111</v>
      </c>
      <c r="E68" s="277"/>
      <c r="F68" s="279"/>
      <c r="G68" s="279"/>
      <c r="H68" s="279"/>
      <c r="I68" s="279"/>
      <c r="J68" s="279"/>
      <c r="K68" s="279"/>
      <c r="L68" s="279"/>
      <c r="M68" s="350"/>
      <c r="N68" s="280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670">
        <v>3.9020000000000001</v>
      </c>
      <c r="AA68" s="584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670">
        <v>4.0970000000000004</v>
      </c>
      <c r="AN68" s="588"/>
      <c r="AO68" s="670">
        <v>4.3019259999999999</v>
      </c>
      <c r="AP68" s="670">
        <v>4.43098378</v>
      </c>
      <c r="AQ68" s="670">
        <v>4.5639132933999997</v>
      </c>
      <c r="AR68" s="670">
        <v>4.7008306922019996</v>
      </c>
      <c r="AS68" s="670">
        <v>4.841855612968061</v>
      </c>
      <c r="AT68" s="670">
        <v>4.9871112813571008</v>
      </c>
      <c r="AU68" s="670">
        <v>5.1367246197978158</v>
      </c>
      <c r="AV68" s="670">
        <v>5.2908263583917501</v>
      </c>
      <c r="AW68" s="670">
        <v>5.4495511491435025</v>
      </c>
      <c r="AX68" s="670">
        <v>5.6130376836178089</v>
      </c>
      <c r="AY68" s="670">
        <v>5.7814288141263424</v>
      </c>
      <c r="AZ68" s="921"/>
      <c r="BA68" s="921"/>
    </row>
    <row r="69" spans="1:53" ht="13.5" thickBot="1">
      <c r="B69" s="263" t="s">
        <v>112</v>
      </c>
      <c r="E69" s="277"/>
      <c r="F69" s="279"/>
      <c r="G69" s="344"/>
      <c r="H69" s="344"/>
      <c r="I69" s="344"/>
      <c r="J69" s="344"/>
      <c r="K69" s="344"/>
      <c r="L69" s="344"/>
      <c r="M69" s="474">
        <v>3.8250000000000002</v>
      </c>
      <c r="N69" s="280"/>
      <c r="O69" s="589">
        <f>M69-O67+O68</f>
        <v>3.5292400000000002</v>
      </c>
      <c r="P69" s="589">
        <f>O69-P67+P68</f>
        <v>3.2339190000000002</v>
      </c>
      <c r="Q69" s="589">
        <f t="shared" ref="Q69:Z69" si="54">P69-Q67+Q68</f>
        <v>2.9385980000000003</v>
      </c>
      <c r="R69" s="589">
        <f t="shared" si="54"/>
        <v>2.6432770000000003</v>
      </c>
      <c r="S69" s="589">
        <f t="shared" si="54"/>
        <v>2.3479560000000004</v>
      </c>
      <c r="T69" s="589">
        <f t="shared" si="54"/>
        <v>2.0526350000000004</v>
      </c>
      <c r="U69" s="589">
        <f t="shared" si="54"/>
        <v>1.7573140000000005</v>
      </c>
      <c r="V69" s="589">
        <f t="shared" si="54"/>
        <v>1.4619930000000005</v>
      </c>
      <c r="W69" s="589">
        <f t="shared" si="54"/>
        <v>1.1666720000000006</v>
      </c>
      <c r="X69" s="589">
        <f t="shared" si="54"/>
        <v>0.87135100000000065</v>
      </c>
      <c r="Y69" s="589">
        <f t="shared" si="54"/>
        <v>0.57603000000000071</v>
      </c>
      <c r="Z69" s="589">
        <f t="shared" si="54"/>
        <v>4.1827200000000007</v>
      </c>
      <c r="AA69" s="584"/>
      <c r="AB69" s="589">
        <f>Z69-AB67+AB68</f>
        <v>3.8571310000000008</v>
      </c>
      <c r="AC69" s="589">
        <f t="shared" ref="AC69:AL69" si="55">AB69-AC67+AC68</f>
        <v>3.5320040000000006</v>
      </c>
      <c r="AD69" s="589">
        <f t="shared" si="55"/>
        <v>3.2068770000000004</v>
      </c>
      <c r="AE69" s="589">
        <f t="shared" si="55"/>
        <v>2.8817500000000003</v>
      </c>
      <c r="AF69" s="589">
        <f t="shared" si="55"/>
        <v>2.5566230000000001</v>
      </c>
      <c r="AG69" s="589">
        <f t="shared" si="55"/>
        <v>2.2314959999999999</v>
      </c>
      <c r="AH69" s="589">
        <f t="shared" si="55"/>
        <v>1.906369</v>
      </c>
      <c r="AI69" s="589">
        <f t="shared" si="55"/>
        <v>1.581242</v>
      </c>
      <c r="AJ69" s="589">
        <f t="shared" si="55"/>
        <v>1.2561150000000001</v>
      </c>
      <c r="AK69" s="589">
        <f t="shared" si="55"/>
        <v>0.93098800000000015</v>
      </c>
      <c r="AL69" s="589">
        <f t="shared" si="55"/>
        <v>0.6058610000000002</v>
      </c>
      <c r="AM69" s="589">
        <f>AL69-AM67+AM68</f>
        <v>4.3777400000000011</v>
      </c>
      <c r="AN69" s="584"/>
      <c r="AO69" s="589">
        <f>AM69-AO67+AO68</f>
        <v>4.5826010000000021</v>
      </c>
      <c r="AP69" s="589">
        <f t="shared" ref="AP69:AY69" si="56">AO69-AP67+AP68</f>
        <v>4.7116587800000023</v>
      </c>
      <c r="AQ69" s="589">
        <f t="shared" si="56"/>
        <v>4.844588293400002</v>
      </c>
      <c r="AR69" s="589">
        <f t="shared" si="56"/>
        <v>4.9815056922020018</v>
      </c>
      <c r="AS69" s="589">
        <f t="shared" si="56"/>
        <v>5.1225306129680632</v>
      </c>
      <c r="AT69" s="589">
        <f t="shared" si="56"/>
        <v>5.267786281357103</v>
      </c>
      <c r="AU69" s="589">
        <f t="shared" si="56"/>
        <v>5.417399619797818</v>
      </c>
      <c r="AV69" s="589">
        <f t="shared" si="56"/>
        <v>5.5715013583917523</v>
      </c>
      <c r="AW69" s="589">
        <f t="shared" si="56"/>
        <v>5.7302261491435047</v>
      </c>
      <c r="AX69" s="589">
        <f t="shared" si="56"/>
        <v>5.8937126836178111</v>
      </c>
      <c r="AY69" s="589">
        <f t="shared" si="56"/>
        <v>6.0621038141263446</v>
      </c>
      <c r="AZ69" s="920"/>
      <c r="BA69" s="920"/>
    </row>
    <row r="70" spans="1:53" ht="13.5" thickTop="1">
      <c r="E70" s="277"/>
      <c r="F70" s="273"/>
      <c r="G70" s="273"/>
      <c r="H70" s="273"/>
      <c r="I70" s="273"/>
      <c r="J70" s="273"/>
      <c r="K70" s="273"/>
      <c r="L70" s="273"/>
      <c r="M70" s="273"/>
      <c r="N70" s="22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211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211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26"/>
      <c r="BA70" s="726"/>
    </row>
    <row r="71" spans="1:53">
      <c r="B71" s="390" t="s">
        <v>350</v>
      </c>
      <c r="E71" s="277"/>
      <c r="F71" s="273"/>
      <c r="G71" s="273"/>
      <c r="H71" s="273"/>
      <c r="I71" s="273"/>
      <c r="J71" s="273"/>
      <c r="K71" s="273"/>
      <c r="L71" s="273"/>
      <c r="M71" s="273"/>
      <c r="N71" s="22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211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211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26"/>
      <c r="BA71" s="726"/>
    </row>
    <row r="72" spans="1:53">
      <c r="A72" s="13" t="s">
        <v>652</v>
      </c>
      <c r="B72" s="13" t="s">
        <v>653</v>
      </c>
      <c r="E72" s="277"/>
      <c r="F72" s="278"/>
      <c r="G72" s="278"/>
      <c r="H72" s="327"/>
      <c r="I72" s="327"/>
      <c r="J72" s="327"/>
      <c r="K72" s="327"/>
      <c r="L72" s="327"/>
      <c r="M72" s="327"/>
      <c r="N72" s="224">
        <f t="shared" ref="N72:N82" si="57">SUM(E72:M72)</f>
        <v>0</v>
      </c>
      <c r="O72" s="590">
        <v>8.1899999999999996E-4</v>
      </c>
      <c r="P72" s="590">
        <v>8.1899999999999996E-4</v>
      </c>
      <c r="Q72" s="590">
        <v>8.1899999999999996E-4</v>
      </c>
      <c r="R72" s="590">
        <v>8.1899999999999996E-4</v>
      </c>
      <c r="S72" s="590">
        <v>8.1899999999999996E-4</v>
      </c>
      <c r="T72" s="590">
        <v>8.1899999999999996E-4</v>
      </c>
      <c r="U72" s="590">
        <v>8.1899999999999996E-4</v>
      </c>
      <c r="V72" s="590">
        <v>8.1899999999999996E-4</v>
      </c>
      <c r="W72" s="590">
        <v>8.1899999999999996E-4</v>
      </c>
      <c r="X72" s="590">
        <v>8.1899999999999996E-4</v>
      </c>
      <c r="Y72" s="590">
        <v>8.1899999999999996E-4</v>
      </c>
      <c r="Z72" s="590">
        <v>8.1899999999999996E-4</v>
      </c>
      <c r="AA72" s="211">
        <f>SUM(O72:Z72)</f>
        <v>9.8280000000000017E-3</v>
      </c>
      <c r="AB72" s="590">
        <v>8.1899999999999996E-4</v>
      </c>
      <c r="AC72" s="590">
        <v>8.1899999999999996E-4</v>
      </c>
      <c r="AD72" s="590">
        <v>8.1899999999999996E-4</v>
      </c>
      <c r="AE72" s="590">
        <v>8.1899999999999996E-4</v>
      </c>
      <c r="AF72" s="590">
        <v>8.1899999999999996E-4</v>
      </c>
      <c r="AG72" s="590">
        <v>8.1899999999999996E-4</v>
      </c>
      <c r="AH72" s="590">
        <v>8.1899999999999996E-4</v>
      </c>
      <c r="AI72" s="590">
        <v>8.1899999999999996E-4</v>
      </c>
      <c r="AJ72" s="590">
        <v>8.1899999999999996E-4</v>
      </c>
      <c r="AK72" s="590">
        <v>8.1899999999999996E-4</v>
      </c>
      <c r="AL72" s="590">
        <v>8.1899999999999996E-4</v>
      </c>
      <c r="AM72" s="590">
        <v>8.1899999999999996E-4</v>
      </c>
      <c r="AN72" s="211">
        <f>SUM(AB72:AM72)</f>
        <v>9.8280000000000017E-3</v>
      </c>
      <c r="AO72" s="590">
        <v>9.8280000000000017E-3</v>
      </c>
      <c r="AP72" s="590">
        <v>9.8280000000000017E-3</v>
      </c>
      <c r="AQ72" s="74">
        <f t="shared" ref="AQ72:AY72" si="58">AP72*(1+$D$3)</f>
        <v>1.0122840000000003E-2</v>
      </c>
      <c r="AR72" s="74">
        <f t="shared" si="58"/>
        <v>1.0426525200000003E-2</v>
      </c>
      <c r="AS72" s="74">
        <f t="shared" si="58"/>
        <v>1.0739320956000003E-2</v>
      </c>
      <c r="AT72" s="74">
        <f t="shared" si="58"/>
        <v>1.1061500584680004E-2</v>
      </c>
      <c r="AU72" s="74">
        <f t="shared" si="58"/>
        <v>1.1393345602220405E-2</v>
      </c>
      <c r="AV72" s="74">
        <f t="shared" si="58"/>
        <v>1.1735145970287016E-2</v>
      </c>
      <c r="AW72" s="74">
        <f t="shared" si="58"/>
        <v>1.2087200349395626E-2</v>
      </c>
      <c r="AX72" s="74">
        <f t="shared" si="58"/>
        <v>1.2449816359877495E-2</v>
      </c>
      <c r="AY72" s="74">
        <f t="shared" si="58"/>
        <v>1.2823310850673821E-2</v>
      </c>
      <c r="AZ72" s="726"/>
      <c r="BA72" s="726"/>
    </row>
    <row r="73" spans="1:53">
      <c r="A73" s="13" t="s">
        <v>537</v>
      </c>
      <c r="B73" s="13" t="s">
        <v>655</v>
      </c>
      <c r="E73" s="277"/>
      <c r="F73" s="278"/>
      <c r="G73" s="278"/>
      <c r="H73" s="327"/>
      <c r="I73" s="327"/>
      <c r="J73" s="327"/>
      <c r="K73" s="327"/>
      <c r="L73" s="327"/>
      <c r="M73" s="327"/>
      <c r="N73" s="224">
        <f t="shared" si="57"/>
        <v>0</v>
      </c>
      <c r="O73" s="590">
        <v>0.15116599999999999</v>
      </c>
      <c r="P73" s="590">
        <v>0.15116599999999999</v>
      </c>
      <c r="Q73" s="590">
        <v>0.15116599999999999</v>
      </c>
      <c r="R73" s="590">
        <v>0.15116599999999999</v>
      </c>
      <c r="S73" s="590">
        <v>0.15116599999999999</v>
      </c>
      <c r="T73" s="590">
        <v>0.15116599999999999</v>
      </c>
      <c r="U73" s="590">
        <v>0.15116599999999999</v>
      </c>
      <c r="V73" s="590">
        <v>0.15116599999999999</v>
      </c>
      <c r="W73" s="590">
        <v>0.15116599999999999</v>
      </c>
      <c r="X73" s="590">
        <v>0.15116599999999999</v>
      </c>
      <c r="Y73" s="590">
        <v>0.15116599999999999</v>
      </c>
      <c r="Z73" s="590">
        <v>0.15116599999999999</v>
      </c>
      <c r="AA73" s="211">
        <f t="shared" ref="AA73:AA85" si="59">SUM(O73:Z73)</f>
        <v>1.8139919999999996</v>
      </c>
      <c r="AB73" s="590">
        <v>0.16095499999999999</v>
      </c>
      <c r="AC73" s="590">
        <v>0.16095499999999999</v>
      </c>
      <c r="AD73" s="590">
        <v>0.16095499999999999</v>
      </c>
      <c r="AE73" s="590">
        <v>0.16095499999999999</v>
      </c>
      <c r="AF73" s="590">
        <v>0.16095499999999999</v>
      </c>
      <c r="AG73" s="590">
        <v>0.16095499999999999</v>
      </c>
      <c r="AH73" s="590">
        <v>0.16095499999999999</v>
      </c>
      <c r="AI73" s="590">
        <v>0.16095499999999999</v>
      </c>
      <c r="AJ73" s="590">
        <v>0.16095499999999999</v>
      </c>
      <c r="AK73" s="590">
        <v>0.16095499999999999</v>
      </c>
      <c r="AL73" s="590">
        <v>0.16095499999999999</v>
      </c>
      <c r="AM73" s="590">
        <v>0.16095499999999999</v>
      </c>
      <c r="AN73" s="211">
        <f t="shared" ref="AN73:AN85" si="60">SUM(AB73:AM73)</f>
        <v>1.9314599999999997</v>
      </c>
      <c r="AO73" s="590">
        <v>2.0549880000000003</v>
      </c>
      <c r="AP73" s="590">
        <v>2.139516</v>
      </c>
      <c r="AQ73" s="74">
        <f t="shared" ref="AQ73:AY73" si="61">AP73*(1+$D$3)</f>
        <v>2.2037014799999999</v>
      </c>
      <c r="AR73" s="74">
        <f t="shared" si="61"/>
        <v>2.2698125243999998</v>
      </c>
      <c r="AS73" s="74">
        <f t="shared" si="61"/>
        <v>2.3379069001319999</v>
      </c>
      <c r="AT73" s="74">
        <f t="shared" si="61"/>
        <v>2.40804410713596</v>
      </c>
      <c r="AU73" s="74">
        <f t="shared" si="61"/>
        <v>2.480285430350039</v>
      </c>
      <c r="AV73" s="74">
        <f t="shared" si="61"/>
        <v>2.5546939932605404</v>
      </c>
      <c r="AW73" s="74">
        <f t="shared" si="61"/>
        <v>2.6313348130583565</v>
      </c>
      <c r="AX73" s="74">
        <f t="shared" si="61"/>
        <v>2.7102748574501074</v>
      </c>
      <c r="AY73" s="74">
        <f t="shared" si="61"/>
        <v>2.7915831031736107</v>
      </c>
      <c r="AZ73" s="726"/>
      <c r="BA73" s="726"/>
    </row>
    <row r="74" spans="1:53">
      <c r="A74" s="13" t="s">
        <v>658</v>
      </c>
      <c r="B74" s="13" t="s">
        <v>659</v>
      </c>
      <c r="E74" s="277"/>
      <c r="F74" s="278"/>
      <c r="G74" s="278"/>
      <c r="H74" s="327"/>
      <c r="I74" s="327"/>
      <c r="J74" s="327"/>
      <c r="K74" s="327"/>
      <c r="L74" s="327"/>
      <c r="M74" s="327"/>
      <c r="N74" s="224">
        <f t="shared" si="57"/>
        <v>0</v>
      </c>
      <c r="O74" s="590">
        <v>1.6698000000000001E-2</v>
      </c>
      <c r="P74" s="590">
        <v>1.6698000000000001E-2</v>
      </c>
      <c r="Q74" s="590">
        <v>1.6698000000000001E-2</v>
      </c>
      <c r="R74" s="590">
        <v>1.6698000000000001E-2</v>
      </c>
      <c r="S74" s="590">
        <v>1.6698000000000001E-2</v>
      </c>
      <c r="T74" s="590">
        <v>1.6698000000000001E-2</v>
      </c>
      <c r="U74" s="590">
        <v>1.6698000000000001E-2</v>
      </c>
      <c r="V74" s="590">
        <v>1.6698000000000001E-2</v>
      </c>
      <c r="W74" s="590">
        <v>1.6698000000000001E-2</v>
      </c>
      <c r="X74" s="590">
        <v>1.6698000000000001E-2</v>
      </c>
      <c r="Y74" s="590">
        <v>1.6698000000000001E-2</v>
      </c>
      <c r="Z74" s="590">
        <v>1.6698000000000001E-2</v>
      </c>
      <c r="AA74" s="211">
        <f t="shared" si="59"/>
        <v>0.20037599999999997</v>
      </c>
      <c r="AB74" s="590">
        <v>1.6698000000000001E-2</v>
      </c>
      <c r="AC74" s="590">
        <v>1.6698000000000001E-2</v>
      </c>
      <c r="AD74" s="590">
        <v>1.6698000000000001E-2</v>
      </c>
      <c r="AE74" s="590">
        <v>1.6698000000000001E-2</v>
      </c>
      <c r="AF74" s="590">
        <v>1.6698000000000001E-2</v>
      </c>
      <c r="AG74" s="590">
        <v>1.6698000000000001E-2</v>
      </c>
      <c r="AH74" s="590">
        <v>1.6698000000000001E-2</v>
      </c>
      <c r="AI74" s="590">
        <v>1.6698000000000001E-2</v>
      </c>
      <c r="AJ74" s="590">
        <v>1.6698000000000001E-2</v>
      </c>
      <c r="AK74" s="590">
        <v>1.6698000000000001E-2</v>
      </c>
      <c r="AL74" s="590">
        <v>1.6698000000000001E-2</v>
      </c>
      <c r="AM74" s="590">
        <v>1.6698000000000001E-2</v>
      </c>
      <c r="AN74" s="211">
        <f t="shared" si="60"/>
        <v>0.20037599999999997</v>
      </c>
      <c r="AO74" s="590">
        <v>0.20037599999999997</v>
      </c>
      <c r="AP74" s="590">
        <v>0.20037599999999997</v>
      </c>
      <c r="AQ74" s="74">
        <f t="shared" ref="AQ74:AY74" si="62">AP74*(1+$D$3)</f>
        <v>0.20638727999999998</v>
      </c>
      <c r="AR74" s="74">
        <f t="shared" si="62"/>
        <v>0.21257889839999999</v>
      </c>
      <c r="AS74" s="74">
        <f t="shared" si="62"/>
        <v>0.218956265352</v>
      </c>
      <c r="AT74" s="74">
        <f t="shared" si="62"/>
        <v>0.22552495331256001</v>
      </c>
      <c r="AU74" s="74">
        <f t="shared" si="62"/>
        <v>0.23229070191193682</v>
      </c>
      <c r="AV74" s="74">
        <f t="shared" si="62"/>
        <v>0.23925942296929492</v>
      </c>
      <c r="AW74" s="74">
        <f t="shared" si="62"/>
        <v>0.24643720565837376</v>
      </c>
      <c r="AX74" s="74">
        <f t="shared" si="62"/>
        <v>0.25383032182812498</v>
      </c>
      <c r="AY74" s="74">
        <f t="shared" si="62"/>
        <v>0.26144523148296872</v>
      </c>
      <c r="AZ74" s="726"/>
      <c r="BA74" s="726"/>
    </row>
    <row r="75" spans="1:53">
      <c r="A75" s="13" t="s">
        <v>661</v>
      </c>
      <c r="B75" s="13" t="s">
        <v>662</v>
      </c>
      <c r="E75" s="277"/>
      <c r="F75" s="278"/>
      <c r="G75" s="278"/>
      <c r="H75" s="327"/>
      <c r="I75" s="327"/>
      <c r="J75" s="327"/>
      <c r="K75" s="327"/>
      <c r="L75" s="327"/>
      <c r="M75" s="327"/>
      <c r="N75" s="224">
        <f t="shared" si="57"/>
        <v>0</v>
      </c>
      <c r="O75" s="590">
        <v>0</v>
      </c>
      <c r="P75" s="590">
        <v>0</v>
      </c>
      <c r="Q75" s="590">
        <v>0</v>
      </c>
      <c r="R75" s="590">
        <v>0</v>
      </c>
      <c r="S75" s="590">
        <v>0</v>
      </c>
      <c r="T75" s="590">
        <v>0</v>
      </c>
      <c r="U75" s="590">
        <v>0</v>
      </c>
      <c r="V75" s="590">
        <v>0</v>
      </c>
      <c r="W75" s="590">
        <v>0</v>
      </c>
      <c r="X75" s="590">
        <v>0</v>
      </c>
      <c r="Y75" s="590">
        <v>0</v>
      </c>
      <c r="Z75" s="590">
        <v>0</v>
      </c>
      <c r="AA75" s="211">
        <f t="shared" si="59"/>
        <v>0</v>
      </c>
      <c r="AB75" s="590">
        <v>0</v>
      </c>
      <c r="AC75" s="590">
        <v>0</v>
      </c>
      <c r="AD75" s="590">
        <v>0</v>
      </c>
      <c r="AE75" s="590">
        <v>0</v>
      </c>
      <c r="AF75" s="590">
        <v>0</v>
      </c>
      <c r="AG75" s="590">
        <v>0</v>
      </c>
      <c r="AH75" s="590">
        <v>0</v>
      </c>
      <c r="AI75" s="590">
        <v>0</v>
      </c>
      <c r="AJ75" s="590">
        <v>0</v>
      </c>
      <c r="AK75" s="590">
        <v>0</v>
      </c>
      <c r="AL75" s="590">
        <v>0</v>
      </c>
      <c r="AM75" s="590">
        <v>0</v>
      </c>
      <c r="AN75" s="211">
        <f t="shared" si="60"/>
        <v>0</v>
      </c>
      <c r="AO75" s="590">
        <v>0</v>
      </c>
      <c r="AP75" s="590">
        <v>0</v>
      </c>
      <c r="AQ75" s="74">
        <f t="shared" ref="AQ75:AY75" si="63">AP75*(1+$D$3)</f>
        <v>0</v>
      </c>
      <c r="AR75" s="74">
        <f t="shared" si="63"/>
        <v>0</v>
      </c>
      <c r="AS75" s="74">
        <f t="shared" si="63"/>
        <v>0</v>
      </c>
      <c r="AT75" s="74">
        <f t="shared" si="63"/>
        <v>0</v>
      </c>
      <c r="AU75" s="74">
        <f t="shared" si="63"/>
        <v>0</v>
      </c>
      <c r="AV75" s="74">
        <f t="shared" si="63"/>
        <v>0</v>
      </c>
      <c r="AW75" s="74">
        <f t="shared" si="63"/>
        <v>0</v>
      </c>
      <c r="AX75" s="74">
        <f t="shared" si="63"/>
        <v>0</v>
      </c>
      <c r="AY75" s="74">
        <f t="shared" si="63"/>
        <v>0</v>
      </c>
      <c r="AZ75" s="726"/>
      <c r="BA75" s="726"/>
    </row>
    <row r="76" spans="1:53">
      <c r="A76" s="13" t="s">
        <v>663</v>
      </c>
      <c r="B76" s="13" t="s">
        <v>664</v>
      </c>
      <c r="E76" s="277"/>
      <c r="F76" s="278"/>
      <c r="G76" s="278"/>
      <c r="H76" s="327"/>
      <c r="I76" s="327"/>
      <c r="J76" s="327"/>
      <c r="K76" s="327"/>
      <c r="L76" s="327"/>
      <c r="M76" s="327"/>
      <c r="N76" s="224">
        <f t="shared" si="57"/>
        <v>0</v>
      </c>
      <c r="O76" s="590">
        <v>0</v>
      </c>
      <c r="P76" s="590">
        <v>0</v>
      </c>
      <c r="Q76" s="590">
        <v>0</v>
      </c>
      <c r="R76" s="590">
        <v>0</v>
      </c>
      <c r="S76" s="590">
        <v>0</v>
      </c>
      <c r="T76" s="590">
        <v>0</v>
      </c>
      <c r="U76" s="590">
        <v>0</v>
      </c>
      <c r="V76" s="590">
        <v>0</v>
      </c>
      <c r="W76" s="590">
        <v>0</v>
      </c>
      <c r="X76" s="590">
        <v>0</v>
      </c>
      <c r="Y76" s="590">
        <v>0</v>
      </c>
      <c r="Z76" s="590">
        <v>0</v>
      </c>
      <c r="AA76" s="211">
        <f t="shared" si="59"/>
        <v>0</v>
      </c>
      <c r="AB76" s="590">
        <v>0</v>
      </c>
      <c r="AC76" s="590">
        <v>0</v>
      </c>
      <c r="AD76" s="590">
        <v>0</v>
      </c>
      <c r="AE76" s="590">
        <v>0</v>
      </c>
      <c r="AF76" s="590">
        <v>0</v>
      </c>
      <c r="AG76" s="590">
        <v>0</v>
      </c>
      <c r="AH76" s="590">
        <v>0</v>
      </c>
      <c r="AI76" s="590">
        <v>0</v>
      </c>
      <c r="AJ76" s="590">
        <v>0</v>
      </c>
      <c r="AK76" s="590">
        <v>0</v>
      </c>
      <c r="AL76" s="590">
        <v>0</v>
      </c>
      <c r="AM76" s="590">
        <v>0</v>
      </c>
      <c r="AN76" s="211">
        <f t="shared" si="60"/>
        <v>0</v>
      </c>
      <c r="AO76" s="590">
        <v>0</v>
      </c>
      <c r="AP76" s="590">
        <v>0</v>
      </c>
      <c r="AQ76" s="74">
        <f t="shared" ref="AQ76:AY76" si="64">AP76*(1+$D$3)</f>
        <v>0</v>
      </c>
      <c r="AR76" s="74">
        <f t="shared" si="64"/>
        <v>0</v>
      </c>
      <c r="AS76" s="74">
        <f t="shared" si="64"/>
        <v>0</v>
      </c>
      <c r="AT76" s="74">
        <f t="shared" si="64"/>
        <v>0</v>
      </c>
      <c r="AU76" s="74">
        <f t="shared" si="64"/>
        <v>0</v>
      </c>
      <c r="AV76" s="74">
        <f t="shared" si="64"/>
        <v>0</v>
      </c>
      <c r="AW76" s="74">
        <f t="shared" si="64"/>
        <v>0</v>
      </c>
      <c r="AX76" s="74">
        <f t="shared" si="64"/>
        <v>0</v>
      </c>
      <c r="AY76" s="74">
        <f t="shared" si="64"/>
        <v>0</v>
      </c>
      <c r="AZ76" s="726"/>
      <c r="BA76" s="726"/>
    </row>
    <row r="77" spans="1:53">
      <c r="A77" s="13" t="s">
        <v>667</v>
      </c>
      <c r="B77" s="13" t="s">
        <v>668</v>
      </c>
      <c r="E77" s="277"/>
      <c r="F77" s="278"/>
      <c r="G77" s="278"/>
      <c r="H77" s="327"/>
      <c r="I77" s="327"/>
      <c r="J77" s="327"/>
      <c r="K77" s="327"/>
      <c r="L77" s="327"/>
      <c r="M77" s="327"/>
      <c r="N77" s="224">
        <f t="shared" si="57"/>
        <v>0</v>
      </c>
      <c r="O77" s="590">
        <v>7.45E-4</v>
      </c>
      <c r="P77" s="590">
        <v>7.45E-4</v>
      </c>
      <c r="Q77" s="590">
        <v>7.45E-4</v>
      </c>
      <c r="R77" s="590">
        <v>7.45E-4</v>
      </c>
      <c r="S77" s="590">
        <v>7.45E-4</v>
      </c>
      <c r="T77" s="590">
        <v>7.45E-4</v>
      </c>
      <c r="U77" s="590">
        <v>7.45E-4</v>
      </c>
      <c r="V77" s="590">
        <v>7.45E-4</v>
      </c>
      <c r="W77" s="590">
        <v>7.45E-4</v>
      </c>
      <c r="X77" s="590">
        <v>7.45E-4</v>
      </c>
      <c r="Y77" s="590">
        <v>7.45E-4</v>
      </c>
      <c r="Z77" s="590">
        <v>7.45E-4</v>
      </c>
      <c r="AA77" s="211">
        <f t="shared" si="59"/>
        <v>8.94E-3</v>
      </c>
      <c r="AB77" s="590">
        <v>7.5600000000000005E-4</v>
      </c>
      <c r="AC77" s="590">
        <v>7.5600000000000005E-4</v>
      </c>
      <c r="AD77" s="590">
        <v>7.5600000000000005E-4</v>
      </c>
      <c r="AE77" s="590">
        <v>7.5600000000000005E-4</v>
      </c>
      <c r="AF77" s="590">
        <v>7.5600000000000005E-4</v>
      </c>
      <c r="AG77" s="590">
        <v>7.5600000000000005E-4</v>
      </c>
      <c r="AH77" s="590">
        <v>7.5600000000000005E-4</v>
      </c>
      <c r="AI77" s="590">
        <v>7.5600000000000005E-4</v>
      </c>
      <c r="AJ77" s="590">
        <v>7.5600000000000005E-4</v>
      </c>
      <c r="AK77" s="590">
        <v>7.5600000000000005E-4</v>
      </c>
      <c r="AL77" s="590">
        <v>7.5600000000000005E-4</v>
      </c>
      <c r="AM77" s="590">
        <v>7.5600000000000005E-4</v>
      </c>
      <c r="AN77" s="211">
        <f t="shared" si="60"/>
        <v>9.0719999999999985E-3</v>
      </c>
      <c r="AO77" s="590">
        <v>9.1920000000000005E-3</v>
      </c>
      <c r="AP77" s="590">
        <v>9.3240000000000007E-3</v>
      </c>
      <c r="AQ77" s="74">
        <f t="shared" ref="AQ77:AY77" si="65">AP77*(1+$D$3)</f>
        <v>9.6037200000000014E-3</v>
      </c>
      <c r="AR77" s="74">
        <f t="shared" si="65"/>
        <v>9.8918316000000013E-3</v>
      </c>
      <c r="AS77" s="74">
        <f t="shared" si="65"/>
        <v>1.0188586548000001E-2</v>
      </c>
      <c r="AT77" s="74">
        <f t="shared" si="65"/>
        <v>1.0494244144440001E-2</v>
      </c>
      <c r="AU77" s="74">
        <f t="shared" si="65"/>
        <v>1.0809071468773203E-2</v>
      </c>
      <c r="AV77" s="74">
        <f t="shared" si="65"/>
        <v>1.1133343612836398E-2</v>
      </c>
      <c r="AW77" s="74">
        <f t="shared" si="65"/>
        <v>1.1467343921221491E-2</v>
      </c>
      <c r="AX77" s="74">
        <f t="shared" si="65"/>
        <v>1.1811364238858136E-2</v>
      </c>
      <c r="AY77" s="74">
        <f t="shared" si="65"/>
        <v>1.2165705166023881E-2</v>
      </c>
      <c r="AZ77" s="726"/>
      <c r="BA77" s="726"/>
    </row>
    <row r="78" spans="1:53">
      <c r="A78" s="13" t="s">
        <v>546</v>
      </c>
      <c r="B78" s="13" t="s">
        <v>685</v>
      </c>
      <c r="E78" s="277"/>
      <c r="F78" s="278"/>
      <c r="G78" s="278"/>
      <c r="H78" s="327"/>
      <c r="I78" s="327"/>
      <c r="J78" s="327"/>
      <c r="K78" s="327"/>
      <c r="L78" s="327"/>
      <c r="M78" s="327"/>
      <c r="N78" s="224">
        <f t="shared" si="57"/>
        <v>0</v>
      </c>
      <c r="O78" s="590">
        <v>1.5866999999999999E-2</v>
      </c>
      <c r="P78" s="590">
        <v>1.5866999999999999E-2</v>
      </c>
      <c r="Q78" s="590">
        <v>1.5866999999999999E-2</v>
      </c>
      <c r="R78" s="590">
        <v>1.5866999999999999E-2</v>
      </c>
      <c r="S78" s="590">
        <v>1.5866999999999999E-2</v>
      </c>
      <c r="T78" s="590">
        <v>1.5866999999999999E-2</v>
      </c>
      <c r="U78" s="590">
        <v>1.5866999999999999E-2</v>
      </c>
      <c r="V78" s="590">
        <v>1.5866999999999999E-2</v>
      </c>
      <c r="W78" s="590">
        <v>1.5866999999999999E-2</v>
      </c>
      <c r="X78" s="590">
        <v>1.5866999999999999E-2</v>
      </c>
      <c r="Y78" s="590">
        <v>1.5866999999999999E-2</v>
      </c>
      <c r="Z78" s="590">
        <v>1.5866999999999999E-2</v>
      </c>
      <c r="AA78" s="211">
        <f t="shared" si="59"/>
        <v>0.19040399999999993</v>
      </c>
      <c r="AB78" s="590">
        <v>1.5953999999999999E-2</v>
      </c>
      <c r="AC78" s="590">
        <v>1.5953999999999999E-2</v>
      </c>
      <c r="AD78" s="590">
        <v>1.5953999999999999E-2</v>
      </c>
      <c r="AE78" s="590">
        <v>1.5953999999999999E-2</v>
      </c>
      <c r="AF78" s="590">
        <v>1.5953999999999999E-2</v>
      </c>
      <c r="AG78" s="590">
        <v>1.5953999999999999E-2</v>
      </c>
      <c r="AH78" s="590">
        <v>1.5953999999999999E-2</v>
      </c>
      <c r="AI78" s="590">
        <v>1.5953999999999999E-2</v>
      </c>
      <c r="AJ78" s="590">
        <v>1.5953999999999999E-2</v>
      </c>
      <c r="AK78" s="590">
        <v>1.5953999999999999E-2</v>
      </c>
      <c r="AL78" s="590">
        <v>1.5953999999999999E-2</v>
      </c>
      <c r="AM78" s="590">
        <v>1.5953999999999999E-2</v>
      </c>
      <c r="AN78" s="211">
        <f t="shared" si="60"/>
        <v>0.19144799999999998</v>
      </c>
      <c r="AO78" s="590">
        <v>0.19296000000000005</v>
      </c>
      <c r="AP78" s="590">
        <v>0.19406399999999993</v>
      </c>
      <c r="AQ78" s="74">
        <f t="shared" ref="AQ78:AY78" si="66">AP78*(1+$D$3)</f>
        <v>0.19988591999999994</v>
      </c>
      <c r="AR78" s="74">
        <f t="shared" si="66"/>
        <v>0.20588249759999994</v>
      </c>
      <c r="AS78" s="74">
        <f t="shared" si="66"/>
        <v>0.21205897252799993</v>
      </c>
      <c r="AT78" s="74">
        <f t="shared" si="66"/>
        <v>0.21842074170383993</v>
      </c>
      <c r="AU78" s="74">
        <f t="shared" si="66"/>
        <v>0.22497336395495512</v>
      </c>
      <c r="AV78" s="74">
        <f t="shared" si="66"/>
        <v>0.23172256487360379</v>
      </c>
      <c r="AW78" s="74">
        <f t="shared" si="66"/>
        <v>0.23867424181981192</v>
      </c>
      <c r="AX78" s="74">
        <f t="shared" si="66"/>
        <v>0.24583446907440629</v>
      </c>
      <c r="AY78" s="74">
        <f t="shared" si="66"/>
        <v>0.25320950314663848</v>
      </c>
      <c r="AZ78" s="726"/>
      <c r="BA78" s="726"/>
    </row>
    <row r="79" spans="1:53">
      <c r="A79" s="13" t="s">
        <v>686</v>
      </c>
      <c r="B79" s="13" t="s">
        <v>687</v>
      </c>
      <c r="E79" s="277"/>
      <c r="F79" s="278"/>
      <c r="G79" s="278"/>
      <c r="H79" s="327"/>
      <c r="I79" s="327"/>
      <c r="J79" s="327"/>
      <c r="K79" s="327"/>
      <c r="L79" s="327"/>
      <c r="M79" s="327"/>
      <c r="N79" s="224">
        <f t="shared" si="57"/>
        <v>0</v>
      </c>
      <c r="O79" s="590">
        <v>1.95E-4</v>
      </c>
      <c r="P79" s="590">
        <v>1.95E-4</v>
      </c>
      <c r="Q79" s="590">
        <v>1.95E-4</v>
      </c>
      <c r="R79" s="590">
        <v>1.95E-4</v>
      </c>
      <c r="S79" s="590">
        <v>1.95E-4</v>
      </c>
      <c r="T79" s="590">
        <v>1.95E-4</v>
      </c>
      <c r="U79" s="590">
        <v>1.95E-4</v>
      </c>
      <c r="V79" s="590">
        <v>1.95E-4</v>
      </c>
      <c r="W79" s="590">
        <v>1.95E-4</v>
      </c>
      <c r="X79" s="590">
        <v>1.95E-4</v>
      </c>
      <c r="Y79" s="590">
        <v>1.95E-4</v>
      </c>
      <c r="Z79" s="590">
        <v>1.95E-4</v>
      </c>
      <c r="AA79" s="211">
        <f t="shared" si="59"/>
        <v>2.3400000000000001E-3</v>
      </c>
      <c r="AB79" s="590">
        <v>1.95E-4</v>
      </c>
      <c r="AC79" s="590">
        <v>1.95E-4</v>
      </c>
      <c r="AD79" s="590">
        <v>1.95E-4</v>
      </c>
      <c r="AE79" s="590">
        <v>1.95E-4</v>
      </c>
      <c r="AF79" s="590">
        <v>1.95E-4</v>
      </c>
      <c r="AG79" s="590">
        <v>1.95E-4</v>
      </c>
      <c r="AH79" s="590">
        <v>1.95E-4</v>
      </c>
      <c r="AI79" s="590">
        <v>1.95E-4</v>
      </c>
      <c r="AJ79" s="590">
        <v>1.95E-4</v>
      </c>
      <c r="AK79" s="590">
        <v>1.95E-4</v>
      </c>
      <c r="AL79" s="590">
        <v>1.95E-4</v>
      </c>
      <c r="AM79" s="590">
        <v>1.95E-4</v>
      </c>
      <c r="AN79" s="211">
        <f t="shared" si="60"/>
        <v>2.3400000000000001E-3</v>
      </c>
      <c r="AO79" s="590">
        <v>2.3400000000000001E-3</v>
      </c>
      <c r="AP79" s="590">
        <v>2.3400000000000001E-3</v>
      </c>
      <c r="AQ79" s="74">
        <f t="shared" ref="AQ79:AY79" si="67">AP79*(1+$D$3)</f>
        <v>2.4101999999999999E-3</v>
      </c>
      <c r="AR79" s="74">
        <f t="shared" si="67"/>
        <v>2.4825059999999998E-3</v>
      </c>
      <c r="AS79" s="74">
        <f t="shared" si="67"/>
        <v>2.55698118E-3</v>
      </c>
      <c r="AT79" s="74">
        <f t="shared" si="67"/>
        <v>2.6336906154000002E-3</v>
      </c>
      <c r="AU79" s="74">
        <f t="shared" si="67"/>
        <v>2.7127013338620002E-3</v>
      </c>
      <c r="AV79" s="74">
        <f t="shared" si="67"/>
        <v>2.7940823738778603E-3</v>
      </c>
      <c r="AW79" s="74">
        <f t="shared" si="67"/>
        <v>2.8779048450941962E-3</v>
      </c>
      <c r="AX79" s="74">
        <f t="shared" si="67"/>
        <v>2.964241990447022E-3</v>
      </c>
      <c r="AY79" s="74">
        <f t="shared" si="67"/>
        <v>3.0531692501604328E-3</v>
      </c>
      <c r="AZ79" s="726"/>
      <c r="BA79" s="726"/>
    </row>
    <row r="80" spans="1:53">
      <c r="A80" s="13" t="s">
        <v>671</v>
      </c>
      <c r="B80" s="13" t="s">
        <v>688</v>
      </c>
      <c r="E80" s="277"/>
      <c r="F80" s="278"/>
      <c r="G80" s="278"/>
      <c r="H80" s="327"/>
      <c r="I80" s="327"/>
      <c r="J80" s="327"/>
      <c r="K80" s="327"/>
      <c r="L80" s="327"/>
      <c r="M80" s="327"/>
      <c r="N80" s="224">
        <f t="shared" si="57"/>
        <v>0</v>
      </c>
      <c r="O80" s="590">
        <v>1.468E-2</v>
      </c>
      <c r="P80" s="590">
        <v>1.468E-2</v>
      </c>
      <c r="Q80" s="590">
        <v>1.468E-2</v>
      </c>
      <c r="R80" s="590">
        <v>1.468E-2</v>
      </c>
      <c r="S80" s="590">
        <v>1.468E-2</v>
      </c>
      <c r="T80" s="590">
        <v>1.468E-2</v>
      </c>
      <c r="U80" s="590">
        <v>1.468E-2</v>
      </c>
      <c r="V80" s="590">
        <v>1.468E-2</v>
      </c>
      <c r="W80" s="590">
        <v>1.468E-2</v>
      </c>
      <c r="X80" s="590">
        <v>1.468E-2</v>
      </c>
      <c r="Y80" s="590">
        <v>1.468E-2</v>
      </c>
      <c r="Z80" s="590">
        <v>1.468E-2</v>
      </c>
      <c r="AA80" s="211">
        <f t="shared" si="59"/>
        <v>0.17616000000000001</v>
      </c>
      <c r="AB80" s="590">
        <v>1.528E-2</v>
      </c>
      <c r="AC80" s="590">
        <v>1.528E-2</v>
      </c>
      <c r="AD80" s="590">
        <v>1.528E-2</v>
      </c>
      <c r="AE80" s="590">
        <v>1.528E-2</v>
      </c>
      <c r="AF80" s="590">
        <v>1.528E-2</v>
      </c>
      <c r="AG80" s="590">
        <v>1.528E-2</v>
      </c>
      <c r="AH80" s="590">
        <v>1.528E-2</v>
      </c>
      <c r="AI80" s="590">
        <v>1.528E-2</v>
      </c>
      <c r="AJ80" s="590">
        <v>1.528E-2</v>
      </c>
      <c r="AK80" s="590">
        <v>1.528E-2</v>
      </c>
      <c r="AL80" s="590">
        <v>1.528E-2</v>
      </c>
      <c r="AM80" s="590">
        <v>1.528E-2</v>
      </c>
      <c r="AN80" s="211">
        <f t="shared" si="60"/>
        <v>0.18335999999999997</v>
      </c>
      <c r="AO80" s="590">
        <v>0.18830400000000005</v>
      </c>
      <c r="AP80" s="590">
        <v>0.191832</v>
      </c>
      <c r="AQ80" s="74">
        <f t="shared" ref="AQ80:AY80" si="68">AP80*(1+$D$3)</f>
        <v>0.19758696000000001</v>
      </c>
      <c r="AR80" s="74">
        <f t="shared" si="68"/>
        <v>0.20351456880000002</v>
      </c>
      <c r="AS80" s="74">
        <f t="shared" si="68"/>
        <v>0.20962000586400004</v>
      </c>
      <c r="AT80" s="74">
        <f t="shared" si="68"/>
        <v>0.21590860603992004</v>
      </c>
      <c r="AU80" s="74">
        <f t="shared" si="68"/>
        <v>0.22238586422111764</v>
      </c>
      <c r="AV80" s="74">
        <f t="shared" si="68"/>
        <v>0.22905744014775117</v>
      </c>
      <c r="AW80" s="74">
        <f t="shared" si="68"/>
        <v>0.23592916335218372</v>
      </c>
      <c r="AX80" s="74">
        <f t="shared" si="68"/>
        <v>0.24300703825274925</v>
      </c>
      <c r="AY80" s="74">
        <f t="shared" si="68"/>
        <v>0.25029724940033171</v>
      </c>
      <c r="AZ80" s="726"/>
      <c r="BA80" s="726"/>
    </row>
    <row r="81" spans="1:53">
      <c r="A81" s="13" t="s">
        <v>673</v>
      </c>
      <c r="B81" s="13" t="s">
        <v>689</v>
      </c>
      <c r="E81" s="277"/>
      <c r="F81" s="278"/>
      <c r="G81" s="278"/>
      <c r="H81" s="327"/>
      <c r="I81" s="327"/>
      <c r="J81" s="327"/>
      <c r="K81" s="327"/>
      <c r="L81" s="327"/>
      <c r="M81" s="327"/>
      <c r="N81" s="224">
        <f t="shared" si="57"/>
        <v>0</v>
      </c>
      <c r="O81" s="590">
        <v>7.8326999999999994E-2</v>
      </c>
      <c r="P81" s="590">
        <v>7.8326999999999994E-2</v>
      </c>
      <c r="Q81" s="590">
        <v>7.8326999999999994E-2</v>
      </c>
      <c r="R81" s="590">
        <v>7.8326999999999994E-2</v>
      </c>
      <c r="S81" s="590">
        <v>7.8326999999999994E-2</v>
      </c>
      <c r="T81" s="590">
        <v>7.8326999999999994E-2</v>
      </c>
      <c r="U81" s="590">
        <v>7.8326999999999994E-2</v>
      </c>
      <c r="V81" s="590">
        <v>7.8326999999999994E-2</v>
      </c>
      <c r="W81" s="590">
        <v>7.8326999999999994E-2</v>
      </c>
      <c r="X81" s="590">
        <v>7.8326999999999994E-2</v>
      </c>
      <c r="Y81" s="590">
        <v>7.8326999999999994E-2</v>
      </c>
      <c r="Z81" s="590">
        <v>7.8326999999999994E-2</v>
      </c>
      <c r="AA81" s="211">
        <f t="shared" si="59"/>
        <v>0.93992400000000009</v>
      </c>
      <c r="AB81" s="590">
        <v>8.4251999999999994E-2</v>
      </c>
      <c r="AC81" s="590">
        <v>8.4251999999999994E-2</v>
      </c>
      <c r="AD81" s="590">
        <v>8.4251999999999994E-2</v>
      </c>
      <c r="AE81" s="590">
        <v>8.4251999999999994E-2</v>
      </c>
      <c r="AF81" s="590">
        <v>8.4251999999999994E-2</v>
      </c>
      <c r="AG81" s="590">
        <v>8.4251999999999994E-2</v>
      </c>
      <c r="AH81" s="590">
        <v>8.4251999999999994E-2</v>
      </c>
      <c r="AI81" s="590">
        <v>8.4251999999999994E-2</v>
      </c>
      <c r="AJ81" s="590">
        <v>8.4251999999999994E-2</v>
      </c>
      <c r="AK81" s="590">
        <v>8.4251999999999994E-2</v>
      </c>
      <c r="AL81" s="590">
        <v>8.4251999999999994E-2</v>
      </c>
      <c r="AM81" s="590">
        <v>8.4251999999999994E-2</v>
      </c>
      <c r="AN81" s="211">
        <f t="shared" si="60"/>
        <v>1.0110239999999999</v>
      </c>
      <c r="AO81" s="590">
        <v>1.0641719999999999</v>
      </c>
      <c r="AP81" s="590">
        <v>1.1060760000000003</v>
      </c>
      <c r="AQ81" s="74">
        <f t="shared" ref="AQ81:AY81" si="69">AP81*(1+$D$3)</f>
        <v>1.1392582800000004</v>
      </c>
      <c r="AR81" s="74">
        <f t="shared" si="69"/>
        <v>1.1734360284000005</v>
      </c>
      <c r="AS81" s="74">
        <f t="shared" si="69"/>
        <v>1.2086391092520006</v>
      </c>
      <c r="AT81" s="74">
        <f t="shared" si="69"/>
        <v>1.2448982825295607</v>
      </c>
      <c r="AU81" s="74">
        <f t="shared" si="69"/>
        <v>1.2822452310054475</v>
      </c>
      <c r="AV81" s="74">
        <f t="shared" si="69"/>
        <v>1.320712587935611</v>
      </c>
      <c r="AW81" s="74">
        <f t="shared" si="69"/>
        <v>1.3603339655736792</v>
      </c>
      <c r="AX81" s="74">
        <f t="shared" si="69"/>
        <v>1.4011439845408897</v>
      </c>
      <c r="AY81" s="74">
        <f t="shared" si="69"/>
        <v>1.4431783040771164</v>
      </c>
      <c r="AZ81" s="726"/>
      <c r="BA81" s="726"/>
    </row>
    <row r="82" spans="1:53">
      <c r="A82" s="271">
        <v>930.21</v>
      </c>
      <c r="B82" s="13" t="s">
        <v>690</v>
      </c>
      <c r="E82" s="277"/>
      <c r="F82" s="278"/>
      <c r="G82" s="278"/>
      <c r="H82" s="327"/>
      <c r="I82" s="327"/>
      <c r="J82" s="327"/>
      <c r="K82" s="327"/>
      <c r="L82" s="327"/>
      <c r="M82" s="327"/>
      <c r="N82" s="224">
        <f t="shared" si="57"/>
        <v>0</v>
      </c>
      <c r="O82" s="590">
        <v>4.5811999999999999E-2</v>
      </c>
      <c r="P82" s="590">
        <v>4.5811999999999999E-2</v>
      </c>
      <c r="Q82" s="590">
        <v>4.5811999999999999E-2</v>
      </c>
      <c r="R82" s="590">
        <v>4.5811999999999999E-2</v>
      </c>
      <c r="S82" s="590">
        <v>4.5811999999999999E-2</v>
      </c>
      <c r="T82" s="590">
        <v>4.5811999999999999E-2</v>
      </c>
      <c r="U82" s="590">
        <v>4.5811999999999999E-2</v>
      </c>
      <c r="V82" s="590">
        <v>4.5811999999999999E-2</v>
      </c>
      <c r="W82" s="590">
        <v>4.5811999999999999E-2</v>
      </c>
      <c r="X82" s="590">
        <v>4.5811999999999999E-2</v>
      </c>
      <c r="Y82" s="590">
        <v>4.5811999999999999E-2</v>
      </c>
      <c r="Z82" s="590">
        <v>4.5811999999999999E-2</v>
      </c>
      <c r="AA82" s="211">
        <f t="shared" si="59"/>
        <v>0.54974400000000001</v>
      </c>
      <c r="AB82" s="590">
        <v>5.5721E-2</v>
      </c>
      <c r="AC82" s="590">
        <v>5.5721E-2</v>
      </c>
      <c r="AD82" s="590">
        <v>5.5721E-2</v>
      </c>
      <c r="AE82" s="590">
        <v>5.5721E-2</v>
      </c>
      <c r="AF82" s="590">
        <v>5.5721E-2</v>
      </c>
      <c r="AG82" s="590">
        <v>5.5721E-2</v>
      </c>
      <c r="AH82" s="590">
        <v>5.5721E-2</v>
      </c>
      <c r="AI82" s="590">
        <v>5.5721E-2</v>
      </c>
      <c r="AJ82" s="590">
        <v>5.5721E-2</v>
      </c>
      <c r="AK82" s="590">
        <v>5.5721E-2</v>
      </c>
      <c r="AL82" s="590">
        <v>5.5721E-2</v>
      </c>
      <c r="AM82" s="590">
        <v>5.5721E-2</v>
      </c>
      <c r="AN82" s="211">
        <f t="shared" si="60"/>
        <v>0.66865200000000014</v>
      </c>
      <c r="AO82" s="590">
        <v>0.72908399999999984</v>
      </c>
      <c r="AP82" s="590">
        <v>0.79948800000000009</v>
      </c>
      <c r="AQ82" s="74">
        <f t="shared" ref="AQ82:AY82" si="70">AP82*(1+$D$3)</f>
        <v>0.82347264000000009</v>
      </c>
      <c r="AR82" s="74">
        <f t="shared" si="70"/>
        <v>0.8481768192000001</v>
      </c>
      <c r="AS82" s="74">
        <f t="shared" si="70"/>
        <v>0.87362212377600013</v>
      </c>
      <c r="AT82" s="74">
        <f t="shared" si="70"/>
        <v>0.89983078748928014</v>
      </c>
      <c r="AU82" s="74">
        <f t="shared" si="70"/>
        <v>0.92682571111395862</v>
      </c>
      <c r="AV82" s="74">
        <f t="shared" si="70"/>
        <v>0.95463048244737736</v>
      </c>
      <c r="AW82" s="74">
        <f t="shared" si="70"/>
        <v>0.98326939692079873</v>
      </c>
      <c r="AX82" s="74">
        <f t="shared" si="70"/>
        <v>1.0127674788284227</v>
      </c>
      <c r="AY82" s="74">
        <f t="shared" si="70"/>
        <v>1.0431505031932753</v>
      </c>
      <c r="AZ82" s="726"/>
      <c r="BA82" s="726"/>
    </row>
    <row r="83" spans="1:53">
      <c r="E83" s="277"/>
      <c r="F83" s="273"/>
      <c r="G83" s="273"/>
      <c r="H83" s="273"/>
      <c r="I83" s="273"/>
      <c r="J83" s="273"/>
      <c r="K83" s="273"/>
      <c r="L83" s="273"/>
      <c r="M83" s="273"/>
      <c r="N83" s="22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211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211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26"/>
      <c r="BA83" s="726"/>
    </row>
    <row r="84" spans="1:53">
      <c r="B84" s="49" t="s">
        <v>691</v>
      </c>
      <c r="E84" s="277"/>
      <c r="F84" s="279"/>
      <c r="G84" s="279"/>
      <c r="H84" s="279"/>
      <c r="I84" s="279"/>
      <c r="J84" s="279"/>
      <c r="K84" s="279"/>
      <c r="L84" s="279"/>
      <c r="M84" s="279"/>
      <c r="N84" s="280">
        <f>SUM(E84:M84)</f>
        <v>0</v>
      </c>
      <c r="O84" s="583">
        <f t="shared" ref="O84:Z84" si="71">SUM(O72:O83)</f>
        <v>0.32430899999999996</v>
      </c>
      <c r="P84" s="583">
        <f t="shared" si="71"/>
        <v>0.32430899999999996</v>
      </c>
      <c r="Q84" s="583">
        <f t="shared" si="71"/>
        <v>0.32430899999999996</v>
      </c>
      <c r="R84" s="583">
        <f t="shared" si="71"/>
        <v>0.32430899999999996</v>
      </c>
      <c r="S84" s="583">
        <f t="shared" si="71"/>
        <v>0.32430899999999996</v>
      </c>
      <c r="T84" s="583">
        <f t="shared" si="71"/>
        <v>0.32430899999999996</v>
      </c>
      <c r="U84" s="583">
        <f t="shared" si="71"/>
        <v>0.32430899999999996</v>
      </c>
      <c r="V84" s="583">
        <f t="shared" si="71"/>
        <v>0.32430899999999996</v>
      </c>
      <c r="W84" s="583">
        <f t="shared" si="71"/>
        <v>0.32430899999999996</v>
      </c>
      <c r="X84" s="583">
        <f t="shared" si="71"/>
        <v>0.32430899999999996</v>
      </c>
      <c r="Y84" s="583">
        <f t="shared" si="71"/>
        <v>0.32430899999999996</v>
      </c>
      <c r="Z84" s="583">
        <f t="shared" si="71"/>
        <v>0.32430899999999996</v>
      </c>
      <c r="AA84" s="584">
        <f t="shared" si="59"/>
        <v>3.8917079999999995</v>
      </c>
      <c r="AB84" s="583">
        <f t="shared" ref="AB84:AM84" si="72">SUM(AB72:AB83)</f>
        <v>0.35063</v>
      </c>
      <c r="AC84" s="583">
        <f t="shared" si="72"/>
        <v>0.35063</v>
      </c>
      <c r="AD84" s="583">
        <f t="shared" si="72"/>
        <v>0.35063</v>
      </c>
      <c r="AE84" s="583">
        <f t="shared" si="72"/>
        <v>0.35063</v>
      </c>
      <c r="AF84" s="583">
        <f t="shared" si="72"/>
        <v>0.35063</v>
      </c>
      <c r="AG84" s="583">
        <f t="shared" si="72"/>
        <v>0.35063</v>
      </c>
      <c r="AH84" s="583">
        <f t="shared" si="72"/>
        <v>0.35063</v>
      </c>
      <c r="AI84" s="583">
        <f t="shared" si="72"/>
        <v>0.35063</v>
      </c>
      <c r="AJ84" s="583">
        <f t="shared" si="72"/>
        <v>0.35063</v>
      </c>
      <c r="AK84" s="583">
        <f t="shared" si="72"/>
        <v>0.35063</v>
      </c>
      <c r="AL84" s="583">
        <f t="shared" si="72"/>
        <v>0.35063</v>
      </c>
      <c r="AM84" s="583">
        <f t="shared" si="72"/>
        <v>0.35063</v>
      </c>
      <c r="AN84" s="584">
        <f t="shared" si="60"/>
        <v>4.2075599999999991</v>
      </c>
      <c r="AO84" s="583">
        <f t="shared" ref="AO84:AY84" si="73">SUM(AO72:AO83)</f>
        <v>4.4512440000000009</v>
      </c>
      <c r="AP84" s="583">
        <f t="shared" si="73"/>
        <v>4.652844</v>
      </c>
      <c r="AQ84" s="583">
        <f t="shared" si="73"/>
        <v>4.7924293200000001</v>
      </c>
      <c r="AR84" s="583">
        <f t="shared" si="73"/>
        <v>4.9362021996000003</v>
      </c>
      <c r="AS84" s="583">
        <f t="shared" si="73"/>
        <v>5.0842882655880004</v>
      </c>
      <c r="AT84" s="583">
        <f t="shared" si="73"/>
        <v>5.2368169135556411</v>
      </c>
      <c r="AU84" s="583">
        <f t="shared" si="73"/>
        <v>5.393921420962311</v>
      </c>
      <c r="AV84" s="583">
        <f t="shared" si="73"/>
        <v>5.5557390635911794</v>
      </c>
      <c r="AW84" s="583">
        <f t="shared" si="73"/>
        <v>5.7224112354989147</v>
      </c>
      <c r="AX84" s="583">
        <f t="shared" si="73"/>
        <v>5.8940835725638827</v>
      </c>
      <c r="AY84" s="583">
        <f t="shared" si="73"/>
        <v>6.0709060797407997</v>
      </c>
      <c r="AZ84" s="920"/>
      <c r="BA84" s="920"/>
    </row>
    <row r="85" spans="1:53">
      <c r="B85" s="49" t="s">
        <v>404</v>
      </c>
      <c r="E85" s="277"/>
      <c r="F85" s="273"/>
      <c r="G85" s="273"/>
      <c r="H85" s="273"/>
      <c r="I85" s="326"/>
      <c r="J85" s="326"/>
      <c r="K85" s="326"/>
      <c r="L85" s="326"/>
      <c r="M85" s="326"/>
      <c r="N85" s="224"/>
      <c r="O85" s="587"/>
      <c r="P85" s="74"/>
      <c r="Q85" s="74"/>
      <c r="R85" s="74"/>
      <c r="S85" s="74"/>
      <c r="T85" s="74"/>
      <c r="U85" s="74"/>
      <c r="V85" s="670">
        <v>2.135176</v>
      </c>
      <c r="W85" s="670"/>
      <c r="X85" s="670"/>
      <c r="Y85" s="670">
        <v>0.56623800000000002</v>
      </c>
      <c r="Z85" s="670">
        <v>0.61021199999999998</v>
      </c>
      <c r="AA85" s="584">
        <f t="shared" si="59"/>
        <v>3.3116259999999995</v>
      </c>
      <c r="AB85" s="670">
        <v>0.58008899999999997</v>
      </c>
      <c r="AC85" s="578"/>
      <c r="AD85" s="578"/>
      <c r="AE85" s="578"/>
      <c r="AF85" s="578"/>
      <c r="AG85" s="578"/>
      <c r="AH85" s="578"/>
      <c r="AI85" s="670">
        <v>2.2810160000000002</v>
      </c>
      <c r="AJ85" s="670"/>
      <c r="AK85" s="670"/>
      <c r="AL85" s="670">
        <v>0.636934</v>
      </c>
      <c r="AM85" s="670">
        <v>0.55671199999999998</v>
      </c>
      <c r="AN85" s="584">
        <f t="shared" si="60"/>
        <v>4.0547510000000004</v>
      </c>
      <c r="AO85" s="670">
        <f>0.732858+2.409603+0.685564+0.664525</f>
        <v>4.4925499999999996</v>
      </c>
      <c r="AP85" s="670">
        <f>0.691535+2.494+0.736979+0.688381</f>
        <v>4.6108950000000002</v>
      </c>
      <c r="AQ85" s="74">
        <f>AQ84</f>
        <v>4.7924293200000001</v>
      </c>
      <c r="AR85" s="74">
        <f>AR84</f>
        <v>4.9362021996000003</v>
      </c>
      <c r="AS85" s="74">
        <f t="shared" ref="AS85:AY85" si="74">AS84</f>
        <v>5.0842882655880004</v>
      </c>
      <c r="AT85" s="74">
        <f t="shared" si="74"/>
        <v>5.2368169135556411</v>
      </c>
      <c r="AU85" s="74">
        <f t="shared" si="74"/>
        <v>5.393921420962311</v>
      </c>
      <c r="AV85" s="74">
        <f t="shared" si="74"/>
        <v>5.5557390635911794</v>
      </c>
      <c r="AW85" s="74">
        <f t="shared" si="74"/>
        <v>5.7224112354989147</v>
      </c>
      <c r="AX85" s="74">
        <f t="shared" si="74"/>
        <v>5.8940835725638827</v>
      </c>
      <c r="AY85" s="74">
        <f t="shared" si="74"/>
        <v>6.0709060797407997</v>
      </c>
      <c r="AZ85" s="726"/>
      <c r="BA85" s="726"/>
    </row>
    <row r="86" spans="1:53">
      <c r="B86" s="49"/>
      <c r="E86" s="277"/>
      <c r="F86" s="273"/>
      <c r="G86" s="273"/>
      <c r="H86" s="273"/>
      <c r="I86" s="278"/>
      <c r="J86" s="273"/>
      <c r="K86" s="273"/>
      <c r="L86" s="278"/>
      <c r="M86" s="278"/>
      <c r="N86" s="224"/>
      <c r="O86" s="74"/>
      <c r="P86" s="74"/>
      <c r="Q86" s="74"/>
      <c r="R86" s="74"/>
      <c r="S86" s="74"/>
      <c r="T86" s="74"/>
      <c r="U86" s="74"/>
      <c r="V86" s="591"/>
      <c r="W86" s="591"/>
      <c r="X86" s="591"/>
      <c r="Y86" s="591"/>
      <c r="Z86" s="591"/>
      <c r="AA86" s="211"/>
      <c r="AB86" s="74"/>
      <c r="AC86" s="74"/>
      <c r="AD86" s="74"/>
      <c r="AE86" s="74"/>
      <c r="AF86" s="74"/>
      <c r="AG86" s="74"/>
      <c r="AH86" s="74"/>
      <c r="AI86" s="591"/>
      <c r="AJ86" s="591"/>
      <c r="AK86" s="591"/>
      <c r="AL86" s="591"/>
      <c r="AM86" s="591"/>
      <c r="AN86" s="211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26"/>
      <c r="BA86" s="726"/>
    </row>
    <row r="87" spans="1:53">
      <c r="A87" s="238" t="s">
        <v>823</v>
      </c>
      <c r="B87" s="355" t="s">
        <v>824</v>
      </c>
      <c r="E87" s="277"/>
      <c r="F87" s="273"/>
      <c r="G87" s="273"/>
      <c r="H87" s="273"/>
      <c r="I87" s="278"/>
      <c r="J87" s="273"/>
      <c r="K87" s="273"/>
      <c r="L87" s="278"/>
      <c r="M87" s="278"/>
      <c r="N87" s="224"/>
      <c r="O87" s="518">
        <v>0</v>
      </c>
      <c r="P87" s="518">
        <v>0</v>
      </c>
      <c r="Q87" s="518">
        <v>8.5000000000000006E-5</v>
      </c>
      <c r="R87" s="518">
        <v>8.0000000000000004E-4</v>
      </c>
      <c r="S87" s="518">
        <v>0</v>
      </c>
      <c r="T87" s="518">
        <v>0</v>
      </c>
      <c r="U87" s="518">
        <v>0</v>
      </c>
      <c r="V87" s="518">
        <v>0</v>
      </c>
      <c r="W87" s="518">
        <v>0</v>
      </c>
      <c r="X87" s="518">
        <v>0</v>
      </c>
      <c r="Y87" s="518">
        <v>0</v>
      </c>
      <c r="Z87" s="518">
        <v>0</v>
      </c>
      <c r="AA87" s="211">
        <f>SUM(O87:Z87)</f>
        <v>8.8500000000000004E-4</v>
      </c>
      <c r="AB87" s="518">
        <v>0</v>
      </c>
      <c r="AC87" s="518">
        <v>0</v>
      </c>
      <c r="AD87" s="518">
        <v>8.5000000000000006E-5</v>
      </c>
      <c r="AE87" s="518">
        <v>8.0000000000000004E-4</v>
      </c>
      <c r="AF87" s="518">
        <v>0</v>
      </c>
      <c r="AG87" s="518">
        <v>0</v>
      </c>
      <c r="AH87" s="518">
        <v>0</v>
      </c>
      <c r="AI87" s="518">
        <v>0</v>
      </c>
      <c r="AJ87" s="518">
        <v>0</v>
      </c>
      <c r="AK87" s="518">
        <v>0</v>
      </c>
      <c r="AL87" s="518">
        <v>0</v>
      </c>
      <c r="AM87" s="518">
        <v>0</v>
      </c>
      <c r="AN87" s="211">
        <f>SUM(AB87:AM87)</f>
        <v>8.8500000000000004E-4</v>
      </c>
      <c r="AO87" s="518">
        <v>8.8500000000000004E-4</v>
      </c>
      <c r="AP87" s="518">
        <v>8.8500000000000004E-4</v>
      </c>
      <c r="AQ87" s="74">
        <f>AP87</f>
        <v>8.8500000000000004E-4</v>
      </c>
      <c r="AR87" s="74">
        <f t="shared" ref="AR87:AY87" si="75">AQ87</f>
        <v>8.8500000000000004E-4</v>
      </c>
      <c r="AS87" s="74">
        <f t="shared" si="75"/>
        <v>8.8500000000000004E-4</v>
      </c>
      <c r="AT87" s="74">
        <f t="shared" si="75"/>
        <v>8.8500000000000004E-4</v>
      </c>
      <c r="AU87" s="74">
        <f t="shared" si="75"/>
        <v>8.8500000000000004E-4</v>
      </c>
      <c r="AV87" s="74">
        <f t="shared" si="75"/>
        <v>8.8500000000000004E-4</v>
      </c>
      <c r="AW87" s="74">
        <f t="shared" si="75"/>
        <v>8.8500000000000004E-4</v>
      </c>
      <c r="AX87" s="74">
        <f t="shared" si="75"/>
        <v>8.8500000000000004E-4</v>
      </c>
      <c r="AY87" s="74">
        <f t="shared" si="75"/>
        <v>8.8500000000000004E-4</v>
      </c>
      <c r="AZ87" s="726"/>
      <c r="BA87" s="726"/>
    </row>
    <row r="88" spans="1:53">
      <c r="A88" s="238"/>
      <c r="B88" s="355" t="s">
        <v>403</v>
      </c>
      <c r="E88" s="277"/>
      <c r="F88" s="273"/>
      <c r="G88" s="273"/>
      <c r="H88" s="273"/>
      <c r="I88" s="278"/>
      <c r="J88" s="273"/>
      <c r="K88" s="273"/>
      <c r="L88" s="278"/>
      <c r="M88" s="278"/>
      <c r="N88" s="224"/>
      <c r="O88" s="592">
        <f>O87</f>
        <v>0</v>
      </c>
      <c r="P88" s="592">
        <f t="shared" ref="P88:AB88" si="76">P87</f>
        <v>0</v>
      </c>
      <c r="Q88" s="592">
        <f t="shared" si="76"/>
        <v>8.5000000000000006E-5</v>
      </c>
      <c r="R88" s="592">
        <f t="shared" si="76"/>
        <v>8.0000000000000004E-4</v>
      </c>
      <c r="S88" s="592">
        <f t="shared" si="76"/>
        <v>0</v>
      </c>
      <c r="T88" s="592">
        <f t="shared" si="76"/>
        <v>0</v>
      </c>
      <c r="U88" s="592">
        <f t="shared" si="76"/>
        <v>0</v>
      </c>
      <c r="V88" s="592">
        <f t="shared" si="76"/>
        <v>0</v>
      </c>
      <c r="W88" s="592">
        <f t="shared" si="76"/>
        <v>0</v>
      </c>
      <c r="X88" s="592">
        <f t="shared" si="76"/>
        <v>0</v>
      </c>
      <c r="Y88" s="592">
        <f t="shared" si="76"/>
        <v>0</v>
      </c>
      <c r="Z88" s="592">
        <f t="shared" si="76"/>
        <v>0</v>
      </c>
      <c r="AA88" s="211"/>
      <c r="AB88" s="592">
        <f t="shared" si="76"/>
        <v>0</v>
      </c>
      <c r="AC88" s="592">
        <f t="shared" ref="AC88:AY88" si="77">AC87</f>
        <v>0</v>
      </c>
      <c r="AD88" s="592">
        <f t="shared" si="77"/>
        <v>8.5000000000000006E-5</v>
      </c>
      <c r="AE88" s="592">
        <f t="shared" si="77"/>
        <v>8.0000000000000004E-4</v>
      </c>
      <c r="AF88" s="592">
        <f t="shared" si="77"/>
        <v>0</v>
      </c>
      <c r="AG88" s="592">
        <f t="shared" si="77"/>
        <v>0</v>
      </c>
      <c r="AH88" s="592">
        <f t="shared" si="77"/>
        <v>0</v>
      </c>
      <c r="AI88" s="592">
        <f t="shared" si="77"/>
        <v>0</v>
      </c>
      <c r="AJ88" s="592">
        <f t="shared" si="77"/>
        <v>0</v>
      </c>
      <c r="AK88" s="592">
        <f t="shared" si="77"/>
        <v>0</v>
      </c>
      <c r="AL88" s="592">
        <f t="shared" si="77"/>
        <v>0</v>
      </c>
      <c r="AM88" s="592">
        <f t="shared" si="77"/>
        <v>0</v>
      </c>
      <c r="AN88" s="211"/>
      <c r="AO88" s="592">
        <f t="shared" si="77"/>
        <v>8.8500000000000004E-4</v>
      </c>
      <c r="AP88" s="592">
        <f t="shared" si="77"/>
        <v>8.8500000000000004E-4</v>
      </c>
      <c r="AQ88" s="592">
        <f t="shared" si="77"/>
        <v>8.8500000000000004E-4</v>
      </c>
      <c r="AR88" s="592">
        <f t="shared" si="77"/>
        <v>8.8500000000000004E-4</v>
      </c>
      <c r="AS88" s="592">
        <f t="shared" si="77"/>
        <v>8.8500000000000004E-4</v>
      </c>
      <c r="AT88" s="592">
        <f t="shared" si="77"/>
        <v>8.8500000000000004E-4</v>
      </c>
      <c r="AU88" s="592">
        <f t="shared" si="77"/>
        <v>8.8500000000000004E-4</v>
      </c>
      <c r="AV88" s="592">
        <f t="shared" si="77"/>
        <v>8.8500000000000004E-4</v>
      </c>
      <c r="AW88" s="592">
        <f t="shared" si="77"/>
        <v>8.8500000000000004E-4</v>
      </c>
      <c r="AX88" s="592">
        <f t="shared" si="77"/>
        <v>8.8500000000000004E-4</v>
      </c>
      <c r="AY88" s="592">
        <f t="shared" si="77"/>
        <v>8.8500000000000004E-4</v>
      </c>
      <c r="AZ88" s="922"/>
      <c r="BA88" s="922"/>
    </row>
    <row r="89" spans="1:53">
      <c r="B89" s="49"/>
      <c r="E89" s="277"/>
      <c r="F89" s="273"/>
      <c r="G89" s="273"/>
      <c r="H89" s="273"/>
      <c r="I89" s="278"/>
      <c r="J89" s="273"/>
      <c r="K89" s="273"/>
      <c r="L89" s="278"/>
      <c r="M89" s="278"/>
      <c r="N89" s="224"/>
      <c r="O89" s="74"/>
      <c r="P89" s="74"/>
      <c r="Q89" s="74"/>
      <c r="R89" s="74"/>
      <c r="S89" s="74"/>
      <c r="T89" s="74"/>
      <c r="U89" s="74"/>
      <c r="V89" s="591"/>
      <c r="W89" s="591"/>
      <c r="X89" s="591"/>
      <c r="Y89" s="591"/>
      <c r="Z89" s="591"/>
      <c r="AA89" s="211"/>
      <c r="AB89" s="74"/>
      <c r="AC89" s="74"/>
      <c r="AD89" s="74"/>
      <c r="AE89" s="74"/>
      <c r="AF89" s="74"/>
      <c r="AG89" s="74"/>
      <c r="AH89" s="74"/>
      <c r="AI89" s="591"/>
      <c r="AJ89" s="591"/>
      <c r="AK89" s="591"/>
      <c r="AL89" s="591"/>
      <c r="AM89" s="591"/>
      <c r="AN89" s="211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26"/>
      <c r="BA89" s="726"/>
    </row>
    <row r="90" spans="1:53">
      <c r="B90" s="49"/>
      <c r="E90" s="277"/>
      <c r="F90" s="273"/>
      <c r="G90" s="273"/>
      <c r="H90" s="273"/>
      <c r="I90" s="273"/>
      <c r="J90" s="273"/>
      <c r="K90" s="273"/>
      <c r="L90" s="273"/>
      <c r="M90" s="273"/>
      <c r="N90" s="22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211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211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26"/>
      <c r="BA90" s="726"/>
    </row>
    <row r="91" spans="1:53">
      <c r="A91" s="75"/>
      <c r="B91" s="75" t="s">
        <v>692</v>
      </c>
      <c r="C91" s="75"/>
      <c r="E91" s="277"/>
      <c r="F91" s="273"/>
      <c r="G91" s="273"/>
      <c r="H91" s="273"/>
      <c r="I91" s="273"/>
      <c r="J91" s="273"/>
      <c r="K91" s="273"/>
      <c r="L91" s="273"/>
      <c r="M91" s="273"/>
      <c r="N91" s="22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211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211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26"/>
      <c r="BA91" s="726"/>
    </row>
    <row r="92" spans="1:53">
      <c r="A92" s="74">
        <v>560.11</v>
      </c>
      <c r="B92" s="13" t="s">
        <v>693</v>
      </c>
      <c r="E92" s="277"/>
      <c r="F92" s="278"/>
      <c r="G92" s="278"/>
      <c r="H92" s="327"/>
      <c r="I92" s="327"/>
      <c r="J92" s="327"/>
      <c r="K92" s="327"/>
      <c r="L92" s="327"/>
      <c r="M92" s="327"/>
      <c r="N92" s="224">
        <f t="shared" ref="N92:N97" si="78">SUM(E92:M92)</f>
        <v>0</v>
      </c>
      <c r="O92" s="581">
        <v>1.3850285000000002E-2</v>
      </c>
      <c r="P92" s="581">
        <v>5.4707849999999997E-3</v>
      </c>
      <c r="Q92" s="581">
        <v>2.8272885000000001E-2</v>
      </c>
      <c r="R92" s="581">
        <v>5.1453850000000006E-3</v>
      </c>
      <c r="S92" s="581">
        <v>5.4504849999999997E-3</v>
      </c>
      <c r="T92" s="581">
        <v>2.8244185000000002E-2</v>
      </c>
      <c r="U92" s="581">
        <v>5.160085E-3</v>
      </c>
      <c r="V92" s="581">
        <v>5.7631850000000005E-3</v>
      </c>
      <c r="W92" s="581">
        <v>2.8254085000000002E-2</v>
      </c>
      <c r="X92" s="581">
        <v>5.1231850000000006E-3</v>
      </c>
      <c r="Y92" s="581">
        <v>5.1318850000000001E-3</v>
      </c>
      <c r="Z92" s="581">
        <v>2.9138785E-2</v>
      </c>
      <c r="AA92" s="211">
        <f>SUM(O92:Z92)</f>
        <v>0.16500522000000001</v>
      </c>
      <c r="AB92" s="581">
        <v>1.38827845E-2</v>
      </c>
      <c r="AC92" s="581">
        <v>5.5078845000000008E-3</v>
      </c>
      <c r="AD92" s="581">
        <v>3.9854384500000006E-2</v>
      </c>
      <c r="AE92" s="581">
        <v>5.1756845000000013E-3</v>
      </c>
      <c r="AF92" s="581">
        <v>5.2299845000000006E-3</v>
      </c>
      <c r="AG92" s="581">
        <v>2.9925484499999998E-2</v>
      </c>
      <c r="AH92" s="581">
        <v>5.1915845000000006E-3</v>
      </c>
      <c r="AI92" s="581">
        <v>5.8242845000000005E-3</v>
      </c>
      <c r="AJ92" s="581">
        <v>2.9934384500000001E-2</v>
      </c>
      <c r="AK92" s="581">
        <v>5.1566845000000005E-3</v>
      </c>
      <c r="AL92" s="581">
        <v>5.1508845000000011E-3</v>
      </c>
      <c r="AM92" s="581">
        <v>3.0840984499999998E-2</v>
      </c>
      <c r="AN92" s="211">
        <f>SUM(AB92:AM92)</f>
        <v>0.18167501400000002</v>
      </c>
      <c r="AO92" s="581">
        <v>0.184703384</v>
      </c>
      <c r="AP92" s="581">
        <v>0.19197880000000003</v>
      </c>
      <c r="AQ92" s="74">
        <f t="shared" ref="AQ92:AY92" si="79">AP92*(1+$D$3)</f>
        <v>0.19773816400000005</v>
      </c>
      <c r="AR92" s="74">
        <f t="shared" si="79"/>
        <v>0.20367030892000004</v>
      </c>
      <c r="AS92" s="74">
        <f t="shared" si="79"/>
        <v>0.20978041818760004</v>
      </c>
      <c r="AT92" s="74">
        <f t="shared" si="79"/>
        <v>0.21607383073322806</v>
      </c>
      <c r="AU92" s="74">
        <f t="shared" si="79"/>
        <v>0.22255604565522491</v>
      </c>
      <c r="AV92" s="74">
        <f t="shared" si="79"/>
        <v>0.22923272702488165</v>
      </c>
      <c r="AW92" s="74">
        <f t="shared" si="79"/>
        <v>0.2361097088356281</v>
      </c>
      <c r="AX92" s="74">
        <f t="shared" si="79"/>
        <v>0.24319300010069694</v>
      </c>
      <c r="AY92" s="74">
        <f t="shared" si="79"/>
        <v>0.25048879010371788</v>
      </c>
      <c r="AZ92" s="726"/>
      <c r="BA92" s="726"/>
    </row>
    <row r="93" spans="1:53">
      <c r="A93" s="74">
        <v>561.11</v>
      </c>
      <c r="B93" s="13" t="s">
        <v>687</v>
      </c>
      <c r="E93" s="277"/>
      <c r="F93" s="278"/>
      <c r="G93" s="278"/>
      <c r="H93" s="327"/>
      <c r="I93" s="327"/>
      <c r="J93" s="327"/>
      <c r="K93" s="327"/>
      <c r="L93" s="327"/>
      <c r="M93" s="327"/>
      <c r="N93" s="224">
        <f t="shared" si="78"/>
        <v>0</v>
      </c>
      <c r="O93" s="581">
        <v>4.0298999999999995E-3</v>
      </c>
      <c r="P93" s="581">
        <v>3.5171999999999998E-3</v>
      </c>
      <c r="Q93" s="581">
        <v>2.1279000000000003E-3</v>
      </c>
      <c r="R93" s="581">
        <v>2.0062500000000002E-3</v>
      </c>
      <c r="S93" s="581">
        <v>2.1117000000000002E-3</v>
      </c>
      <c r="T93" s="581">
        <v>2.0613000000000003E-3</v>
      </c>
      <c r="U93" s="581">
        <v>1.8733500000000002E-3</v>
      </c>
      <c r="V93" s="581">
        <v>3.1116000000000004E-3</v>
      </c>
      <c r="W93" s="581">
        <v>2.2110000000000003E-3</v>
      </c>
      <c r="X93" s="581">
        <v>1.82175E-3</v>
      </c>
      <c r="Y93" s="581">
        <v>1.6705500000000002E-3</v>
      </c>
      <c r="Z93" s="581">
        <v>2.9485500000000003E-3</v>
      </c>
      <c r="AA93" s="211">
        <f t="shared" ref="AA93:AA111" si="80">SUM(O93:Z93)</f>
        <v>2.9491050000000001E-2</v>
      </c>
      <c r="AB93" s="581">
        <v>4.1033999999999992E-3</v>
      </c>
      <c r="AC93" s="581">
        <v>3.6238500000000005E-3</v>
      </c>
      <c r="AD93" s="581">
        <v>2.1862499999999998E-3</v>
      </c>
      <c r="AE93" s="581">
        <v>2.0669999999999998E-3</v>
      </c>
      <c r="AF93" s="581">
        <v>1.7920500000000001E-3</v>
      </c>
      <c r="AG93" s="581">
        <v>2.1288000000000001E-3</v>
      </c>
      <c r="AH93" s="581">
        <v>1.9317E-3</v>
      </c>
      <c r="AI93" s="581">
        <v>3.1975500000000004E-3</v>
      </c>
      <c r="AJ93" s="581">
        <v>2.2717499999999999E-3</v>
      </c>
      <c r="AK93" s="581">
        <v>1.9041000000000002E-3</v>
      </c>
      <c r="AL93" s="581">
        <v>1.7406000000000001E-3</v>
      </c>
      <c r="AM93" s="581">
        <v>3.02535E-3</v>
      </c>
      <c r="AN93" s="211">
        <f t="shared" ref="AN93:AN112" si="81">SUM(AB93:AM93)</f>
        <v>2.99724E-2</v>
      </c>
      <c r="AO93" s="581">
        <v>3.0808649999999996E-2</v>
      </c>
      <c r="AP93" s="581">
        <v>3.2135699999999996E-2</v>
      </c>
      <c r="AQ93" s="74">
        <f t="shared" ref="AQ93:AY93" si="82">AP93*(1+$D$3)</f>
        <v>3.3099771E-2</v>
      </c>
      <c r="AR93" s="74">
        <f t="shared" si="82"/>
        <v>3.4092764130000001E-2</v>
      </c>
      <c r="AS93" s="74">
        <f t="shared" si="82"/>
        <v>3.5115547053899999E-2</v>
      </c>
      <c r="AT93" s="74">
        <f t="shared" si="82"/>
        <v>3.6169013465517E-2</v>
      </c>
      <c r="AU93" s="74">
        <f t="shared" si="82"/>
        <v>3.7254083869482514E-2</v>
      </c>
      <c r="AV93" s="74">
        <f t="shared" si="82"/>
        <v>3.8371706385566993E-2</v>
      </c>
      <c r="AW93" s="74">
        <f t="shared" si="82"/>
        <v>3.9522857577134002E-2</v>
      </c>
      <c r="AX93" s="74">
        <f t="shared" si="82"/>
        <v>4.0708543304448022E-2</v>
      </c>
      <c r="AY93" s="74">
        <f t="shared" si="82"/>
        <v>4.1929799603581466E-2</v>
      </c>
      <c r="AZ93" s="726"/>
      <c r="BA93" s="726"/>
    </row>
    <row r="94" spans="1:53">
      <c r="A94" s="74">
        <v>562.11</v>
      </c>
      <c r="B94" s="13" t="s">
        <v>688</v>
      </c>
      <c r="E94" s="277"/>
      <c r="F94" s="278"/>
      <c r="G94" s="278"/>
      <c r="H94" s="327"/>
      <c r="I94" s="327"/>
      <c r="J94" s="327"/>
      <c r="K94" s="327"/>
      <c r="L94" s="327"/>
      <c r="M94" s="327"/>
      <c r="N94" s="224">
        <f t="shared" si="78"/>
        <v>0</v>
      </c>
      <c r="O94" s="581">
        <v>4.3517600000000005E-3</v>
      </c>
      <c r="P94" s="581">
        <v>5.04076E-3</v>
      </c>
      <c r="Q94" s="581">
        <v>5.473005999999999E-3</v>
      </c>
      <c r="R94" s="581">
        <v>4.4889600000000002E-3</v>
      </c>
      <c r="S94" s="581">
        <v>7.6215599999999994E-3</v>
      </c>
      <c r="T94" s="581">
        <v>7.9630200000000012E-3</v>
      </c>
      <c r="U94" s="581">
        <v>8.0563600000000003E-3</v>
      </c>
      <c r="V94" s="581">
        <v>6.4963599999999996E-3</v>
      </c>
      <c r="W94" s="581">
        <v>4.5046139999999997E-3</v>
      </c>
      <c r="X94" s="581">
        <v>4.1087600000000004E-3</v>
      </c>
      <c r="Y94" s="581">
        <v>4.26276E-3</v>
      </c>
      <c r="Z94" s="581">
        <v>9.1583000000000012E-3</v>
      </c>
      <c r="AA94" s="211">
        <f t="shared" si="80"/>
        <v>7.1526220000000001E-2</v>
      </c>
      <c r="AB94" s="581">
        <v>4.4839707999999997E-3</v>
      </c>
      <c r="AC94" s="581">
        <v>5.1708208000000007E-3</v>
      </c>
      <c r="AD94" s="581">
        <v>5.7252134332000009E-3</v>
      </c>
      <c r="AE94" s="581">
        <v>4.9609491056000011E-3</v>
      </c>
      <c r="AF94" s="581">
        <v>7.1457149731999998E-3</v>
      </c>
      <c r="AG94" s="581">
        <v>8.7424058700000008E-3</v>
      </c>
      <c r="AH94" s="581">
        <v>8.9961331338000005E-3</v>
      </c>
      <c r="AI94" s="581">
        <v>9.5085888000000021E-3</v>
      </c>
      <c r="AJ94" s="581">
        <v>6.4147304199999988E-3</v>
      </c>
      <c r="AK94" s="581">
        <v>5.5993640675999993E-3</v>
      </c>
      <c r="AL94" s="581">
        <v>5.8148975143999995E-3</v>
      </c>
      <c r="AM94" s="581">
        <v>1.0341757E-2</v>
      </c>
      <c r="AN94" s="211">
        <f t="shared" si="81"/>
        <v>8.2904545917799999E-2</v>
      </c>
      <c r="AO94" s="581">
        <v>8.4983396401814001E-2</v>
      </c>
      <c r="AP94" s="581">
        <v>8.7858683827473985E-2</v>
      </c>
      <c r="AQ94" s="74">
        <f t="shared" ref="AQ94:AY94" si="83">AP94*(1+$D$3)</f>
        <v>9.0494444342298211E-2</v>
      </c>
      <c r="AR94" s="74">
        <f t="shared" si="83"/>
        <v>9.3209277672567162E-2</v>
      </c>
      <c r="AS94" s="74">
        <f t="shared" si="83"/>
        <v>9.6005556002744186E-2</v>
      </c>
      <c r="AT94" s="74">
        <f t="shared" si="83"/>
        <v>9.8885722682826513E-2</v>
      </c>
      <c r="AU94" s="74">
        <f t="shared" si="83"/>
        <v>0.10185229436331131</v>
      </c>
      <c r="AV94" s="74">
        <f t="shared" si="83"/>
        <v>0.10490786319421065</v>
      </c>
      <c r="AW94" s="74">
        <f t="shared" si="83"/>
        <v>0.10805509909003698</v>
      </c>
      <c r="AX94" s="74">
        <f t="shared" si="83"/>
        <v>0.11129675206273809</v>
      </c>
      <c r="AY94" s="74">
        <f t="shared" si="83"/>
        <v>0.11463565462462023</v>
      </c>
      <c r="AZ94" s="726"/>
      <c r="BA94" s="726"/>
    </row>
    <row r="95" spans="1:53">
      <c r="A95" s="74">
        <v>563.11</v>
      </c>
      <c r="B95" s="13" t="s">
        <v>689</v>
      </c>
      <c r="E95" s="277"/>
      <c r="F95" s="278"/>
      <c r="G95" s="278"/>
      <c r="H95" s="327"/>
      <c r="I95" s="327"/>
      <c r="J95" s="327"/>
      <c r="K95" s="327"/>
      <c r="L95" s="327"/>
      <c r="M95" s="327"/>
      <c r="N95" s="224">
        <f t="shared" si="78"/>
        <v>0</v>
      </c>
      <c r="O95" s="581">
        <v>9.1341600000000005E-3</v>
      </c>
      <c r="P95" s="581">
        <v>9.1166600000000004E-3</v>
      </c>
      <c r="Q95" s="581">
        <v>1.3072520999999998E-2</v>
      </c>
      <c r="R95" s="581">
        <v>1.0212860000000001E-2</v>
      </c>
      <c r="S95" s="581">
        <v>1.429246E-2</v>
      </c>
      <c r="T95" s="581">
        <v>2.2470070000000002E-2</v>
      </c>
      <c r="U95" s="581">
        <v>2.2296260000000002E-2</v>
      </c>
      <c r="V95" s="581">
        <v>1.459626E-2</v>
      </c>
      <c r="W95" s="581">
        <v>1.0383148999999998E-2</v>
      </c>
      <c r="X95" s="581">
        <v>8.766659999999999E-3</v>
      </c>
      <c r="Y95" s="581">
        <v>9.1166600000000004E-3</v>
      </c>
      <c r="Z95" s="581">
        <v>9.1045499999999994E-3</v>
      </c>
      <c r="AA95" s="211">
        <f t="shared" si="80"/>
        <v>0.15256227</v>
      </c>
      <c r="AB95" s="581">
        <v>9.4638978000000009E-3</v>
      </c>
      <c r="AC95" s="581">
        <v>9.4458728000000013E-3</v>
      </c>
      <c r="AD95" s="581">
        <v>1.3794247016200002E-2</v>
      </c>
      <c r="AE95" s="581">
        <v>1.17388218696E-2</v>
      </c>
      <c r="AF95" s="581">
        <v>1.6876002406200005E-2</v>
      </c>
      <c r="AG95" s="581">
        <v>2.5071920545000001E-2</v>
      </c>
      <c r="AH95" s="581">
        <v>2.5424465968300003E-2</v>
      </c>
      <c r="AI95" s="581">
        <v>2.4656060800000004E-2</v>
      </c>
      <c r="AJ95" s="581">
        <v>1.6942556470000002E-2</v>
      </c>
      <c r="AK95" s="581">
        <v>1.3857774236600003E-2</v>
      </c>
      <c r="AL95" s="581">
        <v>1.4456391300400004E-2</v>
      </c>
      <c r="AM95" s="581">
        <v>1.2303399500000001E-2</v>
      </c>
      <c r="AN95" s="211">
        <f t="shared" si="81"/>
        <v>0.19403141071230001</v>
      </c>
      <c r="AO95" s="581">
        <v>0.19830788740634903</v>
      </c>
      <c r="AP95" s="581">
        <v>0.20578839339615906</v>
      </c>
      <c r="AQ95" s="74">
        <f t="shared" ref="AQ95:AY95" si="84">AP95*(1+$D$3)</f>
        <v>0.21196204519804385</v>
      </c>
      <c r="AR95" s="74">
        <f t="shared" si="84"/>
        <v>0.21832090655398517</v>
      </c>
      <c r="AS95" s="74">
        <f t="shared" si="84"/>
        <v>0.22487053375060473</v>
      </c>
      <c r="AT95" s="74">
        <f t="shared" si="84"/>
        <v>0.23161664976312288</v>
      </c>
      <c r="AU95" s="74">
        <f t="shared" si="84"/>
        <v>0.23856514925601657</v>
      </c>
      <c r="AV95" s="74">
        <f t="shared" si="84"/>
        <v>0.24572210373369707</v>
      </c>
      <c r="AW95" s="74">
        <f t="shared" si="84"/>
        <v>0.253093766845708</v>
      </c>
      <c r="AX95" s="74">
        <f t="shared" si="84"/>
        <v>0.26068657985107924</v>
      </c>
      <c r="AY95" s="74">
        <f t="shared" si="84"/>
        <v>0.26850717724661161</v>
      </c>
      <c r="AZ95" s="726"/>
      <c r="BA95" s="726"/>
    </row>
    <row r="96" spans="1:53">
      <c r="A96" s="74">
        <v>566.11</v>
      </c>
      <c r="B96" s="13" t="s">
        <v>694</v>
      </c>
      <c r="E96" s="277"/>
      <c r="F96" s="278"/>
      <c r="G96" s="278"/>
      <c r="H96" s="327"/>
      <c r="I96" s="327"/>
      <c r="J96" s="327"/>
      <c r="K96" s="327"/>
      <c r="L96" s="327"/>
      <c r="M96" s="327"/>
      <c r="N96" s="224">
        <f t="shared" si="78"/>
        <v>0</v>
      </c>
      <c r="O96" s="581">
        <v>4.3128400000000001E-3</v>
      </c>
      <c r="P96" s="581">
        <v>4.21734E-3</v>
      </c>
      <c r="Q96" s="581">
        <v>5.9127089999999995E-3</v>
      </c>
      <c r="R96" s="581">
        <v>4.6871400000000002E-3</v>
      </c>
      <c r="S96" s="581">
        <v>6.43554E-3</v>
      </c>
      <c r="T96" s="581">
        <v>9.9622300000000007E-3</v>
      </c>
      <c r="U96" s="581">
        <v>9.8657400000000013E-3</v>
      </c>
      <c r="V96" s="581">
        <v>6.8561399999999993E-3</v>
      </c>
      <c r="W96" s="581">
        <v>4.760121E-3</v>
      </c>
      <c r="X96" s="581">
        <v>4.06734E-3</v>
      </c>
      <c r="Y96" s="581">
        <v>4.2481399999999992E-3</v>
      </c>
      <c r="Z96" s="581">
        <v>4.2209500000000002E-3</v>
      </c>
      <c r="AA96" s="211">
        <f t="shared" si="80"/>
        <v>6.9546230000000001E-2</v>
      </c>
      <c r="AB96" s="581">
        <v>4.4651561999999997E-3</v>
      </c>
      <c r="AC96" s="581">
        <v>4.3694311999999992E-3</v>
      </c>
      <c r="AD96" s="581">
        <v>6.2330201497999994E-3</v>
      </c>
      <c r="AE96" s="581">
        <v>5.3521236583999997E-3</v>
      </c>
      <c r="AF96" s="581">
        <v>7.5537724598000004E-3</v>
      </c>
      <c r="AG96" s="581">
        <v>1.1088308805000001E-2</v>
      </c>
      <c r="AH96" s="581">
        <v>1.1217399700699999E-2</v>
      </c>
      <c r="AI96" s="581">
        <v>1.11872832E-2</v>
      </c>
      <c r="AJ96" s="581">
        <v>7.5822956300000003E-3</v>
      </c>
      <c r="AK96" s="581">
        <v>6.2602461014000001E-3</v>
      </c>
      <c r="AL96" s="581">
        <v>6.5387962715999998E-3</v>
      </c>
      <c r="AM96" s="581">
        <v>5.5896855000000002E-3</v>
      </c>
      <c r="AN96" s="211">
        <f t="shared" si="81"/>
        <v>8.743751887670001E-2</v>
      </c>
      <c r="AO96" s="581">
        <v>8.9446294602720994E-2</v>
      </c>
      <c r="AP96" s="581">
        <v>9.2764425741211007E-2</v>
      </c>
      <c r="AQ96" s="74">
        <f t="shared" ref="AQ96:AY96" si="85">AP96*(1+$D$3)</f>
        <v>9.5547358513447339E-2</v>
      </c>
      <c r="AR96" s="74">
        <f t="shared" si="85"/>
        <v>9.8413779268850768E-2</v>
      </c>
      <c r="AS96" s="74">
        <f t="shared" si="85"/>
        <v>0.10136619264691629</v>
      </c>
      <c r="AT96" s="74">
        <f t="shared" si="85"/>
        <v>0.10440717842632379</v>
      </c>
      <c r="AU96" s="74">
        <f t="shared" si="85"/>
        <v>0.10753939377911351</v>
      </c>
      <c r="AV96" s="74">
        <f t="shared" si="85"/>
        <v>0.11076557559248691</v>
      </c>
      <c r="AW96" s="74">
        <f t="shared" si="85"/>
        <v>0.11408854286026152</v>
      </c>
      <c r="AX96" s="74">
        <f t="shared" si="85"/>
        <v>0.11751119914606936</v>
      </c>
      <c r="AY96" s="74">
        <f t="shared" si="85"/>
        <v>0.12103653512045144</v>
      </c>
      <c r="AZ96" s="726"/>
      <c r="BA96" s="726"/>
    </row>
    <row r="97" spans="1:53">
      <c r="A97" s="74">
        <v>566.21</v>
      </c>
      <c r="B97" s="13" t="s">
        <v>695</v>
      </c>
      <c r="E97" s="277"/>
      <c r="F97" s="278"/>
      <c r="G97" s="278"/>
      <c r="H97" s="327"/>
      <c r="I97" s="327"/>
      <c r="J97" s="327"/>
      <c r="K97" s="327"/>
      <c r="L97" s="327"/>
      <c r="M97" s="327"/>
      <c r="N97" s="224">
        <f t="shared" si="78"/>
        <v>0</v>
      </c>
      <c r="O97" s="581">
        <v>6.5243999999999996E-3</v>
      </c>
      <c r="P97" s="581">
        <v>6.5118999999999993E-3</v>
      </c>
      <c r="Q97" s="581">
        <v>9.3375149999999994E-3</v>
      </c>
      <c r="R97" s="581">
        <v>7.2949E-3</v>
      </c>
      <c r="S97" s="581">
        <v>1.02089E-2</v>
      </c>
      <c r="T97" s="581">
        <v>1.605005E-2</v>
      </c>
      <c r="U97" s="581">
        <v>1.59259E-2</v>
      </c>
      <c r="V97" s="581">
        <v>1.04259E-2</v>
      </c>
      <c r="W97" s="581">
        <v>7.4165350000000001E-3</v>
      </c>
      <c r="X97" s="581">
        <v>6.2618999999999999E-3</v>
      </c>
      <c r="Y97" s="581">
        <v>6.5118999999999993E-3</v>
      </c>
      <c r="Z97" s="581">
        <v>6.5032500000000003E-3</v>
      </c>
      <c r="AA97" s="211">
        <f t="shared" si="80"/>
        <v>0.10897305000000002</v>
      </c>
      <c r="AB97" s="581">
        <v>6.7599269999999998E-3</v>
      </c>
      <c r="AC97" s="581">
        <v>6.7470519999999999E-3</v>
      </c>
      <c r="AD97" s="581">
        <v>9.8530335830000013E-3</v>
      </c>
      <c r="AE97" s="581">
        <v>8.384872764000002E-3</v>
      </c>
      <c r="AF97" s="581">
        <v>1.2054287432999999E-2</v>
      </c>
      <c r="AG97" s="581">
        <v>1.7908514674999997E-2</v>
      </c>
      <c r="AH97" s="581">
        <v>1.8160332834500002E-2</v>
      </c>
      <c r="AI97" s="581">
        <v>1.7611472000000003E-2</v>
      </c>
      <c r="AJ97" s="581">
        <v>1.210182605E-2</v>
      </c>
      <c r="AK97" s="581">
        <v>9.8984101689999996E-3</v>
      </c>
      <c r="AL97" s="581">
        <v>1.0325993786E-2</v>
      </c>
      <c r="AM97" s="581">
        <v>8.7881425000000003E-3</v>
      </c>
      <c r="AN97" s="211">
        <f t="shared" si="81"/>
        <v>0.13859386479450003</v>
      </c>
      <c r="AO97" s="581">
        <v>0.14164849100453503</v>
      </c>
      <c r="AP97" s="581">
        <v>0.14699170956868504</v>
      </c>
      <c r="AQ97" s="74">
        <f t="shared" ref="AQ97:AY97" si="86">AP97*(1+$D$3)</f>
        <v>0.1514014608557456</v>
      </c>
      <c r="AR97" s="74">
        <f t="shared" si="86"/>
        <v>0.15594350468141796</v>
      </c>
      <c r="AS97" s="74">
        <f t="shared" si="86"/>
        <v>0.1606218098218605</v>
      </c>
      <c r="AT97" s="74">
        <f t="shared" si="86"/>
        <v>0.16544046411651633</v>
      </c>
      <c r="AU97" s="74">
        <f t="shared" si="86"/>
        <v>0.17040367804001183</v>
      </c>
      <c r="AV97" s="74">
        <f t="shared" si="86"/>
        <v>0.17551578838121218</v>
      </c>
      <c r="AW97" s="74">
        <f t="shared" si="86"/>
        <v>0.18078126203264855</v>
      </c>
      <c r="AX97" s="74">
        <f t="shared" si="86"/>
        <v>0.18620469989362801</v>
      </c>
      <c r="AY97" s="74">
        <f t="shared" si="86"/>
        <v>0.19179084089043685</v>
      </c>
      <c r="AZ97" s="726"/>
      <c r="BA97" s="726"/>
    </row>
    <row r="98" spans="1:53">
      <c r="A98" s="74"/>
      <c r="E98" s="277"/>
      <c r="F98" s="278"/>
      <c r="G98" s="278"/>
      <c r="H98" s="326"/>
      <c r="I98" s="326"/>
      <c r="J98" s="326"/>
      <c r="K98" s="326"/>
      <c r="L98" s="326"/>
      <c r="M98" s="326"/>
      <c r="N98" s="224"/>
      <c r="O98" s="582"/>
      <c r="P98" s="582"/>
      <c r="Q98" s="582"/>
      <c r="R98" s="582"/>
      <c r="S98" s="582"/>
      <c r="T98" s="582"/>
      <c r="U98" s="582"/>
      <c r="V98" s="582"/>
      <c r="W98" s="582"/>
      <c r="X98" s="582"/>
      <c r="Y98" s="582"/>
      <c r="Z98" s="582"/>
      <c r="AA98" s="211"/>
      <c r="AB98" s="582"/>
      <c r="AC98" s="582"/>
      <c r="AD98" s="582"/>
      <c r="AE98" s="582"/>
      <c r="AF98" s="582"/>
      <c r="AG98" s="582"/>
      <c r="AH98" s="582"/>
      <c r="AI98" s="582"/>
      <c r="AJ98" s="582"/>
      <c r="AK98" s="582"/>
      <c r="AL98" s="582"/>
      <c r="AM98" s="582"/>
      <c r="AN98" s="211"/>
      <c r="AO98" s="582"/>
      <c r="AP98" s="582"/>
      <c r="AQ98" s="74"/>
      <c r="AR98" s="74"/>
      <c r="AS98" s="74"/>
      <c r="AT98" s="74"/>
      <c r="AU98" s="74"/>
      <c r="AV98" s="74"/>
      <c r="AW98" s="74"/>
      <c r="AX98" s="74"/>
      <c r="AY98" s="74"/>
      <c r="AZ98" s="726"/>
      <c r="BA98" s="726"/>
    </row>
    <row r="99" spans="1:53">
      <c r="A99" s="74"/>
      <c r="B99" s="13" t="s">
        <v>696</v>
      </c>
      <c r="E99" s="277"/>
      <c r="F99" s="278"/>
      <c r="G99" s="278"/>
      <c r="H99" s="326"/>
      <c r="I99" s="326"/>
      <c r="J99" s="326"/>
      <c r="K99" s="326"/>
      <c r="L99" s="326"/>
      <c r="M99" s="326"/>
      <c r="N99" s="224"/>
      <c r="O99" s="582"/>
      <c r="P99" s="582"/>
      <c r="Q99" s="582"/>
      <c r="R99" s="582"/>
      <c r="S99" s="582"/>
      <c r="T99" s="582"/>
      <c r="U99" s="582"/>
      <c r="V99" s="582"/>
      <c r="W99" s="582"/>
      <c r="X99" s="582"/>
      <c r="Y99" s="582"/>
      <c r="Z99" s="582"/>
      <c r="AA99" s="211"/>
      <c r="AB99" s="582"/>
      <c r="AC99" s="582"/>
      <c r="AD99" s="582"/>
      <c r="AE99" s="582"/>
      <c r="AF99" s="582"/>
      <c r="AG99" s="582"/>
      <c r="AH99" s="582"/>
      <c r="AI99" s="582"/>
      <c r="AJ99" s="582"/>
      <c r="AK99" s="582"/>
      <c r="AL99" s="582"/>
      <c r="AM99" s="582"/>
      <c r="AN99" s="211"/>
      <c r="AO99" s="582"/>
      <c r="AP99" s="582"/>
      <c r="AQ99" s="74"/>
      <c r="AR99" s="74"/>
      <c r="AS99" s="74"/>
      <c r="AT99" s="74"/>
      <c r="AU99" s="74"/>
      <c r="AV99" s="74"/>
      <c r="AW99" s="74"/>
      <c r="AX99" s="74"/>
      <c r="AY99" s="74"/>
      <c r="AZ99" s="726"/>
      <c r="BA99" s="726"/>
    </row>
    <row r="100" spans="1:53">
      <c r="A100" s="74">
        <v>568.11</v>
      </c>
      <c r="B100" s="13" t="s">
        <v>697</v>
      </c>
      <c r="E100" s="277"/>
      <c r="F100" s="278"/>
      <c r="G100" s="278"/>
      <c r="H100" s="327"/>
      <c r="I100" s="327"/>
      <c r="J100" s="327"/>
      <c r="K100" s="327"/>
      <c r="L100" s="327"/>
      <c r="M100" s="327"/>
      <c r="N100" s="224">
        <f>SUM(E100:M100)</f>
        <v>0</v>
      </c>
      <c r="O100" s="581">
        <v>1.3201930000000001E-2</v>
      </c>
      <c r="P100" s="581">
        <v>4.7897300000000007E-3</v>
      </c>
      <c r="Q100" s="581">
        <v>2.8467129999999997E-2</v>
      </c>
      <c r="R100" s="581">
        <v>4.6507300000000005E-3</v>
      </c>
      <c r="S100" s="581">
        <v>5.0271300000000003E-3</v>
      </c>
      <c r="T100" s="581">
        <v>2.8411129999999996E-2</v>
      </c>
      <c r="U100" s="581">
        <v>4.6907300000000006E-3</v>
      </c>
      <c r="V100" s="581">
        <v>4.7677300000000004E-3</v>
      </c>
      <c r="W100" s="581">
        <v>2.8427129999999998E-2</v>
      </c>
      <c r="X100" s="581">
        <v>4.6573299999999986E-3</v>
      </c>
      <c r="Y100" s="581">
        <v>4.6511299999999998E-3</v>
      </c>
      <c r="Z100" s="581">
        <v>2.9413930000000001E-2</v>
      </c>
      <c r="AA100" s="211">
        <f t="shared" si="80"/>
        <v>0.16115575999999998</v>
      </c>
      <c r="AB100" s="581">
        <v>1.2833184499999999E-2</v>
      </c>
      <c r="AC100" s="581">
        <v>4.6720844999999997E-3</v>
      </c>
      <c r="AD100" s="581">
        <v>3.9200984500000008E-2</v>
      </c>
      <c r="AE100" s="581">
        <v>4.5320845000000002E-3</v>
      </c>
      <c r="AF100" s="581">
        <v>4.6589844999999994E-3</v>
      </c>
      <c r="AG100" s="581">
        <v>2.9243484500000003E-2</v>
      </c>
      <c r="AH100" s="581">
        <v>4.5735845000000001E-3</v>
      </c>
      <c r="AI100" s="581">
        <v>4.6704844999999997E-3</v>
      </c>
      <c r="AJ100" s="581">
        <v>2.9258984500000002E-2</v>
      </c>
      <c r="AK100" s="581">
        <v>4.5386845E-3</v>
      </c>
      <c r="AL100" s="581">
        <v>4.5310845000000001E-3</v>
      </c>
      <c r="AM100" s="581">
        <v>3.0292984500000002E-2</v>
      </c>
      <c r="AN100" s="211">
        <f t="shared" si="81"/>
        <v>0.17300661400000003</v>
      </c>
      <c r="AO100" s="581">
        <v>0.17072340799999999</v>
      </c>
      <c r="AP100" s="581">
        <v>0.1774916</v>
      </c>
      <c r="AQ100" s="74">
        <f t="shared" ref="AQ100:AY100" si="87">AP100*(1+$D$3)</f>
        <v>0.18281634800000002</v>
      </c>
      <c r="AR100" s="74">
        <f t="shared" si="87"/>
        <v>0.18830083844000003</v>
      </c>
      <c r="AS100" s="74">
        <f t="shared" si="87"/>
        <v>0.19394986359320004</v>
      </c>
      <c r="AT100" s="74">
        <f t="shared" si="87"/>
        <v>0.19976835950099606</v>
      </c>
      <c r="AU100" s="74">
        <f t="shared" si="87"/>
        <v>0.20576141028602593</v>
      </c>
      <c r="AV100" s="74">
        <f t="shared" si="87"/>
        <v>0.21193425259460671</v>
      </c>
      <c r="AW100" s="74">
        <f t="shared" si="87"/>
        <v>0.21829228017244492</v>
      </c>
      <c r="AX100" s="74">
        <f t="shared" si="87"/>
        <v>0.22484104857761827</v>
      </c>
      <c r="AY100" s="74">
        <f t="shared" si="87"/>
        <v>0.23158628003494683</v>
      </c>
      <c r="AZ100" s="726"/>
      <c r="BA100" s="726"/>
    </row>
    <row r="101" spans="1:53">
      <c r="A101" s="74">
        <v>569.11</v>
      </c>
      <c r="B101" s="13" t="s">
        <v>698</v>
      </c>
      <c r="E101" s="277"/>
      <c r="F101" s="278"/>
      <c r="G101" s="278"/>
      <c r="H101" s="327"/>
      <c r="I101" s="327"/>
      <c r="J101" s="327"/>
      <c r="K101" s="327"/>
      <c r="L101" s="327"/>
      <c r="M101" s="327"/>
      <c r="N101" s="224">
        <f>SUM(E101:M101)</f>
        <v>0</v>
      </c>
      <c r="O101" s="581">
        <v>1.30488E-3</v>
      </c>
      <c r="P101" s="581">
        <v>1.3023800000000001E-3</v>
      </c>
      <c r="Q101" s="581">
        <v>1.867503E-3</v>
      </c>
      <c r="R101" s="581">
        <v>1.4589799999999999E-3</v>
      </c>
      <c r="S101" s="581">
        <v>2.04178E-3</v>
      </c>
      <c r="T101" s="581">
        <v>3.2100100000000001E-3</v>
      </c>
      <c r="U101" s="581">
        <v>3.1851800000000001E-3</v>
      </c>
      <c r="V101" s="581">
        <v>2.0851799999999998E-3</v>
      </c>
      <c r="W101" s="581">
        <v>1.4833070000000001E-3</v>
      </c>
      <c r="X101" s="581">
        <v>1.2523800000000002E-3</v>
      </c>
      <c r="Y101" s="581">
        <v>1.3023800000000001E-3</v>
      </c>
      <c r="Z101" s="581">
        <v>1.3006500000000004E-3</v>
      </c>
      <c r="AA101" s="211">
        <f t="shared" si="80"/>
        <v>2.1794609999999999E-2</v>
      </c>
      <c r="AB101" s="581">
        <v>1.3519854000000001E-3</v>
      </c>
      <c r="AC101" s="581">
        <v>1.3494104000000002E-3</v>
      </c>
      <c r="AD101" s="581">
        <v>1.9706067166000004E-3</v>
      </c>
      <c r="AE101" s="581">
        <v>1.6769745528000001E-3</v>
      </c>
      <c r="AF101" s="581">
        <v>2.4108574866000001E-3</v>
      </c>
      <c r="AG101" s="581">
        <v>3.5817029350000001E-3</v>
      </c>
      <c r="AH101" s="581">
        <v>3.6320665668999998E-3</v>
      </c>
      <c r="AI101" s="581">
        <v>3.5222944000000002E-3</v>
      </c>
      <c r="AJ101" s="581">
        <v>2.4203652099999994E-3</v>
      </c>
      <c r="AK101" s="581">
        <v>1.9796820338000001E-3</v>
      </c>
      <c r="AL101" s="581">
        <v>2.0651987571999996E-3</v>
      </c>
      <c r="AM101" s="581">
        <v>1.7576285E-3</v>
      </c>
      <c r="AN101" s="211">
        <f t="shared" si="81"/>
        <v>2.77187729589E-2</v>
      </c>
      <c r="AO101" s="581">
        <v>2.8329698200907007E-2</v>
      </c>
      <c r="AP101" s="581">
        <v>2.9398341913736997E-2</v>
      </c>
      <c r="AQ101" s="74">
        <f t="shared" ref="AQ101:AY101" si="88">AP101*(1+$D$3)</f>
        <v>3.0280292171149109E-2</v>
      </c>
      <c r="AR101" s="74">
        <f t="shared" si="88"/>
        <v>3.1188700936283582E-2</v>
      </c>
      <c r="AS101" s="74">
        <f t="shared" si="88"/>
        <v>3.2124361964372093E-2</v>
      </c>
      <c r="AT101" s="74">
        <f t="shared" si="88"/>
        <v>3.3088092823303258E-2</v>
      </c>
      <c r="AU101" s="74">
        <f t="shared" si="88"/>
        <v>3.4080735608002358E-2</v>
      </c>
      <c r="AV101" s="74">
        <f t="shared" si="88"/>
        <v>3.5103157676242426E-2</v>
      </c>
      <c r="AW101" s="74">
        <f t="shared" si="88"/>
        <v>3.6156252406529699E-2</v>
      </c>
      <c r="AX101" s="74">
        <f t="shared" si="88"/>
        <v>3.7240939978725587E-2</v>
      </c>
      <c r="AY101" s="74">
        <f t="shared" si="88"/>
        <v>3.8358168178087355E-2</v>
      </c>
      <c r="AZ101" s="726"/>
      <c r="BA101" s="726"/>
    </row>
    <row r="102" spans="1:53">
      <c r="A102" s="74">
        <v>570.11</v>
      </c>
      <c r="B102" s="13" t="s">
        <v>699</v>
      </c>
      <c r="E102" s="277"/>
      <c r="F102" s="278"/>
      <c r="G102" s="278"/>
      <c r="H102" s="327"/>
      <c r="I102" s="327"/>
      <c r="J102" s="327"/>
      <c r="K102" s="327"/>
      <c r="L102" s="327"/>
      <c r="M102" s="327"/>
      <c r="N102" s="224">
        <f>SUM(E102:M102)</f>
        <v>0</v>
      </c>
      <c r="O102" s="581">
        <v>1.8268320000000001E-2</v>
      </c>
      <c r="P102" s="581">
        <v>1.8233320000000001E-2</v>
      </c>
      <c r="Q102" s="581">
        <v>2.6145041999999997E-2</v>
      </c>
      <c r="R102" s="581">
        <v>2.0425720000000001E-2</v>
      </c>
      <c r="S102" s="581">
        <v>2.858492E-2</v>
      </c>
      <c r="T102" s="581">
        <v>4.4940140000000003E-2</v>
      </c>
      <c r="U102" s="581">
        <v>4.4592520000000004E-2</v>
      </c>
      <c r="V102" s="581">
        <v>2.919252E-2</v>
      </c>
      <c r="W102" s="581">
        <v>2.0766297999999996E-2</v>
      </c>
      <c r="X102" s="581">
        <v>1.7533319999999998E-2</v>
      </c>
      <c r="Y102" s="581">
        <v>1.8233320000000001E-2</v>
      </c>
      <c r="Z102" s="581">
        <v>1.8209099999999999E-2</v>
      </c>
      <c r="AA102" s="211">
        <f t="shared" si="80"/>
        <v>0.30512454</v>
      </c>
      <c r="AB102" s="581">
        <v>1.8927795600000002E-2</v>
      </c>
      <c r="AC102" s="581">
        <v>1.8891745600000003E-2</v>
      </c>
      <c r="AD102" s="581">
        <v>2.7588494032400004E-2</v>
      </c>
      <c r="AE102" s="581">
        <v>2.3477643739199999E-2</v>
      </c>
      <c r="AF102" s="581">
        <v>3.375200481240001E-2</v>
      </c>
      <c r="AG102" s="581">
        <v>5.0143841090000002E-2</v>
      </c>
      <c r="AH102" s="581">
        <v>5.0848931936600006E-2</v>
      </c>
      <c r="AI102" s="581">
        <v>4.9312121600000008E-2</v>
      </c>
      <c r="AJ102" s="581">
        <v>3.3885112940000003E-2</v>
      </c>
      <c r="AK102" s="581">
        <v>2.7715548473200007E-2</v>
      </c>
      <c r="AL102" s="581">
        <v>2.8912782600800008E-2</v>
      </c>
      <c r="AM102" s="581">
        <v>2.4606799000000002E-2</v>
      </c>
      <c r="AN102" s="211">
        <f t="shared" si="81"/>
        <v>0.38806282142460002</v>
      </c>
      <c r="AO102" s="581">
        <v>0.39661577481269805</v>
      </c>
      <c r="AP102" s="581">
        <v>0.41157678679231813</v>
      </c>
      <c r="AQ102" s="74">
        <f t="shared" ref="AQ102:AY102" si="89">AP102*(1+$D$3)</f>
        <v>0.42392409039608769</v>
      </c>
      <c r="AR102" s="74">
        <f t="shared" si="89"/>
        <v>0.43664181310797034</v>
      </c>
      <c r="AS102" s="74">
        <f t="shared" si="89"/>
        <v>0.44974106750120946</v>
      </c>
      <c r="AT102" s="74">
        <f t="shared" si="89"/>
        <v>0.46323329952624576</v>
      </c>
      <c r="AU102" s="74">
        <f t="shared" si="89"/>
        <v>0.47713029851203315</v>
      </c>
      <c r="AV102" s="74">
        <f t="shared" si="89"/>
        <v>0.49144420746739415</v>
      </c>
      <c r="AW102" s="74">
        <f t="shared" si="89"/>
        <v>0.506187533691416</v>
      </c>
      <c r="AX102" s="74">
        <f t="shared" si="89"/>
        <v>0.52137315970215847</v>
      </c>
      <c r="AY102" s="74">
        <f t="shared" si="89"/>
        <v>0.53701435449322321</v>
      </c>
      <c r="AZ102" s="726"/>
      <c r="BA102" s="726"/>
    </row>
    <row r="103" spans="1:53">
      <c r="A103" s="74">
        <v>571.11</v>
      </c>
      <c r="B103" s="13" t="s">
        <v>700</v>
      </c>
      <c r="E103" s="277"/>
      <c r="F103" s="278"/>
      <c r="G103" s="278"/>
      <c r="H103" s="327"/>
      <c r="I103" s="327"/>
      <c r="J103" s="327"/>
      <c r="K103" s="327"/>
      <c r="L103" s="327"/>
      <c r="M103" s="327"/>
      <c r="N103" s="224">
        <f>SUM(E103:M103)</f>
        <v>0</v>
      </c>
      <c r="O103" s="581">
        <v>6.2634239999999994E-2</v>
      </c>
      <c r="P103" s="581">
        <v>6.2514239999999999E-2</v>
      </c>
      <c r="Q103" s="581">
        <v>8.9640144000000005E-2</v>
      </c>
      <c r="R103" s="581">
        <v>7.0031040000000003E-2</v>
      </c>
      <c r="S103" s="581">
        <v>9.8005439999999999E-2</v>
      </c>
      <c r="T103" s="581">
        <v>0.15408048000000002</v>
      </c>
      <c r="U103" s="581">
        <v>0.15288864000000002</v>
      </c>
      <c r="V103" s="581">
        <v>0.10008863999999998</v>
      </c>
      <c r="W103" s="581">
        <v>7.1198735999999999E-2</v>
      </c>
      <c r="X103" s="581">
        <v>6.0114239999999999E-2</v>
      </c>
      <c r="Y103" s="581">
        <v>6.2514239999999999E-2</v>
      </c>
      <c r="Z103" s="581">
        <v>6.2431199999999999E-2</v>
      </c>
      <c r="AA103" s="211">
        <f t="shared" si="80"/>
        <v>1.0461412800000001</v>
      </c>
      <c r="AB103" s="581">
        <v>6.4895299199999992E-2</v>
      </c>
      <c r="AC103" s="581">
        <v>6.4771699199999991E-2</v>
      </c>
      <c r="AD103" s="581">
        <v>9.4589122396799993E-2</v>
      </c>
      <c r="AE103" s="581">
        <v>8.0494778534399999E-2</v>
      </c>
      <c r="AF103" s="581">
        <v>0.11572115935680001</v>
      </c>
      <c r="AG103" s="581">
        <v>0.17192174088000001</v>
      </c>
      <c r="AH103" s="581">
        <v>0.17433919521119998</v>
      </c>
      <c r="AI103" s="581">
        <v>0.1690701312</v>
      </c>
      <c r="AJ103" s="581">
        <v>0.11617753008000001</v>
      </c>
      <c r="AK103" s="581">
        <v>9.5024737622400005E-2</v>
      </c>
      <c r="AL103" s="581">
        <v>9.9129540345600009E-2</v>
      </c>
      <c r="AM103" s="581">
        <v>8.4366168000000005E-2</v>
      </c>
      <c r="AN103" s="211">
        <f t="shared" si="81"/>
        <v>1.3305011020272002</v>
      </c>
      <c r="AO103" s="581">
        <v>1.3598255136435358</v>
      </c>
      <c r="AP103" s="581">
        <v>1.4111204118593763</v>
      </c>
      <c r="AQ103" s="74">
        <f t="shared" ref="AQ103:AY103" si="90">AP103*(1+$D$3)</f>
        <v>1.4534540242151577</v>
      </c>
      <c r="AR103" s="74">
        <f t="shared" si="90"/>
        <v>1.4970576449416124</v>
      </c>
      <c r="AS103" s="74">
        <f t="shared" si="90"/>
        <v>1.5419693742898608</v>
      </c>
      <c r="AT103" s="74">
        <f t="shared" si="90"/>
        <v>1.5882284555185566</v>
      </c>
      <c r="AU103" s="74">
        <f t="shared" si="90"/>
        <v>1.6358753091841134</v>
      </c>
      <c r="AV103" s="74">
        <f t="shared" si="90"/>
        <v>1.6849515684596368</v>
      </c>
      <c r="AW103" s="74">
        <f t="shared" si="90"/>
        <v>1.735500115513426</v>
      </c>
      <c r="AX103" s="74">
        <f t="shared" si="90"/>
        <v>1.7875651189788289</v>
      </c>
      <c r="AY103" s="74">
        <f t="shared" si="90"/>
        <v>1.8411920725481938</v>
      </c>
      <c r="AZ103" s="726"/>
      <c r="BA103" s="726"/>
    </row>
    <row r="104" spans="1:53">
      <c r="A104" s="74">
        <v>573.11</v>
      </c>
      <c r="B104" s="13" t="s">
        <v>701</v>
      </c>
      <c r="E104" s="277"/>
      <c r="F104" s="278"/>
      <c r="G104" s="278"/>
      <c r="H104" s="327"/>
      <c r="I104" s="327"/>
      <c r="J104" s="327"/>
      <c r="K104" s="327"/>
      <c r="L104" s="327"/>
      <c r="M104" s="327"/>
      <c r="N104" s="224">
        <f>SUM(E104:M104)</f>
        <v>0</v>
      </c>
      <c r="O104" s="581">
        <v>2.6446000000000001E-2</v>
      </c>
      <c r="P104" s="581">
        <v>2.6534800000000001E-2</v>
      </c>
      <c r="Q104" s="581">
        <v>3.7697659999999994E-2</v>
      </c>
      <c r="R104" s="581">
        <v>2.9493800000000001E-2</v>
      </c>
      <c r="S104" s="581">
        <v>4.1543199999999995E-2</v>
      </c>
      <c r="T104" s="581">
        <v>6.4508799999999991E-2</v>
      </c>
      <c r="U104" s="581">
        <v>6.4040799999999995E-2</v>
      </c>
      <c r="V104" s="581">
        <v>4.2168800000000006E-2</v>
      </c>
      <c r="W104" s="581">
        <v>2.9973739999999999E-2</v>
      </c>
      <c r="X104" s="581">
        <v>2.5368400000000003E-2</v>
      </c>
      <c r="Y104" s="581">
        <v>2.6379200000000002E-2</v>
      </c>
      <c r="Z104" s="581">
        <v>2.7324400000000002E-2</v>
      </c>
      <c r="AA104" s="211">
        <f t="shared" si="80"/>
        <v>0.44147959999999997</v>
      </c>
      <c r="AB104" s="581">
        <v>2.7395707999999998E-2</v>
      </c>
      <c r="AC104" s="581">
        <v>2.7482607999999999E-2</v>
      </c>
      <c r="AD104" s="581">
        <v>3.9768934331999996E-2</v>
      </c>
      <c r="AE104" s="581">
        <v>3.3860891056E-2</v>
      </c>
      <c r="AF104" s="581">
        <v>4.8681949732000011E-2</v>
      </c>
      <c r="AG104" s="581">
        <v>7.1949858700000008E-2</v>
      </c>
      <c r="AH104" s="581">
        <v>7.2987731338000017E-2</v>
      </c>
      <c r="AI104" s="581">
        <v>7.0938688000000014E-2</v>
      </c>
      <c r="AJ104" s="581">
        <v>4.8722104200000005E-2</v>
      </c>
      <c r="AK104" s="581">
        <v>3.9921640675999993E-2</v>
      </c>
      <c r="AL104" s="581">
        <v>4.1640875144E-2</v>
      </c>
      <c r="AM104" s="581">
        <v>3.6517869999999994E-2</v>
      </c>
      <c r="AN104" s="211">
        <f t="shared" si="81"/>
        <v>0.55986885917800011</v>
      </c>
      <c r="AO104" s="581">
        <v>0.57225876401813991</v>
      </c>
      <c r="AP104" s="581">
        <v>0.59377923827474011</v>
      </c>
      <c r="AQ104" s="74">
        <f t="shared" ref="AQ104:AY104" si="91">AP104*(1+$D$3)</f>
        <v>0.61159261542298238</v>
      </c>
      <c r="AR104" s="74">
        <f t="shared" si="91"/>
        <v>0.62994039388567191</v>
      </c>
      <c r="AS104" s="74">
        <f t="shared" si="91"/>
        <v>0.64883860570224205</v>
      </c>
      <c r="AT104" s="74">
        <f t="shared" si="91"/>
        <v>0.66830376387330936</v>
      </c>
      <c r="AU104" s="74">
        <f t="shared" si="91"/>
        <v>0.68835287678950863</v>
      </c>
      <c r="AV104" s="74">
        <f t="shared" si="91"/>
        <v>0.70900346309319395</v>
      </c>
      <c r="AW104" s="74">
        <f t="shared" si="91"/>
        <v>0.73027356698598977</v>
      </c>
      <c r="AX104" s="74">
        <f t="shared" si="91"/>
        <v>0.75218177399556951</v>
      </c>
      <c r="AY104" s="74">
        <f t="shared" si="91"/>
        <v>0.77474722721543665</v>
      </c>
      <c r="AZ104" s="726"/>
      <c r="BA104" s="726"/>
    </row>
    <row r="105" spans="1:53">
      <c r="A105" s="74"/>
      <c r="E105" s="277"/>
      <c r="F105" s="278"/>
      <c r="G105" s="278"/>
      <c r="H105" s="326"/>
      <c r="I105" s="326"/>
      <c r="J105" s="326"/>
      <c r="K105" s="326"/>
      <c r="L105" s="326"/>
      <c r="M105" s="326"/>
      <c r="N105" s="224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211"/>
      <c r="AB105" s="579"/>
      <c r="AC105" s="579"/>
      <c r="AD105" s="579"/>
      <c r="AE105" s="579"/>
      <c r="AF105" s="579"/>
      <c r="AG105" s="579"/>
      <c r="AH105" s="579"/>
      <c r="AI105" s="579"/>
      <c r="AJ105" s="579"/>
      <c r="AK105" s="579"/>
      <c r="AL105" s="579"/>
      <c r="AM105" s="579"/>
      <c r="AN105" s="211"/>
      <c r="AO105" s="579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26"/>
      <c r="BA105" s="726"/>
    </row>
    <row r="106" spans="1:53">
      <c r="A106" s="74"/>
      <c r="B106" s="13" t="s">
        <v>121</v>
      </c>
      <c r="E106" s="277"/>
      <c r="F106" s="278"/>
      <c r="G106" s="278"/>
      <c r="H106" s="326"/>
      <c r="I106" s="326"/>
      <c r="J106" s="326"/>
      <c r="K106" s="326"/>
      <c r="L106" s="326"/>
      <c r="M106" s="326"/>
      <c r="N106" s="224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211"/>
      <c r="AB106" s="579"/>
      <c r="AC106" s="579"/>
      <c r="AD106" s="579"/>
      <c r="AE106" s="579"/>
      <c r="AF106" s="579"/>
      <c r="AG106" s="579"/>
      <c r="AH106" s="579"/>
      <c r="AI106" s="579"/>
      <c r="AJ106" s="579"/>
      <c r="AK106" s="579"/>
      <c r="AL106" s="579"/>
      <c r="AM106" s="579"/>
      <c r="AN106" s="211"/>
      <c r="AO106" s="579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26"/>
      <c r="BA106" s="726"/>
    </row>
    <row r="107" spans="1:53">
      <c r="A107" s="271">
        <v>561.4</v>
      </c>
      <c r="B107" s="13" t="s">
        <v>869</v>
      </c>
      <c r="E107" s="277"/>
      <c r="F107" s="278"/>
      <c r="G107" s="278"/>
      <c r="H107" s="327"/>
      <c r="I107" s="327"/>
      <c r="J107" s="327"/>
      <c r="K107" s="327"/>
      <c r="L107" s="327"/>
      <c r="M107" s="327"/>
      <c r="N107" s="224">
        <f>SUM(E107:M107)</f>
        <v>0</v>
      </c>
      <c r="O107" s="518">
        <v>0.187087</v>
      </c>
      <c r="P107" s="518">
        <v>0.16404199999999999</v>
      </c>
      <c r="Q107" s="518">
        <v>0.17587</v>
      </c>
      <c r="R107" s="518">
        <v>0.15887999999999999</v>
      </c>
      <c r="S107" s="518">
        <v>0.167435</v>
      </c>
      <c r="T107" s="518">
        <v>0.17413799999999999</v>
      </c>
      <c r="U107" s="518">
        <v>0.18166399999999999</v>
      </c>
      <c r="V107" s="518">
        <v>0.17791799999999999</v>
      </c>
      <c r="W107" s="518">
        <v>0.110999</v>
      </c>
      <c r="X107" s="518">
        <v>0.114409</v>
      </c>
      <c r="Y107" s="518">
        <v>0.112958</v>
      </c>
      <c r="Z107" s="518">
        <v>0.12654199999999999</v>
      </c>
      <c r="AA107" s="211">
        <f t="shared" si="80"/>
        <v>1.851942</v>
      </c>
      <c r="AB107" s="518">
        <v>0.102489</v>
      </c>
      <c r="AC107" s="518">
        <v>8.9962E-2</v>
      </c>
      <c r="AD107" s="518">
        <v>9.0756000000000003E-2</v>
      </c>
      <c r="AE107" s="518">
        <v>8.1614999999999993E-2</v>
      </c>
      <c r="AF107" s="518">
        <v>8.7401999999999994E-2</v>
      </c>
      <c r="AG107" s="518">
        <v>9.4500000000000001E-2</v>
      </c>
      <c r="AH107" s="518">
        <v>9.9655999999999995E-2</v>
      </c>
      <c r="AI107" s="518">
        <v>0.10079399999999999</v>
      </c>
      <c r="AJ107" s="518">
        <v>9.0434E-2</v>
      </c>
      <c r="AK107" s="518">
        <v>8.9904999999999999E-2</v>
      </c>
      <c r="AL107" s="518">
        <v>8.9403999999999997E-2</v>
      </c>
      <c r="AM107" s="518">
        <v>9.9179000000000003E-2</v>
      </c>
      <c r="AN107" s="211">
        <f t="shared" si="81"/>
        <v>1.116096</v>
      </c>
      <c r="AO107" s="518">
        <v>1.1216660000000001</v>
      </c>
      <c r="AP107" s="518">
        <v>1.1332120000000001</v>
      </c>
      <c r="AQ107" s="74">
        <f>AP107*(1+$D$3)</f>
        <v>1.1672083600000001</v>
      </c>
      <c r="AR107" s="74">
        <f t="shared" ref="AR107:AY107" si="92">AQ107*(1+$D$3)</f>
        <v>1.2022246108000001</v>
      </c>
      <c r="AS107" s="74">
        <f t="shared" si="92"/>
        <v>1.2382913491240002</v>
      </c>
      <c r="AT107" s="74">
        <f t="shared" si="92"/>
        <v>1.2754400895977203</v>
      </c>
      <c r="AU107" s="74">
        <f t="shared" si="92"/>
        <v>1.313703292285652</v>
      </c>
      <c r="AV107" s="74">
        <f t="shared" si="92"/>
        <v>1.3531143910542216</v>
      </c>
      <c r="AW107" s="74">
        <f t="shared" si="92"/>
        <v>1.3937078227858484</v>
      </c>
      <c r="AX107" s="74">
        <f t="shared" si="92"/>
        <v>1.4355190574694239</v>
      </c>
      <c r="AY107" s="74">
        <f t="shared" si="92"/>
        <v>1.4785846291935065</v>
      </c>
      <c r="AZ107" s="726"/>
      <c r="BA107" s="726"/>
    </row>
    <row r="108" spans="1:53">
      <c r="A108" s="271">
        <v>561.79999999999995</v>
      </c>
      <c r="B108" s="13" t="s">
        <v>869</v>
      </c>
      <c r="E108" s="277"/>
      <c r="F108" s="278"/>
      <c r="G108" s="278"/>
      <c r="H108" s="327"/>
      <c r="I108" s="327"/>
      <c r="J108" s="327"/>
      <c r="K108" s="327"/>
      <c r="L108" s="327"/>
      <c r="M108" s="327"/>
      <c r="N108" s="224">
        <f>SUM(E108:M108)</f>
        <v>0</v>
      </c>
      <c r="O108" s="518">
        <v>1.2201E-2</v>
      </c>
      <c r="P108" s="518">
        <v>1.0697999999999999E-2</v>
      </c>
      <c r="Q108" s="518">
        <v>1.1469999999999999E-2</v>
      </c>
      <c r="R108" s="518">
        <v>1.0362E-2</v>
      </c>
      <c r="S108" s="518">
        <v>1.0919999999999999E-2</v>
      </c>
      <c r="T108" s="518">
        <v>1.1357000000000001E-2</v>
      </c>
      <c r="U108" s="518">
        <v>1.1847999999999999E-2</v>
      </c>
      <c r="V108" s="518">
        <v>1.1603E-2</v>
      </c>
      <c r="W108" s="518">
        <v>7.2389999999999998E-3</v>
      </c>
      <c r="X108" s="518">
        <v>7.4609999999999998E-3</v>
      </c>
      <c r="Y108" s="518">
        <v>7.3670000000000003E-3</v>
      </c>
      <c r="Z108" s="518">
        <v>8.2529999999999999E-3</v>
      </c>
      <c r="AA108" s="211">
        <f t="shared" si="80"/>
        <v>0.12077899999999998</v>
      </c>
      <c r="AB108" s="518">
        <v>6.6839999999999998E-3</v>
      </c>
      <c r="AC108" s="518">
        <v>5.8669999999999998E-3</v>
      </c>
      <c r="AD108" s="518">
        <v>5.9189999999999998E-3</v>
      </c>
      <c r="AE108" s="518">
        <v>5.3229999999999996E-3</v>
      </c>
      <c r="AF108" s="518">
        <v>5.7000000000000002E-3</v>
      </c>
      <c r="AG108" s="518">
        <v>6.1630000000000001E-3</v>
      </c>
      <c r="AH108" s="518">
        <v>6.4989999999999996E-3</v>
      </c>
      <c r="AI108" s="518">
        <v>6.574E-3</v>
      </c>
      <c r="AJ108" s="518">
        <v>5.8979999999999996E-3</v>
      </c>
      <c r="AK108" s="518">
        <v>5.8630000000000002E-3</v>
      </c>
      <c r="AL108" s="518">
        <v>5.8310000000000002E-3</v>
      </c>
      <c r="AM108" s="518">
        <v>6.4679999999999998E-3</v>
      </c>
      <c r="AN108" s="211">
        <f t="shared" si="81"/>
        <v>7.2788999999999993E-2</v>
      </c>
      <c r="AO108" s="518">
        <v>7.3152999999999996E-2</v>
      </c>
      <c r="AP108" s="518">
        <v>7.3903999999999997E-2</v>
      </c>
      <c r="AQ108" s="74">
        <f>AP108*(1+$D$3)</f>
        <v>7.612112E-2</v>
      </c>
      <c r="AR108" s="74">
        <f t="shared" ref="AR108:AY108" si="93">AQ108*(1+$D$3)</f>
        <v>7.8404753600000002E-2</v>
      </c>
      <c r="AS108" s="74">
        <f t="shared" si="93"/>
        <v>8.0756896208000001E-2</v>
      </c>
      <c r="AT108" s="74">
        <f t="shared" si="93"/>
        <v>8.3179603094240009E-2</v>
      </c>
      <c r="AU108" s="74">
        <f t="shared" si="93"/>
        <v>8.5674991187067215E-2</v>
      </c>
      <c r="AV108" s="74">
        <f t="shared" si="93"/>
        <v>8.8245240922679227E-2</v>
      </c>
      <c r="AW108" s="74">
        <f t="shared" si="93"/>
        <v>9.0892598150359605E-2</v>
      </c>
      <c r="AX108" s="74">
        <f t="shared" si="93"/>
        <v>9.3619376094870393E-2</v>
      </c>
      <c r="AY108" s="74">
        <f t="shared" si="93"/>
        <v>9.6427957377716506E-2</v>
      </c>
      <c r="AZ108" s="726"/>
      <c r="BA108" s="726"/>
    </row>
    <row r="109" spans="1:53">
      <c r="A109" s="271">
        <v>575.70000000000005</v>
      </c>
      <c r="B109" s="13" t="s">
        <v>870</v>
      </c>
      <c r="E109" s="277"/>
      <c r="F109" s="278"/>
      <c r="G109" s="278"/>
      <c r="H109" s="327"/>
      <c r="I109" s="327"/>
      <c r="J109" s="327"/>
      <c r="K109" s="327"/>
      <c r="L109" s="327"/>
      <c r="M109" s="327"/>
      <c r="N109" s="224"/>
      <c r="O109" s="518">
        <v>0.207423</v>
      </c>
      <c r="P109" s="518">
        <v>0.18187300000000001</v>
      </c>
      <c r="Q109" s="518">
        <v>0.19498699999999999</v>
      </c>
      <c r="R109" s="518">
        <v>0.176149</v>
      </c>
      <c r="S109" s="518">
        <v>0.18563399999999999</v>
      </c>
      <c r="T109" s="518">
        <v>0.19306599999999999</v>
      </c>
      <c r="U109" s="518">
        <v>0.20141000000000001</v>
      </c>
      <c r="V109" s="518">
        <v>0.19725599999999999</v>
      </c>
      <c r="W109" s="518">
        <v>0.12306400000000001</v>
      </c>
      <c r="X109" s="518">
        <v>0.12684500000000001</v>
      </c>
      <c r="Y109" s="518">
        <v>0.12523699999999999</v>
      </c>
      <c r="Z109" s="518">
        <v>0.140295</v>
      </c>
      <c r="AA109" s="211">
        <f t="shared" si="80"/>
        <v>2.053239</v>
      </c>
      <c r="AB109" s="518">
        <v>0.11362899999999999</v>
      </c>
      <c r="AC109" s="518">
        <v>9.9739999999999995E-2</v>
      </c>
      <c r="AD109" s="518">
        <v>0.100621</v>
      </c>
      <c r="AE109" s="518">
        <v>9.0485999999999997E-2</v>
      </c>
      <c r="AF109" s="518">
        <v>9.6902000000000002E-2</v>
      </c>
      <c r="AG109" s="518">
        <v>0.104772</v>
      </c>
      <c r="AH109" s="518">
        <v>0.110488</v>
      </c>
      <c r="AI109" s="518">
        <v>0.11175</v>
      </c>
      <c r="AJ109" s="518">
        <v>0.100263</v>
      </c>
      <c r="AK109" s="518">
        <v>9.9678000000000003E-2</v>
      </c>
      <c r="AL109" s="518">
        <v>9.9122000000000002E-2</v>
      </c>
      <c r="AM109" s="518">
        <v>0.10996</v>
      </c>
      <c r="AN109" s="211">
        <f t="shared" si="81"/>
        <v>1.237411</v>
      </c>
      <c r="AO109" s="518">
        <v>1.2435849999999999</v>
      </c>
      <c r="AP109" s="518">
        <v>1.2563869999999999</v>
      </c>
      <c r="AQ109" s="74">
        <f>AP109*(1+$D$3)</f>
        <v>1.2940786099999999</v>
      </c>
      <c r="AR109" s="74">
        <f t="shared" ref="AR109:AY109" si="94">AQ109*(1+$D$3)</f>
        <v>1.3329009682999999</v>
      </c>
      <c r="AS109" s="74">
        <f t="shared" si="94"/>
        <v>1.372887997349</v>
      </c>
      <c r="AT109" s="74">
        <f t="shared" si="94"/>
        <v>1.4140746372694701</v>
      </c>
      <c r="AU109" s="74">
        <f t="shared" si="94"/>
        <v>1.4564968763875543</v>
      </c>
      <c r="AV109" s="74">
        <f t="shared" si="94"/>
        <v>1.5001917826791811</v>
      </c>
      <c r="AW109" s="74">
        <f t="shared" si="94"/>
        <v>1.5451975361595565</v>
      </c>
      <c r="AX109" s="74">
        <f t="shared" si="94"/>
        <v>1.5915534622443432</v>
      </c>
      <c r="AY109" s="74">
        <f t="shared" si="94"/>
        <v>1.6393000661116737</v>
      </c>
      <c r="AZ109" s="726"/>
      <c r="BA109" s="726"/>
    </row>
    <row r="110" spans="1:53">
      <c r="E110" s="277"/>
      <c r="F110" s="273"/>
      <c r="G110" s="273"/>
      <c r="H110" s="273"/>
      <c r="I110" s="273"/>
      <c r="J110" s="273"/>
      <c r="K110" s="273"/>
      <c r="L110" s="273"/>
      <c r="M110" s="273"/>
      <c r="N110" s="22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211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211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26"/>
      <c r="BA110" s="726"/>
    </row>
    <row r="111" spans="1:53">
      <c r="B111" s="49" t="s">
        <v>702</v>
      </c>
      <c r="E111" s="277"/>
      <c r="F111" s="279"/>
      <c r="G111" s="279"/>
      <c r="H111" s="279"/>
      <c r="I111" s="279"/>
      <c r="J111" s="279"/>
      <c r="K111" s="279"/>
      <c r="L111" s="279"/>
      <c r="M111" s="279"/>
      <c r="N111" s="280">
        <f>SUM(E111:M111)</f>
        <v>0</v>
      </c>
      <c r="O111" s="583">
        <f t="shared" ref="O111:Z111" si="95">SUM(O92:O110)</f>
        <v>0.57076971500000007</v>
      </c>
      <c r="P111" s="583">
        <f t="shared" si="95"/>
        <v>0.503862115</v>
      </c>
      <c r="Q111" s="583">
        <f t="shared" si="95"/>
        <v>0.63034101499999995</v>
      </c>
      <c r="R111" s="583">
        <f t="shared" si="95"/>
        <v>0.50528676500000003</v>
      </c>
      <c r="S111" s="583">
        <f t="shared" si="95"/>
        <v>0.58531211500000002</v>
      </c>
      <c r="T111" s="583">
        <f t="shared" si="95"/>
        <v>0.76046241499999989</v>
      </c>
      <c r="U111" s="583">
        <f t="shared" si="95"/>
        <v>0.72749756499999996</v>
      </c>
      <c r="V111" s="583">
        <f t="shared" si="95"/>
        <v>0.61232931499999999</v>
      </c>
      <c r="W111" s="583">
        <f t="shared" si="95"/>
        <v>0.45068071500000001</v>
      </c>
      <c r="X111" s="583">
        <f t="shared" si="95"/>
        <v>0.38779026500000002</v>
      </c>
      <c r="Y111" s="583">
        <f t="shared" si="95"/>
        <v>0.38958416499999998</v>
      </c>
      <c r="Z111" s="583">
        <f t="shared" si="95"/>
        <v>0.47484366499999997</v>
      </c>
      <c r="AA111" s="584">
        <f t="shared" si="80"/>
        <v>6.5987598299999997</v>
      </c>
      <c r="AB111" s="583">
        <f t="shared" ref="AB111:AM111" si="96">SUM(AB92:AB110)</f>
        <v>0.39136510899999999</v>
      </c>
      <c r="AC111" s="583">
        <f t="shared" si="96"/>
        <v>0.347601459</v>
      </c>
      <c r="AD111" s="583">
        <f t="shared" si="96"/>
        <v>0.47806029066000005</v>
      </c>
      <c r="AE111" s="583">
        <f t="shared" si="96"/>
        <v>0.35914582428000003</v>
      </c>
      <c r="AF111" s="583">
        <f t="shared" si="96"/>
        <v>0.44588076766000001</v>
      </c>
      <c r="AG111" s="583">
        <f t="shared" si="96"/>
        <v>0.62714106250000012</v>
      </c>
      <c r="AH111" s="583">
        <f t="shared" si="96"/>
        <v>0.59394612568999994</v>
      </c>
      <c r="AI111" s="583">
        <f t="shared" si="96"/>
        <v>0.58861695900000011</v>
      </c>
      <c r="AJ111" s="583">
        <f t="shared" si="96"/>
        <v>0.50230664000000014</v>
      </c>
      <c r="AK111" s="583">
        <f t="shared" si="96"/>
        <v>0.40730287238000001</v>
      </c>
      <c r="AL111" s="583">
        <f t="shared" si="96"/>
        <v>0.41466404471999996</v>
      </c>
      <c r="AM111" s="583">
        <f t="shared" si="96"/>
        <v>0.46403776899999999</v>
      </c>
      <c r="AN111" s="584">
        <f t="shared" si="81"/>
        <v>5.6200689238900008</v>
      </c>
      <c r="AO111" s="583">
        <f t="shared" ref="AO111:AY111" si="97">SUM(AO92:AO110)</f>
        <v>5.6960552620906988</v>
      </c>
      <c r="AP111" s="583">
        <f t="shared" si="97"/>
        <v>5.8443870913737008</v>
      </c>
      <c r="AQ111" s="583">
        <f t="shared" si="97"/>
        <v>6.0197187041149114</v>
      </c>
      <c r="AR111" s="583">
        <f t="shared" si="97"/>
        <v>6.2003102652383593</v>
      </c>
      <c r="AS111" s="583">
        <f t="shared" si="97"/>
        <v>6.3863195731955109</v>
      </c>
      <c r="AT111" s="583">
        <f t="shared" si="97"/>
        <v>6.5779091603913757</v>
      </c>
      <c r="AU111" s="583">
        <f t="shared" si="97"/>
        <v>6.7752464352031172</v>
      </c>
      <c r="AV111" s="583">
        <f t="shared" si="97"/>
        <v>6.9785038282592113</v>
      </c>
      <c r="AW111" s="583">
        <f t="shared" si="97"/>
        <v>7.1878589431069884</v>
      </c>
      <c r="AX111" s="583">
        <f t="shared" si="97"/>
        <v>7.4034947114001977</v>
      </c>
      <c r="AY111" s="583">
        <f t="shared" si="97"/>
        <v>7.6255995527422042</v>
      </c>
      <c r="AZ111" s="920"/>
      <c r="BA111" s="920"/>
    </row>
    <row r="112" spans="1:53">
      <c r="B112" s="13" t="s">
        <v>878</v>
      </c>
      <c r="E112" s="277"/>
      <c r="F112" s="273"/>
      <c r="G112" s="273"/>
      <c r="H112" s="273"/>
      <c r="I112" s="273"/>
      <c r="J112" s="273"/>
      <c r="K112" s="273"/>
      <c r="L112" s="273"/>
      <c r="M112" s="273"/>
      <c r="N112" s="224"/>
      <c r="O112" s="583">
        <f t="shared" ref="O112:AM112" si="98">O111+O45</f>
        <v>1.5908418008781298</v>
      </c>
      <c r="P112" s="583">
        <f t="shared" si="98"/>
        <v>1.429739690757988</v>
      </c>
      <c r="Q112" s="583">
        <f t="shared" si="98"/>
        <v>2.3512522995571659</v>
      </c>
      <c r="R112" s="583">
        <f t="shared" si="98"/>
        <v>1.5123861714268383</v>
      </c>
      <c r="S112" s="583">
        <f t="shared" si="98"/>
        <v>1.94271599247913</v>
      </c>
      <c r="T112" s="583">
        <f t="shared" si="98"/>
        <v>2.8606404703679429</v>
      </c>
      <c r="U112" s="583">
        <f t="shared" si="98"/>
        <v>1.7227757750995512</v>
      </c>
      <c r="V112" s="583">
        <f t="shared" si="98"/>
        <v>1.6517928210566892</v>
      </c>
      <c r="W112" s="583">
        <f t="shared" si="98"/>
        <v>1.5674624041691989</v>
      </c>
      <c r="X112" s="583">
        <f t="shared" si="98"/>
        <v>1.4120396486688769</v>
      </c>
      <c r="Y112" s="583">
        <f t="shared" si="98"/>
        <v>1.245834153848449</v>
      </c>
      <c r="Z112" s="583">
        <f t="shared" si="98"/>
        <v>1.7329612298011248</v>
      </c>
      <c r="AA112" s="584">
        <f t="shared" si="98"/>
        <v>21.020442458111084</v>
      </c>
      <c r="AB112" s="583">
        <f t="shared" si="98"/>
        <v>1.4107504579042081</v>
      </c>
      <c r="AC112" s="583">
        <f t="shared" si="98"/>
        <v>1.2812332877665551</v>
      </c>
      <c r="AD112" s="583">
        <f t="shared" si="98"/>
        <v>2.1764770870771426</v>
      </c>
      <c r="AE112" s="583">
        <f t="shared" si="98"/>
        <v>1.4299028386615891</v>
      </c>
      <c r="AF112" s="583">
        <f t="shared" si="98"/>
        <v>1.7783631448840327</v>
      </c>
      <c r="AG112" s="583">
        <f t="shared" si="98"/>
        <v>2.6914333923638374</v>
      </c>
      <c r="AH112" s="583">
        <f t="shared" si="98"/>
        <v>1.5582999729307518</v>
      </c>
      <c r="AI112" s="583">
        <f t="shared" si="98"/>
        <v>1.5968930259861429</v>
      </c>
      <c r="AJ112" s="583">
        <f t="shared" si="98"/>
        <v>1.6768072409237362</v>
      </c>
      <c r="AK112" s="583">
        <f t="shared" si="98"/>
        <v>1.4241607342371367</v>
      </c>
      <c r="AL112" s="583">
        <f t="shared" si="98"/>
        <v>1.2835706640158464</v>
      </c>
      <c r="AM112" s="583">
        <f t="shared" si="98"/>
        <v>1.8335372313432121</v>
      </c>
      <c r="AN112" s="584">
        <f t="shared" si="81"/>
        <v>20.141429078094191</v>
      </c>
      <c r="AO112" s="583">
        <f t="shared" ref="AO112:AY112" si="99">AO111+AO45</f>
        <v>20.386809436682071</v>
      </c>
      <c r="AP112" s="583">
        <f t="shared" si="99"/>
        <v>21.306231181146131</v>
      </c>
      <c r="AQ112" s="583">
        <f t="shared" si="99"/>
        <v>21.945418116580512</v>
      </c>
      <c r="AR112" s="583">
        <f t="shared" si="99"/>
        <v>22.603780660077931</v>
      </c>
      <c r="AS112" s="583">
        <f t="shared" si="99"/>
        <v>23.281894079880267</v>
      </c>
      <c r="AT112" s="583">
        <f t="shared" si="99"/>
        <v>23.980350902276676</v>
      </c>
      <c r="AU112" s="583">
        <f t="shared" si="99"/>
        <v>24.699761429344981</v>
      </c>
      <c r="AV112" s="583">
        <f t="shared" si="99"/>
        <v>25.440754272225327</v>
      </c>
      <c r="AW112" s="583">
        <f t="shared" si="99"/>
        <v>26.203976900392089</v>
      </c>
      <c r="AX112" s="583">
        <f t="shared" si="99"/>
        <v>26.990096207403852</v>
      </c>
      <c r="AY112" s="583">
        <f t="shared" si="99"/>
        <v>27.799799093625968</v>
      </c>
      <c r="AZ112" s="920"/>
      <c r="BA112" s="920"/>
    </row>
    <row r="113" spans="1:53">
      <c r="E113" s="277"/>
      <c r="F113" s="273"/>
      <c r="G113" s="273"/>
      <c r="H113" s="273"/>
      <c r="I113" s="273"/>
      <c r="J113" s="273"/>
      <c r="K113" s="273"/>
      <c r="L113" s="273"/>
      <c r="M113" s="273"/>
      <c r="N113" s="22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211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211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26"/>
      <c r="BA113" s="726"/>
    </row>
    <row r="114" spans="1:53">
      <c r="B114" s="75" t="s">
        <v>703</v>
      </c>
      <c r="E114" s="277"/>
      <c r="F114" s="273"/>
      <c r="G114" s="273"/>
      <c r="H114" s="273"/>
      <c r="I114" s="273"/>
      <c r="J114" s="273"/>
      <c r="K114" s="273"/>
      <c r="L114" s="273"/>
      <c r="M114" s="273"/>
      <c r="N114" s="22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211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211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26"/>
      <c r="BA114" s="726"/>
    </row>
    <row r="115" spans="1:53">
      <c r="A115" s="13" t="s">
        <v>654</v>
      </c>
      <c r="B115" s="13" t="s">
        <v>704</v>
      </c>
      <c r="E115" s="277"/>
      <c r="F115" s="278"/>
      <c r="G115" s="278"/>
      <c r="H115" s="327"/>
      <c r="I115" s="327"/>
      <c r="J115" s="327"/>
      <c r="K115" s="327"/>
      <c r="L115" s="327"/>
      <c r="M115" s="327"/>
      <c r="N115" s="224">
        <f t="shared" ref="N115:N120" si="100">SUM(E115:M115)</f>
        <v>0</v>
      </c>
      <c r="O115" s="593">
        <v>0.11133423692965518</v>
      </c>
      <c r="P115" s="593">
        <v>0.14405124138534484</v>
      </c>
      <c r="Q115" s="593">
        <v>0.14745200069034484</v>
      </c>
      <c r="R115" s="593">
        <v>0.15791792856568965</v>
      </c>
      <c r="S115" s="593">
        <v>0.21521575333413789</v>
      </c>
      <c r="T115" s="593">
        <v>0.12887982346827587</v>
      </c>
      <c r="U115" s="593">
        <v>0.1689127555298276</v>
      </c>
      <c r="V115" s="593">
        <v>0.18084965755189655</v>
      </c>
      <c r="W115" s="593">
        <v>8.9945370182413789E-2</v>
      </c>
      <c r="X115" s="593">
        <v>0.11559932610034486</v>
      </c>
      <c r="Y115" s="593">
        <v>9.9173434239655175E-2</v>
      </c>
      <c r="Z115" s="593">
        <v>6.4620307821034478E-2</v>
      </c>
      <c r="AA115" s="211">
        <f>SUM(O115:Z115)</f>
        <v>1.6239518357986207</v>
      </c>
      <c r="AB115" s="593">
        <v>8.100455727699743E-2</v>
      </c>
      <c r="AC115" s="593">
        <v>5.8174519174843099E-2</v>
      </c>
      <c r="AD115" s="593">
        <v>0.11772582212262499</v>
      </c>
      <c r="AE115" s="593">
        <v>0.15532948735157329</v>
      </c>
      <c r="AF115" s="593">
        <v>0.1644143422843595</v>
      </c>
      <c r="AG115" s="593">
        <v>9.2027106797941363E-2</v>
      </c>
      <c r="AH115" s="593">
        <v>0.11065528805557845</v>
      </c>
      <c r="AI115" s="593">
        <v>0.11040621627633704</v>
      </c>
      <c r="AJ115" s="593">
        <v>8.3561864521406029E-2</v>
      </c>
      <c r="AK115" s="593">
        <v>0.11918278324279913</v>
      </c>
      <c r="AL115" s="593">
        <v>0.10128582466870946</v>
      </c>
      <c r="AM115" s="593">
        <v>6.6384445459230182E-2</v>
      </c>
      <c r="AN115" s="211">
        <f>SUM(AB115:AM115)</f>
        <v>1.2601522572323998</v>
      </c>
      <c r="AO115" s="593">
        <v>1.411045170553638</v>
      </c>
      <c r="AP115" s="593">
        <v>1.4088001746649512</v>
      </c>
      <c r="AQ115" s="74">
        <f t="shared" ref="AQ115:AY115" si="101">AP115*(1+$D$3)</f>
        <v>1.4510641799048998</v>
      </c>
      <c r="AR115" s="74">
        <f t="shared" si="101"/>
        <v>1.4945961053020469</v>
      </c>
      <c r="AS115" s="74">
        <f t="shared" si="101"/>
        <v>1.5394339884611083</v>
      </c>
      <c r="AT115" s="74">
        <f t="shared" si="101"/>
        <v>1.5856170081149417</v>
      </c>
      <c r="AU115" s="74">
        <f t="shared" si="101"/>
        <v>1.6331855183583899</v>
      </c>
      <c r="AV115" s="74">
        <f t="shared" si="101"/>
        <v>1.6821810839091416</v>
      </c>
      <c r="AW115" s="74">
        <f t="shared" si="101"/>
        <v>1.7326465164264158</v>
      </c>
      <c r="AX115" s="74">
        <f t="shared" si="101"/>
        <v>1.7846259119192083</v>
      </c>
      <c r="AY115" s="74">
        <f t="shared" si="101"/>
        <v>1.8381646892767847</v>
      </c>
      <c r="AZ115" s="726"/>
      <c r="BA115" s="726"/>
    </row>
    <row r="116" spans="1:53">
      <c r="A116" s="541" t="s">
        <v>727</v>
      </c>
      <c r="B116" s="13" t="s">
        <v>705</v>
      </c>
      <c r="E116" s="277"/>
      <c r="F116" s="278"/>
      <c r="G116" s="278"/>
      <c r="H116" s="327"/>
      <c r="I116" s="327"/>
      <c r="J116" s="327"/>
      <c r="K116" s="327"/>
      <c r="L116" s="327"/>
      <c r="M116" s="327"/>
      <c r="N116" s="224">
        <f t="shared" si="100"/>
        <v>0</v>
      </c>
      <c r="O116" s="593">
        <v>0.13002374856934482</v>
      </c>
      <c r="P116" s="593">
        <v>0.11692601194320688</v>
      </c>
      <c r="Q116" s="593">
        <v>0.17533978254748273</v>
      </c>
      <c r="R116" s="593">
        <v>9.211177712623278E-2</v>
      </c>
      <c r="S116" s="593">
        <v>0.21653208239554311</v>
      </c>
      <c r="T116" s="593">
        <v>0.19767806802622415</v>
      </c>
      <c r="U116" s="593">
        <v>0.14603473653772414</v>
      </c>
      <c r="V116" s="593">
        <v>0.1092106164856293</v>
      </c>
      <c r="W116" s="593">
        <v>9.9347736634681036E-2</v>
      </c>
      <c r="X116" s="593">
        <v>8.7975149524724156E-2</v>
      </c>
      <c r="Y116" s="593">
        <v>9.4339456002474148E-2</v>
      </c>
      <c r="Z116" s="593">
        <v>0.1045995825628362</v>
      </c>
      <c r="AA116" s="211">
        <f>SUM(O116:Z116)</f>
        <v>1.5701187483561034</v>
      </c>
      <c r="AB116" s="593">
        <v>0.13392480742961668</v>
      </c>
      <c r="AC116" s="593">
        <v>0.1160599793319088</v>
      </c>
      <c r="AD116" s="593">
        <v>0.18635757055680921</v>
      </c>
      <c r="AE116" s="593">
        <v>0.20885462706780764</v>
      </c>
      <c r="AF116" s="593">
        <v>0.25793808445180094</v>
      </c>
      <c r="AG116" s="593">
        <v>0.27941044974679718</v>
      </c>
      <c r="AH116" s="593">
        <v>0.15016530300619962</v>
      </c>
      <c r="AI116" s="593">
        <v>0.11153734254538494</v>
      </c>
      <c r="AJ116" s="593">
        <v>0.10383076799448107</v>
      </c>
      <c r="AK116" s="593">
        <v>9.3167252047744661E-2</v>
      </c>
      <c r="AL116" s="593">
        <v>9.9729877852215904E-2</v>
      </c>
      <c r="AM116" s="593">
        <v>0.11025893890253546</v>
      </c>
      <c r="AN116" s="211">
        <f t="shared" ref="AN116:AN133" si="102">SUM(AB116:AM116)</f>
        <v>1.8512350009333023</v>
      </c>
      <c r="AO116" s="593">
        <v>1.7522018149949681</v>
      </c>
      <c r="AP116" s="593">
        <v>1.8211272621783763</v>
      </c>
      <c r="AQ116" s="74">
        <f t="shared" ref="AQ116:AY116" si="103">AP116*(1+$D$3)</f>
        <v>1.8757610800437277</v>
      </c>
      <c r="AR116" s="74">
        <f t="shared" si="103"/>
        <v>1.9320339124450396</v>
      </c>
      <c r="AS116" s="74">
        <f t="shared" si="103"/>
        <v>1.9899949298183908</v>
      </c>
      <c r="AT116" s="74">
        <f t="shared" si="103"/>
        <v>2.0496947777129426</v>
      </c>
      <c r="AU116" s="74">
        <f t="shared" si="103"/>
        <v>2.1111856210443309</v>
      </c>
      <c r="AV116" s="74">
        <f t="shared" si="103"/>
        <v>2.1745211896756609</v>
      </c>
      <c r="AW116" s="74">
        <f t="shared" si="103"/>
        <v>2.2397568253659306</v>
      </c>
      <c r="AX116" s="74">
        <f t="shared" si="103"/>
        <v>2.3069495301269085</v>
      </c>
      <c r="AY116" s="74">
        <f t="shared" si="103"/>
        <v>2.3761580160307156</v>
      </c>
      <c r="AZ116" s="726"/>
      <c r="BA116" s="726"/>
    </row>
    <row r="117" spans="1:53">
      <c r="A117" s="13" t="s">
        <v>541</v>
      </c>
      <c r="B117" s="13" t="s">
        <v>706</v>
      </c>
      <c r="E117" s="277"/>
      <c r="F117" s="278"/>
      <c r="G117" s="278"/>
      <c r="H117" s="327"/>
      <c r="I117" s="327"/>
      <c r="J117" s="327"/>
      <c r="K117" s="327"/>
      <c r="L117" s="327"/>
      <c r="M117" s="327"/>
      <c r="N117" s="224">
        <f t="shared" si="100"/>
        <v>0</v>
      </c>
      <c r="O117" s="593">
        <v>4.6430744620431036E-2</v>
      </c>
      <c r="P117" s="593">
        <v>7.384394608594827E-2</v>
      </c>
      <c r="Q117" s="593">
        <v>7.5699910585948271E-2</v>
      </c>
      <c r="R117" s="593">
        <v>7.317060170922414E-2</v>
      </c>
      <c r="S117" s="593">
        <v>0.17329758990922417</v>
      </c>
      <c r="T117" s="593">
        <v>0.11270998476017242</v>
      </c>
      <c r="U117" s="593">
        <v>4.7415058486896547E-2</v>
      </c>
      <c r="V117" s="593">
        <v>3.3643633774913792E-2</v>
      </c>
      <c r="W117" s="593">
        <v>8.4597848261982758E-2</v>
      </c>
      <c r="X117" s="593">
        <v>4.671464208525862E-2</v>
      </c>
      <c r="Y117" s="593">
        <v>1.2684853089568966E-2</v>
      </c>
      <c r="Z117" s="593">
        <v>8.5292063240517239E-3</v>
      </c>
      <c r="AA117" s="211">
        <f>SUM(O117:Z117)</f>
        <v>0.78873801969362078</v>
      </c>
      <c r="AB117" s="593">
        <v>1.2158971639926292E-2</v>
      </c>
      <c r="AC117" s="593">
        <v>1.4917773105443533E-2</v>
      </c>
      <c r="AD117" s="593">
        <v>2.6767832777857329E-2</v>
      </c>
      <c r="AE117" s="593">
        <v>1.2321408728719396E-2</v>
      </c>
      <c r="AF117" s="593">
        <v>2.8399492790788364E-2</v>
      </c>
      <c r="AG117" s="593">
        <v>3.1632843459989651E-2</v>
      </c>
      <c r="AH117" s="593">
        <v>9.9889571867137934E-3</v>
      </c>
      <c r="AI117" s="593">
        <v>1.0208846224018535E-2</v>
      </c>
      <c r="AJ117" s="593">
        <v>1.34508607110875E-2</v>
      </c>
      <c r="AK117" s="593">
        <v>1.0708009706777155E-2</v>
      </c>
      <c r="AL117" s="593">
        <v>1.1148464849018533E-2</v>
      </c>
      <c r="AM117" s="593">
        <v>9.148407738673708E-3</v>
      </c>
      <c r="AN117" s="211">
        <f t="shared" si="102"/>
        <v>0.19085186891901379</v>
      </c>
      <c r="AO117" s="593">
        <v>0.29254866014324821</v>
      </c>
      <c r="AP117" s="593">
        <v>0.21160334740271813</v>
      </c>
      <c r="AQ117" s="74">
        <f t="shared" ref="AQ117:AY117" si="104">AP117*(1+$D$3)</f>
        <v>0.21795144782479969</v>
      </c>
      <c r="AR117" s="74">
        <f t="shared" si="104"/>
        <v>0.22448999125954369</v>
      </c>
      <c r="AS117" s="74">
        <f t="shared" si="104"/>
        <v>0.23122469099733001</v>
      </c>
      <c r="AT117" s="74">
        <f t="shared" si="104"/>
        <v>0.23816143172724991</v>
      </c>
      <c r="AU117" s="74">
        <f t="shared" si="104"/>
        <v>0.2453062746790674</v>
      </c>
      <c r="AV117" s="74">
        <f t="shared" si="104"/>
        <v>0.25266546291943942</v>
      </c>
      <c r="AW117" s="74">
        <f t="shared" si="104"/>
        <v>0.26024542680702262</v>
      </c>
      <c r="AX117" s="74">
        <f t="shared" si="104"/>
        <v>0.2680527896112333</v>
      </c>
      <c r="AY117" s="74">
        <f t="shared" si="104"/>
        <v>0.27609437329957032</v>
      </c>
      <c r="AZ117" s="726"/>
      <c r="BA117" s="726"/>
    </row>
    <row r="118" spans="1:53">
      <c r="A118" s="74">
        <v>506.10599999999999</v>
      </c>
      <c r="B118" s="13" t="s">
        <v>572</v>
      </c>
      <c r="E118" s="277"/>
      <c r="F118" s="278"/>
      <c r="G118" s="278"/>
      <c r="H118" s="327"/>
      <c r="I118" s="327"/>
      <c r="J118" s="327"/>
      <c r="K118" s="327"/>
      <c r="L118" s="327"/>
      <c r="M118" s="327"/>
      <c r="N118" s="224">
        <f t="shared" si="100"/>
        <v>0</v>
      </c>
      <c r="O118" s="593">
        <v>0.10026500000000001</v>
      </c>
      <c r="P118" s="593">
        <v>0.10026500000000001</v>
      </c>
      <c r="Q118" s="593">
        <v>0.10026500000000001</v>
      </c>
      <c r="R118" s="593">
        <v>0.10026500000000001</v>
      </c>
      <c r="S118" s="593">
        <v>0.10026500000000001</v>
      </c>
      <c r="T118" s="593">
        <v>0.10026500000000001</v>
      </c>
      <c r="U118" s="593">
        <v>0.10026500000000001</v>
      </c>
      <c r="V118" s="593">
        <v>0.10026500000000001</v>
      </c>
      <c r="W118" s="593">
        <v>0.10026500000000001</v>
      </c>
      <c r="X118" s="593">
        <v>0.10026500000000001</v>
      </c>
      <c r="Y118" s="593">
        <v>0.10026500000000001</v>
      </c>
      <c r="Z118" s="593">
        <v>0.10026500000000001</v>
      </c>
      <c r="AA118" s="211">
        <f>SUM(O118:Z118)</f>
        <v>1.2031800000000004</v>
      </c>
      <c r="AB118" s="593">
        <v>0.105277</v>
      </c>
      <c r="AC118" s="593">
        <v>0.105277</v>
      </c>
      <c r="AD118" s="593">
        <v>0.105277</v>
      </c>
      <c r="AE118" s="593">
        <v>0.105277</v>
      </c>
      <c r="AF118" s="593">
        <v>0.105277</v>
      </c>
      <c r="AG118" s="593">
        <v>0.105277</v>
      </c>
      <c r="AH118" s="593">
        <v>0.105277</v>
      </c>
      <c r="AI118" s="593">
        <v>0.105277</v>
      </c>
      <c r="AJ118" s="593">
        <v>0.105277</v>
      </c>
      <c r="AK118" s="593">
        <v>0.105277</v>
      </c>
      <c r="AL118" s="593">
        <v>0.105277</v>
      </c>
      <c r="AM118" s="593">
        <v>0.105277</v>
      </c>
      <c r="AN118" s="211">
        <f t="shared" si="102"/>
        <v>1.2633239999999999</v>
      </c>
      <c r="AO118" s="593">
        <v>1.326492</v>
      </c>
      <c r="AP118" s="593">
        <v>1.3928160000000005</v>
      </c>
      <c r="AQ118" s="74">
        <f t="shared" ref="AQ118:AY118" si="105">AP118*(1+$D$3)</f>
        <v>1.4346004800000005</v>
      </c>
      <c r="AR118" s="74">
        <f t="shared" si="105"/>
        <v>1.4776384944000005</v>
      </c>
      <c r="AS118" s="74">
        <f t="shared" si="105"/>
        <v>1.5219676492320005</v>
      </c>
      <c r="AT118" s="74">
        <f t="shared" si="105"/>
        <v>1.5676266787089606</v>
      </c>
      <c r="AU118" s="74">
        <f t="shared" si="105"/>
        <v>1.6146554790702294</v>
      </c>
      <c r="AV118" s="74">
        <f t="shared" si="105"/>
        <v>1.6630951434423364</v>
      </c>
      <c r="AW118" s="74">
        <f t="shared" si="105"/>
        <v>1.7129879977456066</v>
      </c>
      <c r="AX118" s="74">
        <f t="shared" si="105"/>
        <v>1.764377637677975</v>
      </c>
      <c r="AY118" s="74">
        <f t="shared" si="105"/>
        <v>1.8173089668083142</v>
      </c>
      <c r="AZ118" s="726"/>
      <c r="BA118" s="726"/>
    </row>
    <row r="119" spans="1:53">
      <c r="A119" s="13" t="s">
        <v>661</v>
      </c>
      <c r="B119" s="13" t="s">
        <v>707</v>
      </c>
      <c r="E119" s="277"/>
      <c r="F119" s="278"/>
      <c r="G119" s="278"/>
      <c r="H119" s="327"/>
      <c r="I119" s="327"/>
      <c r="J119" s="327"/>
      <c r="K119" s="327"/>
      <c r="L119" s="327"/>
      <c r="M119" s="327"/>
      <c r="N119" s="224">
        <f t="shared" si="100"/>
        <v>0</v>
      </c>
      <c r="O119" s="593">
        <v>7.5806094059999996E-3</v>
      </c>
      <c r="P119" s="593">
        <v>9.2292439380000004E-3</v>
      </c>
      <c r="Q119" s="593">
        <v>8.3751936419999996E-3</v>
      </c>
      <c r="R119" s="593">
        <v>5.3604745694999997E-3</v>
      </c>
      <c r="S119" s="593">
        <v>1.0149332829499999E-2</v>
      </c>
      <c r="T119" s="593">
        <v>8.2253204329999999E-3</v>
      </c>
      <c r="U119" s="593">
        <v>8.0609279239999988E-3</v>
      </c>
      <c r="V119" s="593">
        <v>6.0871452545000005E-3</v>
      </c>
      <c r="W119" s="593">
        <v>4.2990793395000001E-3</v>
      </c>
      <c r="X119" s="593">
        <v>3.9499672819999993E-3</v>
      </c>
      <c r="Y119" s="593">
        <v>3.072283375499999E-3</v>
      </c>
      <c r="Z119" s="593">
        <v>3.4075693484999997E-3</v>
      </c>
      <c r="AA119" s="211">
        <f t="shared" ref="AA119:AA131" si="106">SUM(O119:Z119)</f>
        <v>7.7797147342000009E-2</v>
      </c>
      <c r="AB119" s="593">
        <v>6.018066435209999E-3</v>
      </c>
      <c r="AC119" s="593">
        <v>4.7496031758299997E-3</v>
      </c>
      <c r="AD119" s="593">
        <v>1.9570117686696031E-2</v>
      </c>
      <c r="AE119" s="593">
        <v>1.7192045320608942E-2</v>
      </c>
      <c r="AF119" s="593">
        <v>8.3179375785324989E-3</v>
      </c>
      <c r="AG119" s="593">
        <v>7.7949449481549997E-3</v>
      </c>
      <c r="AH119" s="593">
        <v>6.5746379013399995E-3</v>
      </c>
      <c r="AI119" s="593">
        <v>4.3556278384074996E-3</v>
      </c>
      <c r="AJ119" s="593">
        <v>4.0684705163824995E-3</v>
      </c>
      <c r="AK119" s="593">
        <v>4.3227933368699999E-3</v>
      </c>
      <c r="AL119" s="593">
        <v>3.4212995936424993E-3</v>
      </c>
      <c r="AM119" s="593">
        <v>3.7697000756974994E-3</v>
      </c>
      <c r="AN119" s="211">
        <f t="shared" si="102"/>
        <v>9.0155244407372451E-2</v>
      </c>
      <c r="AO119" s="593">
        <v>7.811115372131551E-2</v>
      </c>
      <c r="AP119" s="593">
        <v>8.0996823530447778E-2</v>
      </c>
      <c r="AQ119" s="74">
        <f t="shared" ref="AQ119:AY119" si="107">AP119*(1+$D$3)</f>
        <v>8.3426728236361214E-2</v>
      </c>
      <c r="AR119" s="74">
        <f t="shared" si="107"/>
        <v>8.5929530083452055E-2</v>
      </c>
      <c r="AS119" s="74">
        <f t="shared" si="107"/>
        <v>8.8507415985955615E-2</v>
      </c>
      <c r="AT119" s="74">
        <f t="shared" si="107"/>
        <v>9.1162638465534282E-2</v>
      </c>
      <c r="AU119" s="74">
        <f t="shared" si="107"/>
        <v>9.3897517619500312E-2</v>
      </c>
      <c r="AV119" s="74">
        <f t="shared" si="107"/>
        <v>9.6714443148085319E-2</v>
      </c>
      <c r="AW119" s="74">
        <f t="shared" si="107"/>
        <v>9.9615876442527881E-2</v>
      </c>
      <c r="AX119" s="74">
        <f t="shared" si="107"/>
        <v>0.10260435273580372</v>
      </c>
      <c r="AY119" s="74">
        <f t="shared" si="107"/>
        <v>0.10568248331787783</v>
      </c>
      <c r="AZ119" s="726"/>
      <c r="BA119" s="726"/>
    </row>
    <row r="120" spans="1:53">
      <c r="A120" s="13" t="s">
        <v>708</v>
      </c>
      <c r="B120" s="13" t="s">
        <v>709</v>
      </c>
      <c r="E120" s="277"/>
      <c r="F120" s="278"/>
      <c r="G120" s="278"/>
      <c r="H120" s="327"/>
      <c r="I120" s="327"/>
      <c r="J120" s="327"/>
      <c r="K120" s="327"/>
      <c r="L120" s="327"/>
      <c r="M120" s="327"/>
      <c r="N120" s="224">
        <f t="shared" si="100"/>
        <v>0</v>
      </c>
      <c r="O120" s="593">
        <v>0.43982187777243098</v>
      </c>
      <c r="P120" s="593">
        <v>0.40462880168618537</v>
      </c>
      <c r="Q120" s="593">
        <v>0.50837690772410771</v>
      </c>
      <c r="R120" s="593">
        <v>0.43848178620141809</v>
      </c>
      <c r="S120" s="593">
        <v>0.75568999802170256</v>
      </c>
      <c r="T120" s="593">
        <v>0.4291502331614741</v>
      </c>
      <c r="U120" s="593">
        <v>0.49243277352305176</v>
      </c>
      <c r="V120" s="593">
        <v>0.36969840168191814</v>
      </c>
      <c r="W120" s="593">
        <v>0.29548866627387071</v>
      </c>
      <c r="X120" s="593">
        <v>0.30230472293898702</v>
      </c>
      <c r="Y120" s="593">
        <v>0.27941874197148725</v>
      </c>
      <c r="Z120" s="593">
        <v>0.23478820517657858</v>
      </c>
      <c r="AA120" s="211">
        <f t="shared" si="106"/>
        <v>4.9502811161332128</v>
      </c>
      <c r="AB120" s="593">
        <v>0.34837097365783015</v>
      </c>
      <c r="AC120" s="593">
        <v>0.27544966166998863</v>
      </c>
      <c r="AD120" s="593">
        <v>0.63750342166399976</v>
      </c>
      <c r="AE120" s="593">
        <v>0.6926020770554151</v>
      </c>
      <c r="AF120" s="593">
        <v>0.46160822334744178</v>
      </c>
      <c r="AG120" s="593">
        <v>0.35476165348686217</v>
      </c>
      <c r="AH120" s="593">
        <v>0.33139577785347601</v>
      </c>
      <c r="AI120" s="593">
        <v>0.28710957135573317</v>
      </c>
      <c r="AJ120" s="593">
        <v>0.30428168585433568</v>
      </c>
      <c r="AK120" s="593">
        <v>0.28307982529879039</v>
      </c>
      <c r="AL120" s="593">
        <v>0.30110913644527249</v>
      </c>
      <c r="AM120" s="593">
        <v>0.24932628268612619</v>
      </c>
      <c r="AN120" s="211">
        <f t="shared" si="102"/>
        <v>4.5265982903752713</v>
      </c>
      <c r="AO120" s="593">
        <v>4.4282384809787843</v>
      </c>
      <c r="AP120" s="593">
        <v>4.897138185972155</v>
      </c>
      <c r="AQ120" s="74">
        <f t="shared" ref="AQ120:AY120" si="108">AP120*(1+$D$3)</f>
        <v>5.0440523315513195</v>
      </c>
      <c r="AR120" s="74">
        <f t="shared" si="108"/>
        <v>5.1953739014978595</v>
      </c>
      <c r="AS120" s="572">
        <f>AR120*(1+$D$3)+'Bud. Adj.'!AK21*0.5</f>
        <v>19.519249362003688</v>
      </c>
      <c r="AT120" s="74">
        <f t="shared" si="108"/>
        <v>20.104826842863798</v>
      </c>
      <c r="AU120" s="74">
        <f t="shared" si="108"/>
        <v>20.707971648149712</v>
      </c>
      <c r="AV120" s="74">
        <f t="shared" si="108"/>
        <v>21.329210797594204</v>
      </c>
      <c r="AW120" s="74">
        <f t="shared" si="108"/>
        <v>21.96908712152203</v>
      </c>
      <c r="AX120" s="74">
        <f t="shared" si="108"/>
        <v>22.628159735167692</v>
      </c>
      <c r="AY120" s="74">
        <f t="shared" si="108"/>
        <v>23.307004527222723</v>
      </c>
      <c r="AZ120" s="726"/>
      <c r="BA120" s="726"/>
    </row>
    <row r="121" spans="1:53">
      <c r="E121" s="277"/>
      <c r="F121" s="278"/>
      <c r="G121" s="278"/>
      <c r="H121" s="326"/>
      <c r="I121" s="326"/>
      <c r="J121" s="326"/>
      <c r="K121" s="326"/>
      <c r="L121" s="326"/>
      <c r="M121" s="326"/>
      <c r="N121" s="224"/>
      <c r="O121" s="594"/>
      <c r="P121" s="594"/>
      <c r="Q121" s="594"/>
      <c r="R121" s="594"/>
      <c r="S121" s="594"/>
      <c r="T121" s="594"/>
      <c r="U121" s="594"/>
      <c r="V121" s="594"/>
      <c r="W121" s="594"/>
      <c r="X121" s="594"/>
      <c r="Y121" s="594"/>
      <c r="Z121" s="594"/>
      <c r="AA121" s="211"/>
      <c r="AB121" s="579"/>
      <c r="AC121" s="579"/>
      <c r="AD121" s="579"/>
      <c r="AE121" s="579"/>
      <c r="AF121" s="579"/>
      <c r="AG121" s="579"/>
      <c r="AH121" s="579"/>
      <c r="AI121" s="579"/>
      <c r="AJ121" s="579"/>
      <c r="AK121" s="579"/>
      <c r="AL121" s="579"/>
      <c r="AM121" s="579"/>
      <c r="AN121" s="211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26"/>
      <c r="BA121" s="726"/>
    </row>
    <row r="122" spans="1:53">
      <c r="B122" s="13" t="s">
        <v>696</v>
      </c>
      <c r="E122" s="277"/>
      <c r="F122" s="278"/>
      <c r="G122" s="278"/>
      <c r="H122" s="326"/>
      <c r="I122" s="326"/>
      <c r="J122" s="326"/>
      <c r="K122" s="326"/>
      <c r="L122" s="326"/>
      <c r="M122" s="326"/>
      <c r="N122" s="224"/>
      <c r="O122" s="594"/>
      <c r="P122" s="594"/>
      <c r="Q122" s="594"/>
      <c r="R122" s="594"/>
      <c r="S122" s="594"/>
      <c r="T122" s="594"/>
      <c r="U122" s="594"/>
      <c r="V122" s="594"/>
      <c r="W122" s="594"/>
      <c r="X122" s="594"/>
      <c r="Y122" s="594"/>
      <c r="Z122" s="594"/>
      <c r="AA122" s="211"/>
      <c r="AB122" s="579"/>
      <c r="AC122" s="579"/>
      <c r="AD122" s="579"/>
      <c r="AE122" s="579"/>
      <c r="AF122" s="579"/>
      <c r="AG122" s="579"/>
      <c r="AH122" s="579"/>
      <c r="AI122" s="579"/>
      <c r="AJ122" s="579"/>
      <c r="AK122" s="579"/>
      <c r="AL122" s="579"/>
      <c r="AM122" s="579"/>
      <c r="AN122" s="211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26"/>
      <c r="BA122" s="726"/>
    </row>
    <row r="123" spans="1:53">
      <c r="A123" s="13" t="s">
        <v>710</v>
      </c>
      <c r="B123" s="13" t="s">
        <v>711</v>
      </c>
      <c r="E123" s="277"/>
      <c r="F123" s="278"/>
      <c r="G123" s="278"/>
      <c r="H123" s="327"/>
      <c r="I123" s="327"/>
      <c r="J123" s="327"/>
      <c r="K123" s="327"/>
      <c r="L123" s="327"/>
      <c r="M123" s="327"/>
      <c r="N123" s="224">
        <f>SUM(E123:M123)</f>
        <v>0</v>
      </c>
      <c r="O123" s="595">
        <v>0.13211560686736415</v>
      </c>
      <c r="P123" s="595">
        <v>0.19711287703754204</v>
      </c>
      <c r="Q123" s="595">
        <v>0.18895580541496049</v>
      </c>
      <c r="R123" s="595">
        <v>0.27334107036975375</v>
      </c>
      <c r="S123" s="595">
        <v>0.6522991344636675</v>
      </c>
      <c r="T123" s="595">
        <v>0.15373924972827446</v>
      </c>
      <c r="U123" s="595">
        <v>0.2097168367388848</v>
      </c>
      <c r="V123" s="595">
        <v>0.2098016661163814</v>
      </c>
      <c r="W123" s="595">
        <v>0.19153921348891792</v>
      </c>
      <c r="X123" s="595">
        <v>0.23207903670263313</v>
      </c>
      <c r="Y123" s="595">
        <v>0.13943489761935035</v>
      </c>
      <c r="Z123" s="595">
        <v>0.11292492131259863</v>
      </c>
      <c r="AA123" s="211">
        <f t="shared" si="106"/>
        <v>2.6930603158603286</v>
      </c>
      <c r="AB123" s="595">
        <v>0.14898837806517434</v>
      </c>
      <c r="AC123" s="595">
        <v>0.13774157893743769</v>
      </c>
      <c r="AD123" s="595">
        <v>0.3963037638611861</v>
      </c>
      <c r="AE123" s="595">
        <v>0.88341200001403475</v>
      </c>
      <c r="AF123" s="595">
        <v>0.53449469486760981</v>
      </c>
      <c r="AG123" s="595">
        <v>0.11496884388816715</v>
      </c>
      <c r="AH123" s="595">
        <v>0.17682979916169378</v>
      </c>
      <c r="AI123" s="595">
        <v>0.18642605308133658</v>
      </c>
      <c r="AJ123" s="595">
        <v>0.18100933197001104</v>
      </c>
      <c r="AK123" s="595">
        <v>0.2775430618421838</v>
      </c>
      <c r="AL123" s="595">
        <v>0.14800980558540486</v>
      </c>
      <c r="AM123" s="595">
        <v>0.12142955429501107</v>
      </c>
      <c r="AN123" s="211">
        <f t="shared" si="102"/>
        <v>3.3071568655692509</v>
      </c>
      <c r="AO123" s="595">
        <v>2.7459707789452183</v>
      </c>
      <c r="AP123" s="595">
        <v>3.3759248723602706</v>
      </c>
      <c r="AQ123" s="74">
        <f t="shared" ref="AQ123:AY123" si="109">AP123*(1+$D$3)</f>
        <v>3.4772026185310789</v>
      </c>
      <c r="AR123" s="74">
        <f t="shared" si="109"/>
        <v>3.5815186970870112</v>
      </c>
      <c r="AS123" s="74">
        <f t="shared" si="109"/>
        <v>3.6889642579996216</v>
      </c>
      <c r="AT123" s="74">
        <f t="shared" si="109"/>
        <v>3.7996331857396104</v>
      </c>
      <c r="AU123" s="74">
        <f t="shared" si="109"/>
        <v>3.9136221813117986</v>
      </c>
      <c r="AV123" s="74">
        <f t="shared" si="109"/>
        <v>4.0310308467511531</v>
      </c>
      <c r="AW123" s="74">
        <f t="shared" si="109"/>
        <v>4.1519617721536877</v>
      </c>
      <c r="AX123" s="74">
        <f t="shared" si="109"/>
        <v>4.2765206253182981</v>
      </c>
      <c r="AY123" s="74">
        <f t="shared" si="109"/>
        <v>4.4048162440778471</v>
      </c>
      <c r="AZ123" s="726"/>
      <c r="BA123" s="726"/>
    </row>
    <row r="124" spans="1:53">
      <c r="A124" s="13" t="s">
        <v>665</v>
      </c>
      <c r="B124" s="13" t="s">
        <v>712</v>
      </c>
      <c r="E124" s="277"/>
      <c r="F124" s="278"/>
      <c r="G124" s="278"/>
      <c r="H124" s="327"/>
      <c r="I124" s="327"/>
      <c r="J124" s="327"/>
      <c r="K124" s="327"/>
      <c r="L124" s="327"/>
      <c r="M124" s="327"/>
      <c r="N124" s="224">
        <f>SUM(E124:M124)</f>
        <v>0</v>
      </c>
      <c r="O124" s="595">
        <v>0.67585289020641814</v>
      </c>
      <c r="P124" s="595">
        <v>0.94230510319196314</v>
      </c>
      <c r="Q124" s="595">
        <v>1.0324907628509015</v>
      </c>
      <c r="R124" s="595">
        <v>1.3125105770293328</v>
      </c>
      <c r="S124" s="595">
        <v>2.5868456671967093</v>
      </c>
      <c r="T124" s="595">
        <v>0.73920740051233957</v>
      </c>
      <c r="U124" s="595">
        <v>1.0674232852456347</v>
      </c>
      <c r="V124" s="595">
        <v>0.99419978026429956</v>
      </c>
      <c r="W124" s="595">
        <v>0.88119833680663462</v>
      </c>
      <c r="X124" s="595">
        <v>1.0945051557951684</v>
      </c>
      <c r="Y124" s="595">
        <v>0.66220786120454844</v>
      </c>
      <c r="Z124" s="595">
        <v>0.54896959993791217</v>
      </c>
      <c r="AA124" s="211">
        <f t="shared" si="106"/>
        <v>12.537716420241862</v>
      </c>
      <c r="AB124" s="595">
        <v>0.75234170187174843</v>
      </c>
      <c r="AC124" s="595">
        <v>0.67235367773475863</v>
      </c>
      <c r="AD124" s="595">
        <v>2.0547792758164234</v>
      </c>
      <c r="AE124" s="595">
        <v>3.8660682285057999</v>
      </c>
      <c r="AF124" s="595">
        <v>2.1276052589051142</v>
      </c>
      <c r="AG124" s="595">
        <v>0.58375078699501981</v>
      </c>
      <c r="AH124" s="595">
        <v>0.86643102389790039</v>
      </c>
      <c r="AI124" s="595">
        <v>0.92573800656517646</v>
      </c>
      <c r="AJ124" s="595">
        <v>1.1772479609611366</v>
      </c>
      <c r="AK124" s="595">
        <v>1.4831299480311542</v>
      </c>
      <c r="AL124" s="595">
        <v>0.73936311037304669</v>
      </c>
      <c r="AM124" s="595">
        <v>0.58374703378103288</v>
      </c>
      <c r="AN124" s="211">
        <f t="shared" si="102"/>
        <v>15.83255601343831</v>
      </c>
      <c r="AO124" s="595">
        <v>13.475508800587582</v>
      </c>
      <c r="AP124" s="595">
        <v>16.684372065203583</v>
      </c>
      <c r="AQ124" s="74">
        <f>AP124*(1+$D$3)</f>
        <v>17.18490322715969</v>
      </c>
      <c r="AR124" s="74">
        <f t="shared" ref="AR124:AY124" si="110">AQ124*(1+$D$3)</f>
        <v>17.700450323974483</v>
      </c>
      <c r="AS124" s="572">
        <f>AR124*(1+$D$3)+'Bud. Adj.'!AK21*0.5</f>
        <v>32.399478077154612</v>
      </c>
      <c r="AT124" s="74">
        <f t="shared" si="110"/>
        <v>33.371462419469253</v>
      </c>
      <c r="AU124" s="74">
        <f t="shared" si="110"/>
        <v>34.372606292053334</v>
      </c>
      <c r="AV124" s="74">
        <f t="shared" si="110"/>
        <v>35.403784480814934</v>
      </c>
      <c r="AW124" s="74">
        <f t="shared" si="110"/>
        <v>36.465898015239382</v>
      </c>
      <c r="AX124" s="74">
        <f t="shared" si="110"/>
        <v>37.559874955696564</v>
      </c>
      <c r="AY124" s="74">
        <f t="shared" si="110"/>
        <v>38.686671204367464</v>
      </c>
      <c r="AZ124" s="726"/>
      <c r="BA124" s="726"/>
    </row>
    <row r="125" spans="1:53">
      <c r="A125" s="13" t="s">
        <v>713</v>
      </c>
      <c r="B125" s="13" t="s">
        <v>714</v>
      </c>
      <c r="E125" s="277"/>
      <c r="F125" s="278"/>
      <c r="G125" s="278"/>
      <c r="H125" s="327"/>
      <c r="I125" s="327"/>
      <c r="J125" s="327"/>
      <c r="K125" s="327"/>
      <c r="L125" s="327"/>
      <c r="M125" s="327"/>
      <c r="N125" s="224">
        <f>SUM(E125:M125)</f>
        <v>0</v>
      </c>
      <c r="O125" s="595">
        <v>0.17805219434249997</v>
      </c>
      <c r="P125" s="595">
        <v>0.27232290059249997</v>
      </c>
      <c r="Q125" s="595">
        <v>0.34184352734250006</v>
      </c>
      <c r="R125" s="595">
        <v>0.34751239641750004</v>
      </c>
      <c r="S125" s="595">
        <v>1.3248337802174999</v>
      </c>
      <c r="T125" s="595">
        <v>0.49002156194500002</v>
      </c>
      <c r="U125" s="595">
        <v>0.18793259052000003</v>
      </c>
      <c r="V125" s="595">
        <v>0.14077010742250001</v>
      </c>
      <c r="W125" s="595">
        <v>0.31064968104750001</v>
      </c>
      <c r="X125" s="595">
        <v>0.20428206842249999</v>
      </c>
      <c r="Y125" s="595">
        <v>9.1428415047500003E-2</v>
      </c>
      <c r="Z125" s="595">
        <v>6.7787300847500009E-2</v>
      </c>
      <c r="AA125" s="211">
        <f t="shared" si="106"/>
        <v>3.9574365241649998</v>
      </c>
      <c r="AB125" s="595">
        <v>6.8260988207612491E-2</v>
      </c>
      <c r="AC125" s="595">
        <v>0.1245427544576125</v>
      </c>
      <c r="AD125" s="595">
        <v>0.17201272120761249</v>
      </c>
      <c r="AE125" s="595">
        <v>6.0661370282612495E-2</v>
      </c>
      <c r="AF125" s="595">
        <v>0.19859715408261244</v>
      </c>
      <c r="AG125" s="595">
        <v>0.26016629955370002</v>
      </c>
      <c r="AH125" s="595">
        <v>5.4999868128699995E-2</v>
      </c>
      <c r="AI125" s="595">
        <v>5.05327487747875E-2</v>
      </c>
      <c r="AJ125" s="595">
        <v>9.64792723997875E-2</v>
      </c>
      <c r="AK125" s="595">
        <v>6.2689399774787491E-2</v>
      </c>
      <c r="AL125" s="595">
        <v>6.9539546399787502E-2</v>
      </c>
      <c r="AM125" s="595">
        <v>7.16333321997875E-2</v>
      </c>
      <c r="AN125" s="211">
        <f t="shared" si="102"/>
        <v>1.2901154554693999</v>
      </c>
      <c r="AO125" s="595">
        <v>2.1509034614608287</v>
      </c>
      <c r="AP125" s="595">
        <v>1.3664023294046539</v>
      </c>
      <c r="AQ125" s="74">
        <f t="shared" ref="AQ125:AY125" si="111">AP125*(1+$D$3)</f>
        <v>1.4073943992867934</v>
      </c>
      <c r="AR125" s="74">
        <f t="shared" si="111"/>
        <v>1.4496162312653973</v>
      </c>
      <c r="AS125" s="74">
        <f t="shared" si="111"/>
        <v>1.4931047182033592</v>
      </c>
      <c r="AT125" s="74">
        <f t="shared" si="111"/>
        <v>1.5378978597494601</v>
      </c>
      <c r="AU125" s="74">
        <f t="shared" si="111"/>
        <v>1.584034795541944</v>
      </c>
      <c r="AV125" s="74">
        <f t="shared" si="111"/>
        <v>1.6315558394082024</v>
      </c>
      <c r="AW125" s="74">
        <f t="shared" si="111"/>
        <v>1.6805025145904484</v>
      </c>
      <c r="AX125" s="74">
        <f t="shared" si="111"/>
        <v>1.7309175900281619</v>
      </c>
      <c r="AY125" s="74">
        <f t="shared" si="111"/>
        <v>1.7828451177290068</v>
      </c>
      <c r="AZ125" s="726"/>
      <c r="BA125" s="726"/>
    </row>
    <row r="126" spans="1:53">
      <c r="A126" s="13" t="s">
        <v>666</v>
      </c>
      <c r="B126" s="13" t="s">
        <v>715</v>
      </c>
      <c r="E126" s="277"/>
      <c r="F126" s="278"/>
      <c r="G126" s="278"/>
      <c r="H126" s="327"/>
      <c r="I126" s="327"/>
      <c r="J126" s="327"/>
      <c r="K126" s="327"/>
      <c r="L126" s="327"/>
      <c r="M126" s="327"/>
      <c r="N126" s="224">
        <f>SUM(E126:M126)</f>
        <v>0</v>
      </c>
      <c r="O126" s="595">
        <v>0.16298555852386984</v>
      </c>
      <c r="P126" s="595">
        <v>0.20844244939489268</v>
      </c>
      <c r="Q126" s="595">
        <v>0.24724324683001844</v>
      </c>
      <c r="R126" s="595">
        <v>0.36391942782860692</v>
      </c>
      <c r="S126" s="595">
        <v>0.51653216227068022</v>
      </c>
      <c r="T126" s="595">
        <v>0.19216107828510259</v>
      </c>
      <c r="U126" s="595">
        <v>0.23043925652174052</v>
      </c>
      <c r="V126" s="595">
        <v>0.2255007302392793</v>
      </c>
      <c r="W126" s="595">
        <v>0.21638120611241854</v>
      </c>
      <c r="X126" s="595">
        <v>0.3037655356878311</v>
      </c>
      <c r="Y126" s="595">
        <v>0.18261122693770607</v>
      </c>
      <c r="Z126" s="595">
        <v>0.12795571895682675</v>
      </c>
      <c r="AA126" s="211">
        <f t="shared" si="106"/>
        <v>2.9779375975889728</v>
      </c>
      <c r="AB126" s="595">
        <v>0.15953823605857326</v>
      </c>
      <c r="AC126" s="595">
        <v>0.16025465481126777</v>
      </c>
      <c r="AD126" s="595">
        <v>0.63513391910461414</v>
      </c>
      <c r="AE126" s="595">
        <v>0.94352115699121153</v>
      </c>
      <c r="AF126" s="595">
        <v>0.43220541559767384</v>
      </c>
      <c r="AG126" s="595">
        <v>0.1500749135457522</v>
      </c>
      <c r="AH126" s="595">
        <v>0.19191532519085702</v>
      </c>
      <c r="AI126" s="595">
        <v>0.20779598121705517</v>
      </c>
      <c r="AJ126" s="595">
        <v>0.23025177817205361</v>
      </c>
      <c r="AK126" s="595">
        <v>0.29497008027129307</v>
      </c>
      <c r="AL126" s="595">
        <v>0.21298455813516878</v>
      </c>
      <c r="AM126" s="595">
        <v>0.13543072639071363</v>
      </c>
      <c r="AN126" s="211">
        <f t="shared" si="102"/>
        <v>3.754076745486234</v>
      </c>
      <c r="AO126" s="595">
        <v>3.3488333570544819</v>
      </c>
      <c r="AP126" s="595">
        <v>4.3939622707959698</v>
      </c>
      <c r="AQ126" s="74">
        <f t="shared" ref="AQ126:AY126" si="112">AP126*(1+$D$3)</f>
        <v>4.5257811389198492</v>
      </c>
      <c r="AR126" s="74">
        <f t="shared" si="112"/>
        <v>4.6615545730874448</v>
      </c>
      <c r="AS126" s="74">
        <f t="shared" si="112"/>
        <v>4.8014012102800683</v>
      </c>
      <c r="AT126" s="74">
        <f t="shared" si="112"/>
        <v>4.9454432465884706</v>
      </c>
      <c r="AU126" s="74">
        <f t="shared" si="112"/>
        <v>5.0938065439861244</v>
      </c>
      <c r="AV126" s="74">
        <f t="shared" si="112"/>
        <v>5.2466207403057084</v>
      </c>
      <c r="AW126" s="74">
        <f t="shared" si="112"/>
        <v>5.4040193625148794</v>
      </c>
      <c r="AX126" s="74">
        <f t="shared" si="112"/>
        <v>5.5661399433903256</v>
      </c>
      <c r="AY126" s="74">
        <f t="shared" si="112"/>
        <v>5.7331241416920351</v>
      </c>
      <c r="AZ126" s="726"/>
      <c r="BA126" s="726"/>
    </row>
    <row r="127" spans="1:53">
      <c r="A127" s="13" t="s">
        <v>716</v>
      </c>
      <c r="B127" s="13" t="s">
        <v>717</v>
      </c>
      <c r="E127" s="277"/>
      <c r="F127" s="278"/>
      <c r="G127" s="278"/>
      <c r="H127" s="327"/>
      <c r="I127" s="327"/>
      <c r="J127" s="327"/>
      <c r="K127" s="327"/>
      <c r="L127" s="327"/>
      <c r="M127" s="327"/>
      <c r="N127" s="224">
        <f>SUM(E127:M127)</f>
        <v>0</v>
      </c>
      <c r="O127" s="595">
        <v>8.8450399603046112E-2</v>
      </c>
      <c r="P127" s="595">
        <v>0.14677203293992519</v>
      </c>
      <c r="Q127" s="595">
        <v>0.12154400368468277</v>
      </c>
      <c r="R127" s="595">
        <v>0.16736588174635861</v>
      </c>
      <c r="S127" s="595">
        <v>0.533568876470503</v>
      </c>
      <c r="T127" s="595">
        <v>9.2536043089033182E-2</v>
      </c>
      <c r="U127" s="595">
        <v>0.14601062244157628</v>
      </c>
      <c r="V127" s="595">
        <v>0.13619813936409139</v>
      </c>
      <c r="W127" s="595">
        <v>0.13305988710000707</v>
      </c>
      <c r="X127" s="595">
        <v>0.13985316636622933</v>
      </c>
      <c r="Y127" s="595">
        <v>7.4817816347593533E-2</v>
      </c>
      <c r="Z127" s="595">
        <v>7.4453145871102147E-2</v>
      </c>
      <c r="AA127" s="211">
        <f t="shared" si="106"/>
        <v>1.8546300150241486</v>
      </c>
      <c r="AB127" s="595">
        <v>0.10946829031169691</v>
      </c>
      <c r="AC127" s="595">
        <v>9.4311453238028295E-2</v>
      </c>
      <c r="AD127" s="595">
        <v>0.21465107231867936</v>
      </c>
      <c r="AE127" s="595">
        <v>0.66062570133872978</v>
      </c>
      <c r="AF127" s="595">
        <v>0.42595686468743038</v>
      </c>
      <c r="AG127" s="595">
        <v>6.1821539835548091E-2</v>
      </c>
      <c r="AH127" s="595">
        <v>0.11791842233313293</v>
      </c>
      <c r="AI127" s="595">
        <v>0.12549918437454041</v>
      </c>
      <c r="AJ127" s="595">
        <v>9.8052249575169115E-2</v>
      </c>
      <c r="AK127" s="595">
        <v>0.17373187212698354</v>
      </c>
      <c r="AL127" s="595">
        <v>7.3327024687372913E-2</v>
      </c>
      <c r="AM127" s="595">
        <v>8.1324563329328095E-2</v>
      </c>
      <c r="AN127" s="211">
        <f t="shared" si="102"/>
        <v>2.2366882381566398</v>
      </c>
      <c r="AO127" s="595">
        <v>1.7589639429574564</v>
      </c>
      <c r="AP127" s="595">
        <v>2.1163660504453503</v>
      </c>
      <c r="AQ127" s="74">
        <f t="shared" ref="AQ127:AY127" si="113">AP127*(1+$D$3)</f>
        <v>2.1798570319587109</v>
      </c>
      <c r="AR127" s="74">
        <f t="shared" si="113"/>
        <v>2.2452527429174722</v>
      </c>
      <c r="AS127" s="74">
        <f t="shared" si="113"/>
        <v>2.3126103252049965</v>
      </c>
      <c r="AT127" s="74">
        <f t="shared" si="113"/>
        <v>2.3819886349611465</v>
      </c>
      <c r="AU127" s="74">
        <f t="shared" si="113"/>
        <v>2.4534482940099811</v>
      </c>
      <c r="AV127" s="74">
        <f t="shared" si="113"/>
        <v>2.5270517428302806</v>
      </c>
      <c r="AW127" s="74">
        <f t="shared" si="113"/>
        <v>2.6028632951151889</v>
      </c>
      <c r="AX127" s="74">
        <f t="shared" si="113"/>
        <v>2.6809491939686447</v>
      </c>
      <c r="AY127" s="74">
        <f t="shared" si="113"/>
        <v>2.7613776697877039</v>
      </c>
      <c r="AZ127" s="726"/>
      <c r="BA127" s="726"/>
    </row>
    <row r="128" spans="1:53">
      <c r="E128" s="277"/>
      <c r="F128" s="278"/>
      <c r="G128" s="278"/>
      <c r="H128" s="326"/>
      <c r="I128" s="326"/>
      <c r="J128" s="326"/>
      <c r="K128" s="326"/>
      <c r="L128" s="326"/>
      <c r="M128" s="326"/>
      <c r="N128" s="224"/>
      <c r="O128" s="594"/>
      <c r="P128" s="594"/>
      <c r="Q128" s="594"/>
      <c r="R128" s="596"/>
      <c r="S128" s="594"/>
      <c r="T128" s="594"/>
      <c r="U128" s="594"/>
      <c r="V128" s="594"/>
      <c r="W128" s="594"/>
      <c r="X128" s="594"/>
      <c r="Y128" s="594"/>
      <c r="Z128" s="594"/>
      <c r="AA128" s="211"/>
      <c r="AB128" s="579"/>
      <c r="AC128" s="579"/>
      <c r="AD128" s="579"/>
      <c r="AE128" s="597"/>
      <c r="AF128" s="579"/>
      <c r="AG128" s="579"/>
      <c r="AH128" s="579"/>
      <c r="AI128" s="579"/>
      <c r="AJ128" s="579"/>
      <c r="AK128" s="579"/>
      <c r="AL128" s="579"/>
      <c r="AM128" s="579"/>
      <c r="AN128" s="211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26"/>
      <c r="BA128" s="726"/>
    </row>
    <row r="129" spans="1:53">
      <c r="B129" s="13" t="s">
        <v>718</v>
      </c>
      <c r="E129" s="277"/>
      <c r="F129" s="278"/>
      <c r="G129" s="278"/>
      <c r="H129" s="326"/>
      <c r="I129" s="326"/>
      <c r="J129" s="326"/>
      <c r="K129" s="326"/>
      <c r="L129" s="326"/>
      <c r="M129" s="326"/>
      <c r="N129" s="224"/>
      <c r="O129" s="594"/>
      <c r="P129" s="594"/>
      <c r="Q129" s="594"/>
      <c r="R129" s="594"/>
      <c r="S129" s="594"/>
      <c r="T129" s="594"/>
      <c r="U129" s="594"/>
      <c r="V129" s="594"/>
      <c r="W129" s="594"/>
      <c r="X129" s="594"/>
      <c r="Y129" s="594"/>
      <c r="Z129" s="594"/>
      <c r="AA129" s="211"/>
      <c r="AB129" s="579"/>
      <c r="AC129" s="579"/>
      <c r="AD129" s="579"/>
      <c r="AE129" s="579"/>
      <c r="AF129" s="579"/>
      <c r="AG129" s="579"/>
      <c r="AH129" s="579"/>
      <c r="AI129" s="579"/>
      <c r="AJ129" s="579"/>
      <c r="AK129" s="579"/>
      <c r="AL129" s="579"/>
      <c r="AM129" s="579"/>
      <c r="AN129" s="211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26"/>
      <c r="BA129" s="726"/>
    </row>
    <row r="130" spans="1:53">
      <c r="A130" s="13" t="s">
        <v>546</v>
      </c>
      <c r="B130" s="13" t="s">
        <v>704</v>
      </c>
      <c r="E130" s="277"/>
      <c r="F130" s="278"/>
      <c r="G130" s="278"/>
      <c r="H130" s="327"/>
      <c r="I130" s="327"/>
      <c r="J130" s="327"/>
      <c r="K130" s="327"/>
      <c r="L130" s="327"/>
      <c r="M130" s="327"/>
      <c r="N130" s="224">
        <f>SUM(E130:M130)</f>
        <v>0</v>
      </c>
      <c r="O130" s="595">
        <v>0.32621844956543566</v>
      </c>
      <c r="P130" s="595">
        <v>0.35515998739880644</v>
      </c>
      <c r="Q130" s="595">
        <v>1.2191159574346566</v>
      </c>
      <c r="R130" s="595">
        <v>3.003434170102933</v>
      </c>
      <c r="S130" s="595">
        <v>1.5193569221292031</v>
      </c>
      <c r="T130" s="595">
        <v>0.4444910229101639</v>
      </c>
      <c r="U130" s="595">
        <v>0.45893019456806233</v>
      </c>
      <c r="V130" s="595">
        <v>0.38436876611892279</v>
      </c>
      <c r="W130" s="595">
        <v>0.43155761249469193</v>
      </c>
      <c r="X130" s="595">
        <v>0.41028876763244149</v>
      </c>
      <c r="Y130" s="595">
        <v>0.36766187312858012</v>
      </c>
      <c r="Z130" s="595">
        <v>0.301645140167352</v>
      </c>
      <c r="AA130" s="211">
        <f t="shared" si="106"/>
        <v>9.2222288636512495</v>
      </c>
      <c r="AB130" s="595">
        <v>0.32927076636114544</v>
      </c>
      <c r="AC130" s="595">
        <v>0.33621107380192239</v>
      </c>
      <c r="AD130" s="595">
        <v>0.46565282710895167</v>
      </c>
      <c r="AE130" s="595">
        <v>1.0115790885541585</v>
      </c>
      <c r="AF130" s="595">
        <v>1.7235956896439375</v>
      </c>
      <c r="AG130" s="595">
        <v>0.44182608993314099</v>
      </c>
      <c r="AH130" s="595">
        <v>0.46318448878409857</v>
      </c>
      <c r="AI130" s="595">
        <v>0.44919661226999763</v>
      </c>
      <c r="AJ130" s="595">
        <v>0.43289574556705479</v>
      </c>
      <c r="AK130" s="595">
        <v>0.37365061786692078</v>
      </c>
      <c r="AL130" s="595">
        <v>0.36315302077308875</v>
      </c>
      <c r="AM130" s="595">
        <v>0.29867464173541103</v>
      </c>
      <c r="AN130" s="211">
        <f t="shared" si="102"/>
        <v>6.6888906623998281</v>
      </c>
      <c r="AO130" s="595">
        <v>7.0676071051867257</v>
      </c>
      <c r="AP130" s="595">
        <v>7.3598877099995015</v>
      </c>
      <c r="AQ130" s="74">
        <f t="shared" ref="AQ130:AY130" si="114">AP130*(1+$D$3)</f>
        <v>7.5806843412994871</v>
      </c>
      <c r="AR130" s="74">
        <f t="shared" si="114"/>
        <v>7.8081048715384718</v>
      </c>
      <c r="AS130" s="74">
        <f t="shared" si="114"/>
        <v>8.0423480176846258</v>
      </c>
      <c r="AT130" s="74">
        <f t="shared" si="114"/>
        <v>8.2836184582151642</v>
      </c>
      <c r="AU130" s="74">
        <f t="shared" si="114"/>
        <v>8.5321270119616202</v>
      </c>
      <c r="AV130" s="74">
        <f t="shared" si="114"/>
        <v>8.7880908223204681</v>
      </c>
      <c r="AW130" s="74">
        <f t="shared" si="114"/>
        <v>9.0517335469900821</v>
      </c>
      <c r="AX130" s="74">
        <f t="shared" si="114"/>
        <v>9.3232855533997849</v>
      </c>
      <c r="AY130" s="74">
        <f t="shared" si="114"/>
        <v>9.6029841200017785</v>
      </c>
      <c r="AZ130" s="726"/>
      <c r="BA130" s="726"/>
    </row>
    <row r="131" spans="1:53">
      <c r="A131" s="74">
        <v>555.15200000000004</v>
      </c>
      <c r="B131" s="13" t="s">
        <v>572</v>
      </c>
      <c r="E131" s="277"/>
      <c r="F131" s="278"/>
      <c r="G131" s="278"/>
      <c r="H131" s="327"/>
      <c r="I131" s="327"/>
      <c r="J131" s="327"/>
      <c r="K131" s="327"/>
      <c r="L131" s="327"/>
      <c r="M131" s="327"/>
      <c r="N131" s="224">
        <f>SUM(E131:M131)</f>
        <v>0</v>
      </c>
      <c r="O131" s="595">
        <v>2.3519000000000002E-2</v>
      </c>
      <c r="P131" s="595">
        <v>2.3519000000000002E-2</v>
      </c>
      <c r="Q131" s="595">
        <v>2.3519000000000002E-2</v>
      </c>
      <c r="R131" s="595">
        <v>2.3519000000000002E-2</v>
      </c>
      <c r="S131" s="595">
        <v>2.3519000000000002E-2</v>
      </c>
      <c r="T131" s="595">
        <v>2.3519000000000002E-2</v>
      </c>
      <c r="U131" s="595">
        <v>2.3519000000000002E-2</v>
      </c>
      <c r="V131" s="595">
        <v>2.3519000000000002E-2</v>
      </c>
      <c r="W131" s="595">
        <v>2.3519000000000002E-2</v>
      </c>
      <c r="X131" s="595">
        <v>2.3519000000000002E-2</v>
      </c>
      <c r="Y131" s="595">
        <v>2.3519000000000002E-2</v>
      </c>
      <c r="Z131" s="595">
        <v>2.3511000000000001E-2</v>
      </c>
      <c r="AA131" s="211">
        <f t="shared" si="106"/>
        <v>0.28222000000000008</v>
      </c>
      <c r="AB131" s="595">
        <v>2.4695000000000002E-2</v>
      </c>
      <c r="AC131" s="595">
        <v>2.4695000000000002E-2</v>
      </c>
      <c r="AD131" s="595">
        <v>2.4695000000000002E-2</v>
      </c>
      <c r="AE131" s="595">
        <v>2.4695000000000002E-2</v>
      </c>
      <c r="AF131" s="595">
        <v>2.4695000000000002E-2</v>
      </c>
      <c r="AG131" s="595">
        <v>2.4695000000000002E-2</v>
      </c>
      <c r="AH131" s="595">
        <v>2.4695000000000002E-2</v>
      </c>
      <c r="AI131" s="595">
        <v>2.4695000000000002E-2</v>
      </c>
      <c r="AJ131" s="595">
        <v>2.4695000000000002E-2</v>
      </c>
      <c r="AK131" s="595">
        <v>2.4695000000000002E-2</v>
      </c>
      <c r="AL131" s="595">
        <v>2.4695000000000002E-2</v>
      </c>
      <c r="AM131" s="595">
        <v>2.4691000000000001E-2</v>
      </c>
      <c r="AN131" s="211">
        <f t="shared" si="102"/>
        <v>0.29633599999999999</v>
      </c>
      <c r="AO131" s="595">
        <v>0.31114399999999998</v>
      </c>
      <c r="AP131" s="595">
        <v>0.32669999999999999</v>
      </c>
      <c r="AQ131" s="74">
        <f t="shared" ref="AQ131:AY131" si="115">AP131*(1+$D$3)</f>
        <v>0.33650099999999999</v>
      </c>
      <c r="AR131" s="74">
        <f t="shared" si="115"/>
        <v>0.34659603</v>
      </c>
      <c r="AS131" s="74">
        <f t="shared" si="115"/>
        <v>0.35699391089999999</v>
      </c>
      <c r="AT131" s="74">
        <f t="shared" si="115"/>
        <v>0.36770372822699998</v>
      </c>
      <c r="AU131" s="74">
        <f t="shared" si="115"/>
        <v>0.37873484007380998</v>
      </c>
      <c r="AV131" s="74">
        <f t="shared" si="115"/>
        <v>0.39009688527602426</v>
      </c>
      <c r="AW131" s="74">
        <f t="shared" si="115"/>
        <v>0.40179979183430498</v>
      </c>
      <c r="AX131" s="74">
        <f t="shared" si="115"/>
        <v>0.41385378558933411</v>
      </c>
      <c r="AY131" s="74">
        <f t="shared" si="115"/>
        <v>0.42626939915701417</v>
      </c>
      <c r="AZ131" s="726"/>
      <c r="BA131" s="726"/>
    </row>
    <row r="132" spans="1:53">
      <c r="E132" s="277"/>
      <c r="F132" s="273"/>
      <c r="G132" s="273"/>
      <c r="H132" s="273"/>
      <c r="I132" s="273"/>
      <c r="J132" s="273"/>
      <c r="K132" s="273"/>
      <c r="L132" s="273"/>
      <c r="M132" s="273"/>
      <c r="N132" s="22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211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211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26"/>
      <c r="BA132" s="726"/>
    </row>
    <row r="133" spans="1:53">
      <c r="B133" s="49" t="s">
        <v>719</v>
      </c>
      <c r="E133" s="277"/>
      <c r="F133" s="279"/>
      <c r="G133" s="279"/>
      <c r="H133" s="279"/>
      <c r="I133" s="279"/>
      <c r="J133" s="279"/>
      <c r="K133" s="279"/>
      <c r="L133" s="279"/>
      <c r="M133" s="279"/>
      <c r="N133" s="280">
        <f>SUM(E133:M133)</f>
        <v>0</v>
      </c>
      <c r="O133" s="583">
        <f t="shared" ref="O133:Z133" si="116">SUM(O115:O132)</f>
        <v>2.4226503164064952</v>
      </c>
      <c r="P133" s="583">
        <f t="shared" si="116"/>
        <v>2.9945785955943145</v>
      </c>
      <c r="Q133" s="583">
        <f t="shared" si="116"/>
        <v>4.1902210987476041</v>
      </c>
      <c r="R133" s="583">
        <f t="shared" si="116"/>
        <v>6.3589100916665497</v>
      </c>
      <c r="S133" s="583">
        <f t="shared" si="116"/>
        <v>8.6281052992383707</v>
      </c>
      <c r="T133" s="583">
        <f t="shared" si="116"/>
        <v>3.1125837863190595</v>
      </c>
      <c r="U133" s="583">
        <f t="shared" si="116"/>
        <v>3.2870930380373982</v>
      </c>
      <c r="V133" s="583">
        <f t="shared" si="116"/>
        <v>2.9141126442743319</v>
      </c>
      <c r="W133" s="583">
        <f t="shared" si="116"/>
        <v>2.861848637742618</v>
      </c>
      <c r="X133" s="583">
        <f t="shared" si="116"/>
        <v>3.065101538538118</v>
      </c>
      <c r="Y133" s="583">
        <f t="shared" si="116"/>
        <v>2.1306348589639637</v>
      </c>
      <c r="Z133" s="583">
        <f t="shared" si="116"/>
        <v>1.7734566983262927</v>
      </c>
      <c r="AA133" s="584">
        <f>SUM(O133:Z133)</f>
        <v>43.739296603855117</v>
      </c>
      <c r="AB133" s="583">
        <f t="shared" ref="AB133:AM133" si="117">SUM(AB115:AB132)</f>
        <v>2.2793177373155311</v>
      </c>
      <c r="AC133" s="583">
        <f t="shared" si="117"/>
        <v>2.1247387294390414</v>
      </c>
      <c r="AD133" s="583">
        <f t="shared" si="117"/>
        <v>5.0564303442254541</v>
      </c>
      <c r="AE133" s="583">
        <f t="shared" si="117"/>
        <v>8.6421391912106706</v>
      </c>
      <c r="AF133" s="583">
        <f t="shared" si="117"/>
        <v>6.4931051582373014</v>
      </c>
      <c r="AG133" s="583">
        <f t="shared" si="117"/>
        <v>2.5082074721910739</v>
      </c>
      <c r="AH133" s="583">
        <f t="shared" si="117"/>
        <v>2.6100308914996906</v>
      </c>
      <c r="AI133" s="583">
        <f t="shared" si="117"/>
        <v>2.5987781905227747</v>
      </c>
      <c r="AJ133" s="583">
        <f t="shared" si="117"/>
        <v>2.8551019882429052</v>
      </c>
      <c r="AK133" s="583">
        <f t="shared" si="117"/>
        <v>3.3061476435463044</v>
      </c>
      <c r="AL133" s="583">
        <f t="shared" si="117"/>
        <v>2.2530436693627283</v>
      </c>
      <c r="AM133" s="583">
        <f t="shared" si="117"/>
        <v>1.8610956265935472</v>
      </c>
      <c r="AN133" s="584">
        <f t="shared" si="102"/>
        <v>42.58813664238702</v>
      </c>
      <c r="AO133" s="583">
        <f t="shared" ref="AO133:AY133" si="118">SUM(AO115:AO132)</f>
        <v>40.14756872658424</v>
      </c>
      <c r="AP133" s="583">
        <f t="shared" si="118"/>
        <v>45.436097091957976</v>
      </c>
      <c r="AQ133" s="583">
        <f t="shared" si="118"/>
        <v>46.799180004716717</v>
      </c>
      <c r="AR133" s="583">
        <f t="shared" si="118"/>
        <v>48.203155404858222</v>
      </c>
      <c r="AS133" s="583">
        <f t="shared" si="118"/>
        <v>77.985278553925767</v>
      </c>
      <c r="AT133" s="583">
        <f t="shared" si="118"/>
        <v>80.324836910543524</v>
      </c>
      <c r="AU133" s="583">
        <f t="shared" si="118"/>
        <v>82.734582017859836</v>
      </c>
      <c r="AV133" s="583">
        <f t="shared" si="118"/>
        <v>85.216619478395643</v>
      </c>
      <c r="AW133" s="583">
        <f t="shared" si="118"/>
        <v>87.773118062747486</v>
      </c>
      <c r="AX133" s="583">
        <f t="shared" si="118"/>
        <v>90.406311604629934</v>
      </c>
      <c r="AY133" s="583">
        <f t="shared" si="118"/>
        <v>93.118500952768841</v>
      </c>
      <c r="AZ133" s="920"/>
      <c r="BA133" s="920"/>
    </row>
    <row r="134" spans="1:53">
      <c r="E134" s="277"/>
      <c r="F134" s="273"/>
      <c r="G134" s="273"/>
      <c r="H134" s="273"/>
      <c r="I134" s="273"/>
      <c r="J134" s="273"/>
      <c r="K134" s="273"/>
      <c r="L134" s="273"/>
      <c r="M134" s="273"/>
      <c r="N134" s="22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211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211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26"/>
      <c r="BA134" s="726"/>
    </row>
    <row r="135" spans="1:53">
      <c r="B135" s="75" t="s">
        <v>348</v>
      </c>
      <c r="E135" s="277"/>
      <c r="F135" s="273"/>
      <c r="G135" s="273"/>
      <c r="H135" s="273"/>
      <c r="I135" s="273"/>
      <c r="J135" s="273"/>
      <c r="K135" s="273"/>
      <c r="L135" s="273"/>
      <c r="M135" s="273"/>
      <c r="N135" s="22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211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211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26"/>
      <c r="BA135" s="726"/>
    </row>
    <row r="136" spans="1:53">
      <c r="B136" s="66"/>
      <c r="E136" s="277"/>
      <c r="F136" s="273"/>
      <c r="G136" s="273"/>
      <c r="H136" s="273"/>
      <c r="I136" s="273"/>
      <c r="J136" s="273"/>
      <c r="K136" s="273"/>
      <c r="L136" s="273"/>
      <c r="M136" s="273"/>
      <c r="N136" s="22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211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211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26"/>
      <c r="BA136" s="726"/>
    </row>
    <row r="137" spans="1:53">
      <c r="A137" s="13" t="s">
        <v>720</v>
      </c>
      <c r="B137" s="13" t="s">
        <v>721</v>
      </c>
      <c r="E137" s="277"/>
      <c r="F137" s="278"/>
      <c r="G137" s="278"/>
      <c r="H137" s="327"/>
      <c r="I137" s="327"/>
      <c r="J137" s="327"/>
      <c r="K137" s="327"/>
      <c r="L137" s="327"/>
      <c r="M137" s="327"/>
      <c r="N137" s="224">
        <f t="shared" ref="N137:N147" si="119">SUM(E137:M137)</f>
        <v>0</v>
      </c>
      <c r="O137" s="518">
        <v>0.43463016635871121</v>
      </c>
      <c r="P137" s="518">
        <v>0.420045261447345</v>
      </c>
      <c r="Q137" s="518">
        <v>0.45213205225235048</v>
      </c>
      <c r="R137" s="518">
        <v>0.44280091336085969</v>
      </c>
      <c r="S137" s="518">
        <v>0.45893601576099508</v>
      </c>
      <c r="T137" s="518">
        <v>0.39670941358915918</v>
      </c>
      <c r="U137" s="518">
        <v>0.43171318537643788</v>
      </c>
      <c r="V137" s="518">
        <v>0.45796601421689703</v>
      </c>
      <c r="W137" s="518">
        <v>0.40175832845329923</v>
      </c>
      <c r="X137" s="518">
        <v>0.475642539020799</v>
      </c>
      <c r="Y137" s="518">
        <v>0.39587639893656551</v>
      </c>
      <c r="Z137" s="518">
        <v>0.31665181645778812</v>
      </c>
      <c r="AA137" s="211">
        <f>SUM(O137:Z137)</f>
        <v>5.084862105231208</v>
      </c>
      <c r="AB137" s="518">
        <v>0.33375711145444775</v>
      </c>
      <c r="AC137" s="518">
        <v>0.32255720838550644</v>
      </c>
      <c r="AD137" s="518">
        <v>0.36053404942798034</v>
      </c>
      <c r="AE137" s="518">
        <v>0.33404467239774688</v>
      </c>
      <c r="AF137" s="518">
        <v>0.35229598333896989</v>
      </c>
      <c r="AG137" s="518">
        <v>0.30463736347520065</v>
      </c>
      <c r="AH137" s="518">
        <v>0.33151713084065948</v>
      </c>
      <c r="AI137" s="518">
        <v>0.35167695636475366</v>
      </c>
      <c r="AJ137" s="518">
        <v>0.30858590434753247</v>
      </c>
      <c r="AK137" s="518">
        <v>0.36531125441141715</v>
      </c>
      <c r="AL137" s="518">
        <v>0.30404787634242181</v>
      </c>
      <c r="AM137" s="518">
        <v>0.3131239323526433</v>
      </c>
      <c r="AN137" s="211">
        <f>SUM(AB137:AM137)</f>
        <v>3.9820894431392788</v>
      </c>
      <c r="AO137" s="518">
        <v>4.0885793534660877</v>
      </c>
      <c r="AP137" s="518">
        <v>4.187182218473338</v>
      </c>
      <c r="AQ137" s="74">
        <f t="shared" ref="AQ137:AY137" si="120">AP137*(1+$D$3)</f>
        <v>4.3127976850275385</v>
      </c>
      <c r="AR137" s="74">
        <f t="shared" si="120"/>
        <v>4.4421816155783649</v>
      </c>
      <c r="AS137" s="74">
        <f t="shared" si="120"/>
        <v>4.5754470640457159</v>
      </c>
      <c r="AT137" s="74">
        <f t="shared" si="120"/>
        <v>4.7127104759670875</v>
      </c>
      <c r="AU137" s="74">
        <f t="shared" si="120"/>
        <v>4.8540917902461</v>
      </c>
      <c r="AV137" s="74">
        <f t="shared" si="120"/>
        <v>4.9997145439534831</v>
      </c>
      <c r="AW137" s="74">
        <f t="shared" si="120"/>
        <v>5.1497059802720875</v>
      </c>
      <c r="AX137" s="74">
        <f t="shared" si="120"/>
        <v>5.3041971596802506</v>
      </c>
      <c r="AY137" s="74">
        <f t="shared" si="120"/>
        <v>5.463323074470658</v>
      </c>
      <c r="AZ137" s="726"/>
      <c r="BA137" s="726"/>
    </row>
    <row r="138" spans="1:53">
      <c r="A138" s="13" t="s">
        <v>722</v>
      </c>
      <c r="B138" s="13" t="s">
        <v>723</v>
      </c>
      <c r="E138" s="277"/>
      <c r="F138" s="278"/>
      <c r="G138" s="278"/>
      <c r="H138" s="327"/>
      <c r="I138" s="327"/>
      <c r="J138" s="327"/>
      <c r="K138" s="327"/>
      <c r="L138" s="327"/>
      <c r="M138" s="327"/>
      <c r="N138" s="224">
        <f t="shared" si="119"/>
        <v>0</v>
      </c>
      <c r="O138" s="518">
        <v>0.33802147262501603</v>
      </c>
      <c r="P138" s="518">
        <v>0.32667847018793489</v>
      </c>
      <c r="Q138" s="518">
        <v>0.35163307554951323</v>
      </c>
      <c r="R138" s="518">
        <v>0.33575287213759974</v>
      </c>
      <c r="S138" s="518">
        <v>0.35617027652434569</v>
      </c>
      <c r="T138" s="518">
        <v>0.30852966628860518</v>
      </c>
      <c r="U138" s="518">
        <v>0.33575287213759974</v>
      </c>
      <c r="V138" s="518">
        <v>0.35617027652434569</v>
      </c>
      <c r="W138" s="518">
        <v>0.30753129671934953</v>
      </c>
      <c r="X138" s="518">
        <v>0.36406278508687695</v>
      </c>
      <c r="Y138" s="518">
        <v>0.30063035089442874</v>
      </c>
      <c r="Z138" s="518">
        <v>0.20546093671059876</v>
      </c>
      <c r="AA138" s="211">
        <f t="shared" ref="AA138:AA167" si="121">SUM(O138:Z138)</f>
        <v>3.886394351386214</v>
      </c>
      <c r="AB138" s="518">
        <v>0.21528841261575826</v>
      </c>
      <c r="AC138" s="518">
        <v>0.20806396923939052</v>
      </c>
      <c r="AD138" s="518">
        <v>0.22395774466739948</v>
      </c>
      <c r="AE138" s="518">
        <v>0.2138435239404847</v>
      </c>
      <c r="AF138" s="518">
        <v>0.22684752201794661</v>
      </c>
      <c r="AG138" s="518">
        <v>0.19650485983720214</v>
      </c>
      <c r="AH138" s="518">
        <v>0.2138435239404847</v>
      </c>
      <c r="AI138" s="518">
        <v>0.22684752201794661</v>
      </c>
      <c r="AJ138" s="518">
        <v>0.20036305569361987</v>
      </c>
      <c r="AK138" s="518">
        <v>0.237194499754947</v>
      </c>
      <c r="AL138" s="518">
        <v>0.19741654016871366</v>
      </c>
      <c r="AM138" s="518">
        <v>0.20330957121852603</v>
      </c>
      <c r="AN138" s="211">
        <f t="shared" ref="AN138:AN167" si="122">SUM(AB138:AM138)</f>
        <v>2.56348074511242</v>
      </c>
      <c r="AO138" s="518">
        <v>2.6255564219466017</v>
      </c>
      <c r="AP138" s="518">
        <v>2.689804571102095</v>
      </c>
      <c r="AQ138" s="74">
        <f t="shared" ref="AQ138:AY138" si="123">AP138*(1+$D$3)</f>
        <v>2.770498708235158</v>
      </c>
      <c r="AR138" s="74">
        <f t="shared" si="123"/>
        <v>2.853613669482213</v>
      </c>
      <c r="AS138" s="74">
        <f t="shared" si="123"/>
        <v>2.9392220795666795</v>
      </c>
      <c r="AT138" s="74">
        <f t="shared" si="123"/>
        <v>3.0273987419536801</v>
      </c>
      <c r="AU138" s="74">
        <f t="shared" si="123"/>
        <v>3.1182207042122907</v>
      </c>
      <c r="AV138" s="74">
        <f t="shared" si="123"/>
        <v>3.2117673253386596</v>
      </c>
      <c r="AW138" s="74">
        <f t="shared" si="123"/>
        <v>3.3081203450988195</v>
      </c>
      <c r="AX138" s="74">
        <f t="shared" si="123"/>
        <v>3.4073639554517841</v>
      </c>
      <c r="AY138" s="74">
        <f t="shared" si="123"/>
        <v>3.5095848741153377</v>
      </c>
      <c r="AZ138" s="726"/>
      <c r="BA138" s="726"/>
    </row>
    <row r="139" spans="1:53">
      <c r="A139" s="13" t="s">
        <v>725</v>
      </c>
      <c r="B139" s="13" t="s">
        <v>726</v>
      </c>
      <c r="E139" s="277"/>
      <c r="F139" s="278"/>
      <c r="G139" s="278"/>
      <c r="H139" s="327"/>
      <c r="I139" s="327"/>
      <c r="J139" s="327"/>
      <c r="K139" s="327"/>
      <c r="L139" s="327"/>
      <c r="M139" s="327"/>
      <c r="N139" s="224">
        <f t="shared" si="119"/>
        <v>0</v>
      </c>
      <c r="O139" s="518">
        <v>0.43990989997453689</v>
      </c>
      <c r="P139" s="518">
        <v>0.42386762145190149</v>
      </c>
      <c r="Q139" s="518">
        <v>0.4591606342016995</v>
      </c>
      <c r="R139" s="518">
        <v>0.4389189898668942</v>
      </c>
      <c r="S139" s="518">
        <v>0.46718015685752434</v>
      </c>
      <c r="T139" s="518">
        <v>0.39819997581568478</v>
      </c>
      <c r="U139" s="518">
        <v>0.43670144427000984</v>
      </c>
      <c r="V139" s="518">
        <v>0.46557754561075376</v>
      </c>
      <c r="W139" s="518">
        <v>0.40385889897857835</v>
      </c>
      <c r="X139" s="518">
        <v>0.48545404061555741</v>
      </c>
      <c r="Y139" s="518">
        <v>0.39764466734462534</v>
      </c>
      <c r="Z139" s="518">
        <v>0.32741564693748354</v>
      </c>
      <c r="AA139" s="211">
        <f t="shared" si="121"/>
        <v>5.1438895219252494</v>
      </c>
      <c r="AB139" s="518">
        <v>0.35049530797209899</v>
      </c>
      <c r="AC139" s="518">
        <v>0.33755563320793469</v>
      </c>
      <c r="AD139" s="518">
        <v>0.36869032854725697</v>
      </c>
      <c r="AE139" s="518">
        <v>0.34926028485850014</v>
      </c>
      <c r="AF139" s="518">
        <v>0.3722215278130323</v>
      </c>
      <c r="AG139" s="518">
        <v>0.31685215358527158</v>
      </c>
      <c r="AH139" s="518">
        <v>0.34790737301926611</v>
      </c>
      <c r="AI139" s="518">
        <v>0.37119878759476205</v>
      </c>
      <c r="AJ139" s="518">
        <v>0.32113560988179413</v>
      </c>
      <c r="AK139" s="518">
        <v>0.3868107840580734</v>
      </c>
      <c r="AL139" s="518">
        <v>0.31605438548932818</v>
      </c>
      <c r="AM139" s="518">
        <v>0.32653681490691999</v>
      </c>
      <c r="AN139" s="211">
        <f t="shared" si="122"/>
        <v>4.1647189909342393</v>
      </c>
      <c r="AO139" s="518">
        <v>4.2689607106125305</v>
      </c>
      <c r="AP139" s="518">
        <v>4.3720770526025792</v>
      </c>
      <c r="AQ139" s="74">
        <f t="shared" ref="AQ139:AY139" si="124">AP139*(1+$D$3)</f>
        <v>4.503239364180657</v>
      </c>
      <c r="AR139" s="74">
        <f t="shared" si="124"/>
        <v>4.6383365451060765</v>
      </c>
      <c r="AS139" s="74">
        <f t="shared" si="124"/>
        <v>4.7774866414592587</v>
      </c>
      <c r="AT139" s="74">
        <f t="shared" si="124"/>
        <v>4.9208112407030367</v>
      </c>
      <c r="AU139" s="74">
        <f t="shared" si="124"/>
        <v>5.0684355779241281</v>
      </c>
      <c r="AV139" s="74">
        <f t="shared" si="124"/>
        <v>5.2204886452618524</v>
      </c>
      <c r="AW139" s="74">
        <f t="shared" si="124"/>
        <v>5.3771033046197081</v>
      </c>
      <c r="AX139" s="74">
        <f t="shared" si="124"/>
        <v>5.5384164037582995</v>
      </c>
      <c r="AY139" s="74">
        <f t="shared" si="124"/>
        <v>5.7045688958710485</v>
      </c>
      <c r="AZ139" s="726"/>
      <c r="BA139" s="726"/>
    </row>
    <row r="140" spans="1:53">
      <c r="A140" s="541" t="s">
        <v>656</v>
      </c>
      <c r="B140" s="13" t="s">
        <v>728</v>
      </c>
      <c r="E140" s="277"/>
      <c r="F140" s="278"/>
      <c r="G140" s="278"/>
      <c r="H140" s="327"/>
      <c r="I140" s="327"/>
      <c r="J140" s="327"/>
      <c r="K140" s="327"/>
      <c r="L140" s="327"/>
      <c r="M140" s="327"/>
      <c r="N140" s="224">
        <f t="shared" si="119"/>
        <v>0</v>
      </c>
      <c r="O140" s="518">
        <v>0.13864265078239343</v>
      </c>
      <c r="P140" s="518">
        <v>0.13399021283667553</v>
      </c>
      <c r="Q140" s="518">
        <v>0.14422557631725488</v>
      </c>
      <c r="R140" s="518">
        <v>0.13771216319324983</v>
      </c>
      <c r="S140" s="518">
        <v>0.14608655149554209</v>
      </c>
      <c r="T140" s="518">
        <v>0.12654631212352691</v>
      </c>
      <c r="U140" s="518">
        <v>0.13771216319324983</v>
      </c>
      <c r="V140" s="518">
        <v>0.14608655149554209</v>
      </c>
      <c r="W140" s="518">
        <v>0.12979381833372841</v>
      </c>
      <c r="X140" s="518">
        <v>0.15366841584169399</v>
      </c>
      <c r="Y140" s="518">
        <v>0.12789793616637887</v>
      </c>
      <c r="Z140" s="518">
        <v>6.9468858526588517E-2</v>
      </c>
      <c r="AA140" s="211">
        <f t="shared" si="121"/>
        <v>1.5918312103058245</v>
      </c>
      <c r="AB140" s="518">
        <v>7.2668100127634069E-2</v>
      </c>
      <c r="AC140" s="518">
        <v>7.0229573277713481E-2</v>
      </c>
      <c r="AD140" s="518">
        <v>7.5594332347538803E-2</v>
      </c>
      <c r="AE140" s="518">
        <v>7.2180394757649965E-2</v>
      </c>
      <c r="AF140" s="518">
        <v>7.6569743087507053E-2</v>
      </c>
      <c r="AG140" s="518">
        <v>6.6327930317840511E-2</v>
      </c>
      <c r="AH140" s="518">
        <v>7.2180394757649965E-2</v>
      </c>
      <c r="AI140" s="518">
        <v>7.6569743087507053E-2</v>
      </c>
      <c r="AJ140" s="518">
        <v>6.7442514702561837E-2</v>
      </c>
      <c r="AK140" s="518">
        <v>7.984974862353772E-2</v>
      </c>
      <c r="AL140" s="518">
        <v>6.6458796991018962E-2</v>
      </c>
      <c r="AM140" s="518">
        <v>6.8442641677318033E-2</v>
      </c>
      <c r="AN140" s="211">
        <f t="shared" si="122"/>
        <v>0.86451391375547748</v>
      </c>
      <c r="AO140" s="518">
        <v>0.88304145160567127</v>
      </c>
      <c r="AP140" s="518">
        <v>0.90415358641630306</v>
      </c>
      <c r="AQ140" s="74">
        <f t="shared" ref="AQ140:AY140" si="125">AP140*(1+$D$3)</f>
        <v>0.93127819400879219</v>
      </c>
      <c r="AR140" s="74">
        <f t="shared" si="125"/>
        <v>0.95921653982905597</v>
      </c>
      <c r="AS140" s="74">
        <f t="shared" si="125"/>
        <v>0.98799303602392763</v>
      </c>
      <c r="AT140" s="74">
        <f t="shared" si="125"/>
        <v>1.0176328271046455</v>
      </c>
      <c r="AU140" s="74">
        <f t="shared" si="125"/>
        <v>1.0481618119177849</v>
      </c>
      <c r="AV140" s="74">
        <f t="shared" si="125"/>
        <v>1.0796066662753185</v>
      </c>
      <c r="AW140" s="74">
        <f t="shared" si="125"/>
        <v>1.1119948662635781</v>
      </c>
      <c r="AX140" s="74">
        <f t="shared" si="125"/>
        <v>1.1453547122514856</v>
      </c>
      <c r="AY140" s="74">
        <f t="shared" si="125"/>
        <v>1.1797153536190301</v>
      </c>
      <c r="AZ140" s="726"/>
      <c r="BA140" s="726"/>
    </row>
    <row r="141" spans="1:53">
      <c r="A141" s="13" t="s">
        <v>730</v>
      </c>
      <c r="B141" s="13" t="s">
        <v>731</v>
      </c>
      <c r="E141" s="277"/>
      <c r="F141" s="278"/>
      <c r="G141" s="278"/>
      <c r="H141" s="327"/>
      <c r="I141" s="327"/>
      <c r="J141" s="327"/>
      <c r="K141" s="327"/>
      <c r="L141" s="327"/>
      <c r="M141" s="327"/>
      <c r="N141" s="224">
        <f t="shared" si="119"/>
        <v>0</v>
      </c>
      <c r="O141" s="518">
        <v>0.50846585402106781</v>
      </c>
      <c r="P141" s="518">
        <v>0.49140324147002523</v>
      </c>
      <c r="Q141" s="518">
        <v>0.5289409890823189</v>
      </c>
      <c r="R141" s="518">
        <v>0.5347684425091096</v>
      </c>
      <c r="S141" s="518">
        <v>0.53736864534950657</v>
      </c>
      <c r="T141" s="518">
        <v>0.46410306138835722</v>
      </c>
      <c r="U141" s="518">
        <v>0.5050533315108594</v>
      </c>
      <c r="V141" s="518">
        <v>0.53576603410273593</v>
      </c>
      <c r="W141" s="518">
        <v>0.47182602403043383</v>
      </c>
      <c r="X141" s="518">
        <v>0.55855874903602831</v>
      </c>
      <c r="Y141" s="518">
        <v>0.46488740602998629</v>
      </c>
      <c r="Z141" s="518">
        <v>0.42433498790433755</v>
      </c>
      <c r="AA141" s="211">
        <f t="shared" si="121"/>
        <v>6.0254767664347666</v>
      </c>
      <c r="AB141" s="518">
        <v>0.44582191288544926</v>
      </c>
      <c r="AC141" s="518">
        <v>0.43086144601009857</v>
      </c>
      <c r="AD141" s="518">
        <v>0.4995177786352224</v>
      </c>
      <c r="AE141" s="518">
        <v>0.44900385185949349</v>
      </c>
      <c r="AF141" s="518">
        <v>0.47078140010428049</v>
      </c>
      <c r="AG141" s="518">
        <v>0.40692469900953765</v>
      </c>
      <c r="AH141" s="518">
        <v>0.44282981951037909</v>
      </c>
      <c r="AI141" s="518">
        <v>0.46975865988601029</v>
      </c>
      <c r="AJ141" s="518">
        <v>0.41378670735804651</v>
      </c>
      <c r="AK141" s="518">
        <v>0.48985044032827579</v>
      </c>
      <c r="AL141" s="518">
        <v>0.40770160872042827</v>
      </c>
      <c r="AM141" s="518">
        <v>0.41987180599566493</v>
      </c>
      <c r="AN141" s="211">
        <f t="shared" si="122"/>
        <v>5.3467101303028866</v>
      </c>
      <c r="AO141" s="518">
        <v>5.5041062683236621</v>
      </c>
      <c r="AP141" s="518">
        <v>5.6331698731850741</v>
      </c>
      <c r="AQ141" s="74">
        <f t="shared" ref="AQ141:AY141" si="126">AP141*(1+$D$3)</f>
        <v>5.8021649693806268</v>
      </c>
      <c r="AR141" s="74">
        <f t="shared" si="126"/>
        <v>5.976229918462046</v>
      </c>
      <c r="AS141" s="74">
        <f t="shared" si="126"/>
        <v>6.1555168160159077</v>
      </c>
      <c r="AT141" s="74">
        <f t="shared" si="126"/>
        <v>6.3401823204963854</v>
      </c>
      <c r="AU141" s="74">
        <f t="shared" si="126"/>
        <v>6.530387790111277</v>
      </c>
      <c r="AV141" s="74">
        <f t="shared" si="126"/>
        <v>6.7262994238146154</v>
      </c>
      <c r="AW141" s="74">
        <f t="shared" si="126"/>
        <v>6.9280884065290538</v>
      </c>
      <c r="AX141" s="74">
        <f t="shared" si="126"/>
        <v>7.1359310587249256</v>
      </c>
      <c r="AY141" s="74">
        <f t="shared" si="126"/>
        <v>7.3500089904866739</v>
      </c>
      <c r="AZ141" s="726"/>
      <c r="BA141" s="726"/>
    </row>
    <row r="142" spans="1:53">
      <c r="A142" s="13" t="s">
        <v>732</v>
      </c>
      <c r="B142" s="13" t="s">
        <v>733</v>
      </c>
      <c r="E142" s="277"/>
      <c r="F142" s="278"/>
      <c r="G142" s="278"/>
      <c r="H142" s="327"/>
      <c r="I142" s="327"/>
      <c r="J142" s="327"/>
      <c r="K142" s="327"/>
      <c r="L142" s="327"/>
      <c r="M142" s="327"/>
      <c r="N142" s="224">
        <f t="shared" si="119"/>
        <v>0</v>
      </c>
      <c r="O142" s="518">
        <v>0.12790911486731651</v>
      </c>
      <c r="P142" s="518">
        <v>0.12361686269056094</v>
      </c>
      <c r="Q142" s="518">
        <v>0.13305981747942322</v>
      </c>
      <c r="R142" s="518">
        <v>0.12838119179009599</v>
      </c>
      <c r="S142" s="518">
        <v>0.13481889233030361</v>
      </c>
      <c r="T142" s="518">
        <v>0.11674925920775199</v>
      </c>
      <c r="U142" s="518">
        <v>0.12705066443196539</v>
      </c>
      <c r="V142" s="518">
        <v>0.13477671835012545</v>
      </c>
      <c r="W142" s="518">
        <v>0.11889014947420888</v>
      </c>
      <c r="X142" s="518">
        <v>0.14074692990414039</v>
      </c>
      <c r="Y142" s="518">
        <v>0.11714340749785598</v>
      </c>
      <c r="Z142" s="518">
        <v>0.10392854834259527</v>
      </c>
      <c r="AA142" s="211">
        <f t="shared" si="121"/>
        <v>1.5070715563663437</v>
      </c>
      <c r="AB142" s="518">
        <v>0.10900382963996158</v>
      </c>
      <c r="AC142" s="518">
        <v>0.1053459830077481</v>
      </c>
      <c r="AD142" s="518">
        <v>0.11499369211351412</v>
      </c>
      <c r="AE142" s="518">
        <v>0.1085309117012988</v>
      </c>
      <c r="AF142" s="518">
        <v>0.11488329846777343</v>
      </c>
      <c r="AG142" s="518">
        <v>9.9493428396206535E-2</v>
      </c>
      <c r="AH142" s="518">
        <v>0.10827226031351889</v>
      </c>
      <c r="AI142" s="518">
        <v>0.11485638425150313</v>
      </c>
      <c r="AJ142" s="518">
        <v>0.10129798051634045</v>
      </c>
      <c r="AK142" s="518">
        <v>0.11991893281713835</v>
      </c>
      <c r="AL142" s="518">
        <v>9.9808304332276637E-2</v>
      </c>
      <c r="AM142" s="518">
        <v>0.10278765670040428</v>
      </c>
      <c r="AN142" s="211">
        <f t="shared" si="122"/>
        <v>1.2991926622576841</v>
      </c>
      <c r="AO142" s="518">
        <v>1.3316278667610277</v>
      </c>
      <c r="AP142" s="518">
        <v>1.364068586519507</v>
      </c>
      <c r="AQ142" s="74">
        <f t="shared" ref="AQ142:AY142" si="127">AP142*(1+$D$3)</f>
        <v>1.4049906441150923</v>
      </c>
      <c r="AR142" s="74">
        <f t="shared" si="127"/>
        <v>1.4471403634385451</v>
      </c>
      <c r="AS142" s="74">
        <f t="shared" si="127"/>
        <v>1.4905545743417015</v>
      </c>
      <c r="AT142" s="74">
        <f t="shared" si="127"/>
        <v>1.5352712115719525</v>
      </c>
      <c r="AU142" s="74">
        <f t="shared" si="127"/>
        <v>1.5813293479191111</v>
      </c>
      <c r="AV142" s="74">
        <f t="shared" si="127"/>
        <v>1.6287692283566844</v>
      </c>
      <c r="AW142" s="74">
        <f t="shared" si="127"/>
        <v>1.6776323052073849</v>
      </c>
      <c r="AX142" s="74">
        <f t="shared" si="127"/>
        <v>1.7279612743636066</v>
      </c>
      <c r="AY142" s="74">
        <f t="shared" si="127"/>
        <v>1.7798001125945149</v>
      </c>
      <c r="AZ142" s="726"/>
      <c r="BA142" s="726"/>
    </row>
    <row r="143" spans="1:53">
      <c r="A143" s="13" t="s">
        <v>735</v>
      </c>
      <c r="B143" s="13" t="s">
        <v>736</v>
      </c>
      <c r="E143" s="277"/>
      <c r="F143" s="278"/>
      <c r="G143" s="278"/>
      <c r="H143" s="327"/>
      <c r="I143" s="327"/>
      <c r="J143" s="327"/>
      <c r="K143" s="327"/>
      <c r="L143" s="327"/>
      <c r="M143" s="327"/>
      <c r="N143" s="224">
        <f t="shared" si="119"/>
        <v>0</v>
      </c>
      <c r="O143" s="518">
        <v>0.4447032585611993</v>
      </c>
      <c r="P143" s="518">
        <v>0.42978033042156183</v>
      </c>
      <c r="Q143" s="518">
        <v>0.45840296098216238</v>
      </c>
      <c r="R143" s="518">
        <v>0.43770089177651633</v>
      </c>
      <c r="S143" s="518">
        <v>0.50266474070605449</v>
      </c>
      <c r="T143" s="518">
        <v>0.40221163028112311</v>
      </c>
      <c r="U143" s="518">
        <v>0.43770089177651633</v>
      </c>
      <c r="V143" s="518">
        <v>0.46431783789806125</v>
      </c>
      <c r="W143" s="518">
        <v>0.40818317203604215</v>
      </c>
      <c r="X143" s="518">
        <v>0.48321684336619691</v>
      </c>
      <c r="Y143" s="518">
        <v>0.40218047832962983</v>
      </c>
      <c r="Z143" s="518">
        <v>0.31037774310343585</v>
      </c>
      <c r="AA143" s="211">
        <f t="shared" si="121"/>
        <v>5.1814407792384989</v>
      </c>
      <c r="AB143" s="518">
        <v>0.32651730722003419</v>
      </c>
      <c r="AC143" s="518">
        <v>0.31556035060191223</v>
      </c>
      <c r="AD143" s="518">
        <v>0.3662737961416801</v>
      </c>
      <c r="AE143" s="518">
        <v>0.35409916926368645</v>
      </c>
      <c r="AF143" s="518">
        <v>0.37378545214343123</v>
      </c>
      <c r="AG143" s="518">
        <v>0.29425260438484996</v>
      </c>
      <c r="AH143" s="518">
        <v>0.32021606947763082</v>
      </c>
      <c r="AI143" s="518">
        <v>0.33968866829721656</v>
      </c>
      <c r="AJ143" s="518">
        <v>0.29834853154815694</v>
      </c>
      <c r="AK143" s="518">
        <v>0.35319201161215635</v>
      </c>
      <c r="AL143" s="518">
        <v>0.293961053143037</v>
      </c>
      <c r="AM143" s="518">
        <v>0.30665438751355939</v>
      </c>
      <c r="AN143" s="211">
        <f t="shared" si="122"/>
        <v>3.9425494013473514</v>
      </c>
      <c r="AO143" s="518">
        <v>4.0232758586236281</v>
      </c>
      <c r="AP143" s="518">
        <v>4.1369850104280772</v>
      </c>
      <c r="AQ143" s="74">
        <f t="shared" ref="AQ143:AY143" si="128">AP143*(1+$D$3)</f>
        <v>4.2610945607409194</v>
      </c>
      <c r="AR143" s="74">
        <f t="shared" si="128"/>
        <v>4.3889273975631475</v>
      </c>
      <c r="AS143" s="74">
        <f t="shared" si="128"/>
        <v>4.5205952194900423</v>
      </c>
      <c r="AT143" s="74">
        <f t="shared" si="128"/>
        <v>4.656213076074744</v>
      </c>
      <c r="AU143" s="74">
        <f t="shared" si="128"/>
        <v>4.7958994683569864</v>
      </c>
      <c r="AV143" s="74">
        <f t="shared" si="128"/>
        <v>4.9397764524076964</v>
      </c>
      <c r="AW143" s="74">
        <f t="shared" si="128"/>
        <v>5.0879697459799278</v>
      </c>
      <c r="AX143" s="74">
        <f t="shared" si="128"/>
        <v>5.2406088383593259</v>
      </c>
      <c r="AY143" s="74">
        <f t="shared" si="128"/>
        <v>5.3978271035101058</v>
      </c>
      <c r="AZ143" s="726"/>
      <c r="BA143" s="726"/>
    </row>
    <row r="144" spans="1:53">
      <c r="A144" s="13" t="s">
        <v>813</v>
      </c>
      <c r="B144" s="13" t="s">
        <v>814</v>
      </c>
      <c r="E144" s="277"/>
      <c r="F144" s="278"/>
      <c r="G144" s="278"/>
      <c r="H144" s="327"/>
      <c r="I144" s="327"/>
      <c r="J144" s="327"/>
      <c r="K144" s="327"/>
      <c r="L144" s="327"/>
      <c r="M144" s="327"/>
      <c r="N144" s="224"/>
      <c r="O144" s="518">
        <v>8.6761873037813284E-2</v>
      </c>
      <c r="P144" s="518">
        <v>8.3850400788222257E-2</v>
      </c>
      <c r="Q144" s="518">
        <v>8.9122767451698934E-2</v>
      </c>
      <c r="R144" s="518">
        <v>8.5097868276460945E-2</v>
      </c>
      <c r="S144" s="518">
        <v>9.7244902791531931E-2</v>
      </c>
      <c r="T144" s="518">
        <v>7.8198041118910044E-2</v>
      </c>
      <c r="U144" s="518">
        <v>8.5097868276460945E-2</v>
      </c>
      <c r="V144" s="518">
        <v>9.0272738644624068E-2</v>
      </c>
      <c r="W144" s="518">
        <v>7.9612083882932089E-2</v>
      </c>
      <c r="X144" s="518">
        <v>9.4246658126118127E-2</v>
      </c>
      <c r="Y144" s="518">
        <v>7.844131794347721E-2</v>
      </c>
      <c r="Z144" s="518">
        <v>6.0438998773599949E-2</v>
      </c>
      <c r="AA144" s="211">
        <f t="shared" si="121"/>
        <v>1.0083855191118498</v>
      </c>
      <c r="AB144" s="518">
        <v>6.3387937415794141E-2</v>
      </c>
      <c r="AC144" s="518">
        <v>6.1260825421975536E-2</v>
      </c>
      <c r="AD144" s="518">
        <v>7.3104202072195562E-2</v>
      </c>
      <c r="AE144" s="518">
        <v>6.816875883080295E-2</v>
      </c>
      <c r="AF144" s="518">
        <v>7.1816947751335986E-2</v>
      </c>
      <c r="AG144" s="518">
        <v>5.6840665101232327E-2</v>
      </c>
      <c r="AH144" s="518">
        <v>6.1856017904282252E-2</v>
      </c>
      <c r="AI144" s="518">
        <v>6.5617532506569667E-2</v>
      </c>
      <c r="AJ144" s="518">
        <v>5.7824488787937646E-2</v>
      </c>
      <c r="AK144" s="518">
        <v>6.845399040336736E-2</v>
      </c>
      <c r="AL144" s="518">
        <v>5.6974128658703271E-2</v>
      </c>
      <c r="AM144" s="518">
        <v>5.9729796721863453E-2</v>
      </c>
      <c r="AN144" s="211">
        <f t="shared" si="122"/>
        <v>0.76503529157606021</v>
      </c>
      <c r="AO144" s="518">
        <v>0.78208207187081935</v>
      </c>
      <c r="AP144" s="518">
        <v>0.80512858853608815</v>
      </c>
      <c r="AQ144" s="74">
        <f t="shared" ref="AQ144:AY144" si="129">AP144*(1+$D$3)</f>
        <v>0.82928244619217084</v>
      </c>
      <c r="AR144" s="74">
        <f t="shared" si="129"/>
        <v>0.85416091957793594</v>
      </c>
      <c r="AS144" s="74">
        <f t="shared" si="129"/>
        <v>0.87978574716527402</v>
      </c>
      <c r="AT144" s="74">
        <f t="shared" si="129"/>
        <v>0.90617931958023223</v>
      </c>
      <c r="AU144" s="74">
        <f t="shared" si="129"/>
        <v>0.9333646991676392</v>
      </c>
      <c r="AV144" s="74">
        <f t="shared" si="129"/>
        <v>0.96136564014266845</v>
      </c>
      <c r="AW144" s="74">
        <f t="shared" si="129"/>
        <v>0.99020660934694849</v>
      </c>
      <c r="AX144" s="74">
        <f t="shared" si="129"/>
        <v>1.0199128076273569</v>
      </c>
      <c r="AY144" s="74">
        <f t="shared" si="129"/>
        <v>1.0505101918561777</v>
      </c>
      <c r="AZ144" s="726"/>
      <c r="BA144" s="726"/>
    </row>
    <row r="145" spans="1:53">
      <c r="A145" s="13" t="s">
        <v>737</v>
      </c>
      <c r="B145" s="13" t="s">
        <v>738</v>
      </c>
      <c r="E145" s="277"/>
      <c r="F145" s="278"/>
      <c r="G145" s="278"/>
      <c r="H145" s="327"/>
      <c r="I145" s="327"/>
      <c r="J145" s="327"/>
      <c r="K145" s="327"/>
      <c r="L145" s="327"/>
      <c r="M145" s="327"/>
      <c r="N145" s="224">
        <f t="shared" si="119"/>
        <v>0</v>
      </c>
      <c r="O145" s="518">
        <v>0.45457515609497928</v>
      </c>
      <c r="P145" s="518">
        <v>0.43778474817232893</v>
      </c>
      <c r="Q145" s="518">
        <v>0.46905928417404136</v>
      </c>
      <c r="R145" s="518">
        <v>0.44580852295327833</v>
      </c>
      <c r="S145" s="518">
        <v>0.50940115218526671</v>
      </c>
      <c r="T145" s="518">
        <v>0.40595007514625575</v>
      </c>
      <c r="U145" s="518">
        <v>0.44580852295327833</v>
      </c>
      <c r="V145" s="518">
        <v>0.47570235880854533</v>
      </c>
      <c r="W145" s="518">
        <v>0.41293341706774211</v>
      </c>
      <c r="X145" s="518">
        <v>0.49725555255813569</v>
      </c>
      <c r="Y145" s="518">
        <v>0.40586331530730346</v>
      </c>
      <c r="Z145" s="518">
        <v>0.29946173768909667</v>
      </c>
      <c r="AA145" s="211">
        <f t="shared" si="121"/>
        <v>5.2596038431102521</v>
      </c>
      <c r="AB145" s="518">
        <v>0.32717933686826717</v>
      </c>
      <c r="AC145" s="518">
        <v>0.3150220772418153</v>
      </c>
      <c r="AD145" s="518">
        <v>0.37758669973910497</v>
      </c>
      <c r="AE145" s="518">
        <v>0.34980509821966793</v>
      </c>
      <c r="AF145" s="518">
        <v>0.37072587212362296</v>
      </c>
      <c r="AG145" s="518">
        <v>0.29048655618632485</v>
      </c>
      <c r="AH145" s="518">
        <v>0.31921539937923593</v>
      </c>
      <c r="AI145" s="518">
        <v>0.34076203177391917</v>
      </c>
      <c r="AJ145" s="518">
        <v>0.29600107169587725</v>
      </c>
      <c r="AK145" s="518">
        <v>0.35686652605173708</v>
      </c>
      <c r="AL145" s="518">
        <v>0.29113183534740844</v>
      </c>
      <c r="AM145" s="518">
        <v>0.30614504706780321</v>
      </c>
      <c r="AN145" s="211">
        <f t="shared" si="122"/>
        <v>3.9409275516947848</v>
      </c>
      <c r="AO145" s="518">
        <v>4.0303749075724316</v>
      </c>
      <c r="AP145" s="518">
        <v>4.1492563703303453</v>
      </c>
      <c r="AQ145" s="74">
        <f t="shared" ref="AQ145:AY145" si="130">AP145*(1+$D$3)</f>
        <v>4.2737340614402557</v>
      </c>
      <c r="AR145" s="74">
        <f t="shared" si="130"/>
        <v>4.4019460832834634</v>
      </c>
      <c r="AS145" s="74">
        <f t="shared" si="130"/>
        <v>4.5340044657819671</v>
      </c>
      <c r="AT145" s="74">
        <f t="shared" si="130"/>
        <v>4.6700245997554264</v>
      </c>
      <c r="AU145" s="74">
        <f t="shared" si="130"/>
        <v>4.8101253377480893</v>
      </c>
      <c r="AV145" s="74">
        <f t="shared" si="130"/>
        <v>4.9544290978805323</v>
      </c>
      <c r="AW145" s="74">
        <f t="shared" si="130"/>
        <v>5.103061970816948</v>
      </c>
      <c r="AX145" s="74">
        <f t="shared" si="130"/>
        <v>5.2561538299414563</v>
      </c>
      <c r="AY145" s="74">
        <f t="shared" si="130"/>
        <v>5.4138384448397003</v>
      </c>
      <c r="AZ145" s="726"/>
      <c r="BA145" s="726"/>
    </row>
    <row r="146" spans="1:53">
      <c r="A146" s="13" t="s">
        <v>739</v>
      </c>
      <c r="B146" s="13" t="s">
        <v>740</v>
      </c>
      <c r="E146" s="277"/>
      <c r="F146" s="278"/>
      <c r="G146" s="278"/>
      <c r="H146" s="327"/>
      <c r="I146" s="327"/>
      <c r="J146" s="327"/>
      <c r="K146" s="327"/>
      <c r="L146" s="327"/>
      <c r="M146" s="327"/>
      <c r="N146" s="224">
        <f t="shared" si="119"/>
        <v>0</v>
      </c>
      <c r="O146" s="518">
        <v>0.25272634199926264</v>
      </c>
      <c r="P146" s="518">
        <v>0.24424559226774381</v>
      </c>
      <c r="Q146" s="518">
        <v>0.25999014151405314</v>
      </c>
      <c r="R146" s="518">
        <v>0.24824865125212817</v>
      </c>
      <c r="S146" s="518">
        <v>0.26799296244873216</v>
      </c>
      <c r="T146" s="518">
        <v>0.22812038223168532</v>
      </c>
      <c r="U146" s="518">
        <v>0.24824865125212817</v>
      </c>
      <c r="V146" s="518">
        <v>0.2633448530174603</v>
      </c>
      <c r="W146" s="518">
        <v>0.23290055736848023</v>
      </c>
      <c r="X146" s="518">
        <v>0.27571315982592148</v>
      </c>
      <c r="Y146" s="518">
        <v>0.22947554917188492</v>
      </c>
      <c r="Z146" s="518">
        <v>0.16328100384474351</v>
      </c>
      <c r="AA146" s="211">
        <f t="shared" si="121"/>
        <v>2.9142878461942239</v>
      </c>
      <c r="AB146" s="518">
        <v>0.17098184891354884</v>
      </c>
      <c r="AC146" s="518">
        <v>0.16524420297685255</v>
      </c>
      <c r="AD146" s="518">
        <v>0.19628804471597638</v>
      </c>
      <c r="AE146" s="518">
        <v>0.17209030905109488</v>
      </c>
      <c r="AF146" s="518">
        <v>0.18127672393905717</v>
      </c>
      <c r="AG146" s="518">
        <v>0.1534493894279382</v>
      </c>
      <c r="AH146" s="518">
        <v>0.16698904143628571</v>
      </c>
      <c r="AI146" s="518">
        <v>0.17714378044254633</v>
      </c>
      <c r="AJ146" s="518">
        <v>0.15616964072175826</v>
      </c>
      <c r="AK146" s="518">
        <v>0.18487729526619917</v>
      </c>
      <c r="AL146" s="518">
        <v>0.15387302835820305</v>
      </c>
      <c r="AM146" s="518">
        <v>0.16117897601166298</v>
      </c>
      <c r="AN146" s="211">
        <f t="shared" si="122"/>
        <v>2.0395622812611238</v>
      </c>
      <c r="AO146" s="518">
        <v>2.0929142748974461</v>
      </c>
      <c r="AP146" s="518">
        <v>2.1535439199803368</v>
      </c>
      <c r="AQ146" s="74">
        <f t="shared" ref="AQ146:AY146" si="131">AP146*(1+$D$3)</f>
        <v>2.2181502375797471</v>
      </c>
      <c r="AR146" s="74">
        <f t="shared" si="131"/>
        <v>2.2846947447071395</v>
      </c>
      <c r="AS146" s="74">
        <f t="shared" si="131"/>
        <v>2.3532355870483537</v>
      </c>
      <c r="AT146" s="74">
        <f t="shared" si="131"/>
        <v>2.4238326546598041</v>
      </c>
      <c r="AU146" s="74">
        <f t="shared" si="131"/>
        <v>2.4965476342995983</v>
      </c>
      <c r="AV146" s="74">
        <f t="shared" si="131"/>
        <v>2.5714440633285864</v>
      </c>
      <c r="AW146" s="74">
        <f t="shared" si="131"/>
        <v>2.6485873852284443</v>
      </c>
      <c r="AX146" s="74">
        <f t="shared" si="131"/>
        <v>2.7280450067852975</v>
      </c>
      <c r="AY146" s="74">
        <f t="shared" si="131"/>
        <v>2.8098863569888564</v>
      </c>
      <c r="AZ146" s="726"/>
      <c r="BA146" s="726"/>
    </row>
    <row r="147" spans="1:53">
      <c r="A147" s="13" t="s">
        <v>741</v>
      </c>
      <c r="B147" s="13" t="s">
        <v>742</v>
      </c>
      <c r="E147" s="277"/>
      <c r="F147" s="278"/>
      <c r="G147" s="278"/>
      <c r="H147" s="327"/>
      <c r="I147" s="327"/>
      <c r="J147" s="327"/>
      <c r="K147" s="327"/>
      <c r="L147" s="327"/>
      <c r="M147" s="327"/>
      <c r="N147" s="224">
        <f t="shared" si="119"/>
        <v>0</v>
      </c>
      <c r="O147" s="518">
        <v>0.14602875479137273</v>
      </c>
      <c r="P147" s="518">
        <v>0.14112846100642731</v>
      </c>
      <c r="Q147" s="518">
        <v>0.15045255725179107</v>
      </c>
      <c r="R147" s="518">
        <v>0.14365792563396826</v>
      </c>
      <c r="S147" s="518">
        <v>0.16285212679153085</v>
      </c>
      <c r="T147" s="518">
        <v>0.13200998571770053</v>
      </c>
      <c r="U147" s="518">
        <v>0.14365792563396826</v>
      </c>
      <c r="V147" s="518">
        <v>0.15239388057116904</v>
      </c>
      <c r="W147" s="518">
        <v>0.13431349845714613</v>
      </c>
      <c r="X147" s="518">
        <v>0.15900347979118037</v>
      </c>
      <c r="Y147" s="518">
        <v>0.1323382999504234</v>
      </c>
      <c r="Z147" s="518">
        <v>8.6855492197870351E-2</v>
      </c>
      <c r="AA147" s="211">
        <f t="shared" si="121"/>
        <v>1.6846923877945483</v>
      </c>
      <c r="AB147" s="518">
        <v>9.1127927936151751E-2</v>
      </c>
      <c r="AC147" s="518">
        <v>8.8069943777220494E-2</v>
      </c>
      <c r="AD147" s="518">
        <v>0.10400801926606527</v>
      </c>
      <c r="AE147" s="518">
        <v>9.846236631200761E-2</v>
      </c>
      <c r="AF147" s="518">
        <v>0.10381067447273298</v>
      </c>
      <c r="AG147" s="518">
        <v>8.1869879097830306E-2</v>
      </c>
      <c r="AH147" s="518">
        <v>8.9093691959403559E-2</v>
      </c>
      <c r="AI147" s="518">
        <v>9.4511551605583499E-2</v>
      </c>
      <c r="AJ147" s="518">
        <v>8.3251987334570496E-2</v>
      </c>
      <c r="AK147" s="518">
        <v>9.8555661476954784E-2</v>
      </c>
      <c r="AL147" s="518">
        <v>8.2027693403179766E-2</v>
      </c>
      <c r="AM147" s="518">
        <v>8.5832642729135933E-2</v>
      </c>
      <c r="AN147" s="211">
        <f t="shared" si="122"/>
        <v>1.1006220393708364</v>
      </c>
      <c r="AO147" s="518">
        <v>1.1242674697796078</v>
      </c>
      <c r="AP147" s="518">
        <v>1.156854430370982</v>
      </c>
      <c r="AQ147" s="74">
        <f t="shared" ref="AQ147:AY147" si="132">AP147*(1+$D$3)</f>
        <v>1.1915600632821115</v>
      </c>
      <c r="AR147" s="74">
        <f t="shared" si="132"/>
        <v>1.227306865180575</v>
      </c>
      <c r="AS147" s="74">
        <f t="shared" si="132"/>
        <v>1.2641260711359923</v>
      </c>
      <c r="AT147" s="74">
        <f t="shared" si="132"/>
        <v>1.3020498532700722</v>
      </c>
      <c r="AU147" s="74">
        <f t="shared" si="132"/>
        <v>1.3411113488681743</v>
      </c>
      <c r="AV147" s="74">
        <f t="shared" si="132"/>
        <v>1.3813446893342196</v>
      </c>
      <c r="AW147" s="74">
        <f t="shared" si="132"/>
        <v>1.4227850300142462</v>
      </c>
      <c r="AX147" s="74">
        <f t="shared" si="132"/>
        <v>1.4654685809146737</v>
      </c>
      <c r="AY147" s="74">
        <f t="shared" si="132"/>
        <v>1.5094326383421139</v>
      </c>
      <c r="AZ147" s="726"/>
      <c r="BA147" s="726"/>
    </row>
    <row r="148" spans="1:53">
      <c r="A148" s="13" t="s">
        <v>815</v>
      </c>
      <c r="B148" s="13" t="s">
        <v>816</v>
      </c>
      <c r="E148" s="277"/>
      <c r="F148" s="278"/>
      <c r="G148" s="278"/>
      <c r="H148" s="327"/>
      <c r="I148" s="327"/>
      <c r="J148" s="327"/>
      <c r="K148" s="327"/>
      <c r="L148" s="327"/>
      <c r="M148" s="327"/>
      <c r="N148" s="224"/>
      <c r="O148" s="518">
        <v>0.11220480926914954</v>
      </c>
      <c r="P148" s="518">
        <v>0.10843954721313782</v>
      </c>
      <c r="Q148" s="518">
        <v>0.11591392924663245</v>
      </c>
      <c r="R148" s="518">
        <v>0.1106791066354942</v>
      </c>
      <c r="S148" s="518">
        <v>0.13948811264835637</v>
      </c>
      <c r="T148" s="518">
        <v>0.10170512501640007</v>
      </c>
      <c r="U148" s="518">
        <v>0.1106791066354942</v>
      </c>
      <c r="V148" s="518">
        <v>0.1174095928498148</v>
      </c>
      <c r="W148" s="518">
        <v>0.10339508954068745</v>
      </c>
      <c r="X148" s="518">
        <v>0.12240153982390206</v>
      </c>
      <c r="Y148" s="518">
        <v>0.10187457351803028</v>
      </c>
      <c r="Z148" s="518">
        <v>9.8528356875353329E-2</v>
      </c>
      <c r="AA148" s="211">
        <f t="shared" si="121"/>
        <v>1.3427188892724526</v>
      </c>
      <c r="AB148" s="518">
        <v>0.10346412507495502</v>
      </c>
      <c r="AC148" s="518">
        <v>9.9992174569084047E-2</v>
      </c>
      <c r="AD148" s="518">
        <v>0.11274741587044243</v>
      </c>
      <c r="AE148" s="518">
        <v>0.12082028006842539</v>
      </c>
      <c r="AF148" s="518">
        <v>0.12781231027896509</v>
      </c>
      <c r="AG148" s="518">
        <v>9.3710781523523717E-2</v>
      </c>
      <c r="AH148" s="518">
        <v>0.10197937989324643</v>
      </c>
      <c r="AI148" s="518">
        <v>0.10818082867053842</v>
      </c>
      <c r="AJ148" s="518">
        <v>9.5222240938878752E-2</v>
      </c>
      <c r="AK148" s="518">
        <v>0.11272632934676087</v>
      </c>
      <c r="AL148" s="518">
        <v>9.3821913866248191E-2</v>
      </c>
      <c r="AM148" s="518">
        <v>9.7376102157717498E-2</v>
      </c>
      <c r="AN148" s="211">
        <f t="shared" si="122"/>
        <v>1.2678538822587859</v>
      </c>
      <c r="AO148" s="518">
        <v>1.2849027713269727</v>
      </c>
      <c r="AP148" s="518">
        <v>1.319613149666597</v>
      </c>
      <c r="AQ148" s="74">
        <f t="shared" ref="AQ148:AY148" si="133">AP148*(1+$D$3)</f>
        <v>1.359201544156595</v>
      </c>
      <c r="AR148" s="74">
        <f t="shared" si="133"/>
        <v>1.3999775904812928</v>
      </c>
      <c r="AS148" s="74">
        <f t="shared" si="133"/>
        <v>1.4419769181957316</v>
      </c>
      <c r="AT148" s="74">
        <f t="shared" si="133"/>
        <v>1.4852362257416036</v>
      </c>
      <c r="AU148" s="74">
        <f t="shared" si="133"/>
        <v>1.5297933125138519</v>
      </c>
      <c r="AV148" s="74">
        <f t="shared" si="133"/>
        <v>1.5756871118892675</v>
      </c>
      <c r="AW148" s="74">
        <f t="shared" si="133"/>
        <v>1.6229577252459455</v>
      </c>
      <c r="AX148" s="74">
        <f t="shared" si="133"/>
        <v>1.6716464570033238</v>
      </c>
      <c r="AY148" s="74">
        <f t="shared" si="133"/>
        <v>1.7217958507134237</v>
      </c>
      <c r="AZ148" s="726"/>
      <c r="BA148" s="726"/>
    </row>
    <row r="149" spans="1:53">
      <c r="A149" s="13" t="s">
        <v>546</v>
      </c>
      <c r="B149" s="13" t="s">
        <v>743</v>
      </c>
      <c r="E149" s="277"/>
      <c r="F149" s="278"/>
      <c r="G149" s="278"/>
      <c r="H149" s="327"/>
      <c r="I149" s="327"/>
      <c r="J149" s="327"/>
      <c r="K149" s="327"/>
      <c r="L149" s="327"/>
      <c r="M149" s="327"/>
      <c r="N149" s="224">
        <f t="shared" ref="N149:N166" si="134">SUM(E149:M149)</f>
        <v>0</v>
      </c>
      <c r="O149" s="518">
        <v>0.645905069117377</v>
      </c>
      <c r="P149" s="518">
        <v>0.62423040236847183</v>
      </c>
      <c r="Q149" s="518">
        <v>0.67191466921606346</v>
      </c>
      <c r="R149" s="518">
        <v>0.64157013576759592</v>
      </c>
      <c r="S149" s="518">
        <v>0.68058453591562551</v>
      </c>
      <c r="T149" s="518">
        <v>0.57458830630791702</v>
      </c>
      <c r="U149" s="518">
        <v>0.62528727451155675</v>
      </c>
      <c r="V149" s="518">
        <v>0.66331150066428657</v>
      </c>
      <c r="W149" s="518">
        <v>0.58441016530834256</v>
      </c>
      <c r="X149" s="518">
        <v>0.69188637845662826</v>
      </c>
      <c r="Y149" s="518">
        <v>0.57585574356017499</v>
      </c>
      <c r="Z149" s="518">
        <v>0.59106903220645335</v>
      </c>
      <c r="AA149" s="211">
        <f t="shared" si="121"/>
        <v>7.5706132134004926</v>
      </c>
      <c r="AB149" s="518">
        <v>0.62188837161207455</v>
      </c>
      <c r="AC149" s="518">
        <v>0.6010196343096561</v>
      </c>
      <c r="AD149" s="518">
        <v>0.64693085637497705</v>
      </c>
      <c r="AE149" s="518">
        <v>0.61771462415159095</v>
      </c>
      <c r="AF149" s="518">
        <v>0.65527835129594447</v>
      </c>
      <c r="AG149" s="518">
        <v>0.5528473104915731</v>
      </c>
      <c r="AH149" s="518">
        <v>0.60162795553494697</v>
      </c>
      <c r="AI149" s="518">
        <v>0.63821343931747765</v>
      </c>
      <c r="AJ149" s="518">
        <v>0.55966443111397368</v>
      </c>
      <c r="AK149" s="518">
        <v>0.66295214394316571</v>
      </c>
      <c r="AL149" s="518">
        <v>0.551773834089343</v>
      </c>
      <c r="AM149" s="518">
        <v>0.56824469480842787</v>
      </c>
      <c r="AN149" s="211">
        <f t="shared" si="122"/>
        <v>7.2781556470431514</v>
      </c>
      <c r="AO149" s="518">
        <v>7.3614792571482033</v>
      </c>
      <c r="AP149" s="518">
        <v>7.5399995457791844</v>
      </c>
      <c r="AQ149" s="74">
        <f t="shared" ref="AQ149:AY149" si="135">AP149*(1+$D$3)</f>
        <v>7.7661995321525605</v>
      </c>
      <c r="AR149" s="74">
        <f t="shared" si="135"/>
        <v>7.9991855181171374</v>
      </c>
      <c r="AS149" s="74">
        <f t="shared" si="135"/>
        <v>8.239161083660651</v>
      </c>
      <c r="AT149" s="74">
        <f t="shared" si="135"/>
        <v>8.4863359161704714</v>
      </c>
      <c r="AU149" s="74">
        <f t="shared" si="135"/>
        <v>8.7409259936555852</v>
      </c>
      <c r="AV149" s="74">
        <f t="shared" si="135"/>
        <v>9.0031537734652538</v>
      </c>
      <c r="AW149" s="74">
        <f t="shared" si="135"/>
        <v>9.273248386669211</v>
      </c>
      <c r="AX149" s="74">
        <f t="shared" si="135"/>
        <v>9.5514458382692879</v>
      </c>
      <c r="AY149" s="74">
        <f t="shared" si="135"/>
        <v>9.8379892134173677</v>
      </c>
      <c r="AZ149" s="726"/>
      <c r="BA149" s="726"/>
    </row>
    <row r="150" spans="1:53">
      <c r="A150" s="13" t="s">
        <v>744</v>
      </c>
      <c r="B150" s="13" t="s">
        <v>745</v>
      </c>
      <c r="E150" s="277"/>
      <c r="F150" s="278"/>
      <c r="G150" s="278"/>
      <c r="H150" s="327"/>
      <c r="I150" s="327"/>
      <c r="J150" s="327"/>
      <c r="K150" s="327"/>
      <c r="L150" s="327"/>
      <c r="M150" s="327"/>
      <c r="N150" s="224">
        <f t="shared" si="134"/>
        <v>0</v>
      </c>
      <c r="O150" s="518">
        <v>2.6124691853908241E-2</v>
      </c>
      <c r="P150" s="518">
        <v>2.3371514274918039E-2</v>
      </c>
      <c r="Q150" s="518">
        <v>2.2798504948696497E-2</v>
      </c>
      <c r="R150" s="518">
        <v>1.9754056338110209E-2</v>
      </c>
      <c r="S150" s="518">
        <v>2.1739775980292586E-2</v>
      </c>
      <c r="T150" s="518">
        <v>2.1606430148533702E-2</v>
      </c>
      <c r="U150" s="518">
        <v>2.4254056338110199E-2</v>
      </c>
      <c r="V150" s="518">
        <v>2.6389775980292584E-2</v>
      </c>
      <c r="W150" s="518">
        <v>1.879525721248106E-2</v>
      </c>
      <c r="X150" s="518">
        <v>2.2925103790133971E-2</v>
      </c>
      <c r="Y150" s="518">
        <v>2.1592322409179823E-2</v>
      </c>
      <c r="Z150" s="518">
        <v>2.6978660391543403E-2</v>
      </c>
      <c r="AA150" s="211">
        <f t="shared" si="121"/>
        <v>0.27633014966620034</v>
      </c>
      <c r="AB150" s="518">
        <v>2.5709990923087303E-2</v>
      </c>
      <c r="AC150" s="518">
        <v>2.2970729482715245E-2</v>
      </c>
      <c r="AD150" s="518">
        <v>2.2367104651533767E-2</v>
      </c>
      <c r="AE150" s="518">
        <v>1.9342138635012888E-2</v>
      </c>
      <c r="AF150" s="518">
        <v>2.1302809227682601E-2</v>
      </c>
      <c r="AG150" s="518">
        <v>2.1227911178119955E-2</v>
      </c>
      <c r="AH150" s="518">
        <v>2.3842138635012888E-2</v>
      </c>
      <c r="AI150" s="518">
        <v>2.5952809227682599E-2</v>
      </c>
      <c r="AJ150" s="518">
        <v>1.8377911178119953E-2</v>
      </c>
      <c r="AK150" s="518">
        <v>2.2476152478049218E-2</v>
      </c>
      <c r="AL150" s="518">
        <v>2.1218661068686927E-2</v>
      </c>
      <c r="AM150" s="518">
        <v>2.6593844981185045E-2</v>
      </c>
      <c r="AN150" s="211">
        <f t="shared" si="122"/>
        <v>0.27138220166688837</v>
      </c>
      <c r="AO150" s="518">
        <v>0.28081380124728117</v>
      </c>
      <c r="AP150" s="518">
        <v>0.28991629671471303</v>
      </c>
      <c r="AQ150" s="74">
        <f t="shared" ref="AQ150:AY150" si="136">AP150*(1+$D$3)</f>
        <v>0.29861378561615443</v>
      </c>
      <c r="AR150" s="74">
        <f t="shared" si="136"/>
        <v>0.30757219918463907</v>
      </c>
      <c r="AS150" s="74">
        <f t="shared" si="136"/>
        <v>0.31679936516017826</v>
      </c>
      <c r="AT150" s="74">
        <f t="shared" si="136"/>
        <v>0.32630334611498363</v>
      </c>
      <c r="AU150" s="74">
        <f t="shared" si="136"/>
        <v>0.33609244649843317</v>
      </c>
      <c r="AV150" s="74">
        <f t="shared" si="136"/>
        <v>0.34617521989338618</v>
      </c>
      <c r="AW150" s="74">
        <f t="shared" si="136"/>
        <v>0.35656047649018779</v>
      </c>
      <c r="AX150" s="74">
        <f t="shared" si="136"/>
        <v>0.36725729078489344</v>
      </c>
      <c r="AY150" s="74">
        <f t="shared" si="136"/>
        <v>0.37827500950844023</v>
      </c>
      <c r="AZ150" s="726"/>
      <c r="BA150" s="726"/>
    </row>
    <row r="151" spans="1:53">
      <c r="A151" s="13" t="s">
        <v>746</v>
      </c>
      <c r="B151" s="13" t="s">
        <v>750</v>
      </c>
      <c r="E151" s="277"/>
      <c r="F151" s="278"/>
      <c r="G151" s="278"/>
      <c r="H151" s="327"/>
      <c r="I151" s="327"/>
      <c r="J151" s="327"/>
      <c r="K151" s="327"/>
      <c r="L151" s="327"/>
      <c r="M151" s="327"/>
      <c r="N151" s="224">
        <f t="shared" si="134"/>
        <v>0</v>
      </c>
      <c r="O151" s="518">
        <v>4.2961414541967148E-2</v>
      </c>
      <c r="P151" s="518">
        <v>4.1519756335860858E-2</v>
      </c>
      <c r="Q151" s="518">
        <v>4.4691404389294677E-2</v>
      </c>
      <c r="R151" s="518">
        <v>4.2673082900745889E-2</v>
      </c>
      <c r="S151" s="518">
        <v>4.5268067671737196E-2</v>
      </c>
      <c r="T151" s="518">
        <v>3.9213103206090817E-2</v>
      </c>
      <c r="U151" s="518">
        <v>4.2673082900745889E-2</v>
      </c>
      <c r="V151" s="518">
        <v>4.5268067671737196E-2</v>
      </c>
      <c r="W151" s="518">
        <v>3.9253973799719621E-2</v>
      </c>
      <c r="X151" s="518">
        <v>4.6736831193946921E-2</v>
      </c>
      <c r="Y151" s="518">
        <v>3.8898977515458927E-2</v>
      </c>
      <c r="Z151" s="518">
        <v>4.0060141023383074E-2</v>
      </c>
      <c r="AA151" s="211">
        <f t="shared" si="121"/>
        <v>0.50921790315068816</v>
      </c>
      <c r="AB151" s="518">
        <v>4.2406685027387141E-2</v>
      </c>
      <c r="AC151" s="518">
        <v>4.0983641905662734E-2</v>
      </c>
      <c r="AD151" s="518">
        <v>4.4114336773456421E-2</v>
      </c>
      <c r="AE151" s="518">
        <v>4.2122076403042261E-2</v>
      </c>
      <c r="AF151" s="518">
        <v>4.4683554022146188E-2</v>
      </c>
      <c r="AG151" s="518">
        <v>3.87067729109037E-2</v>
      </c>
      <c r="AH151" s="518">
        <v>4.2122076403042261E-2</v>
      </c>
      <c r="AI151" s="518">
        <v>4.4683554022146188E-2</v>
      </c>
      <c r="AJ151" s="518">
        <v>3.87067729109037E-2</v>
      </c>
      <c r="AK151" s="518">
        <v>4.6134362194319059E-2</v>
      </c>
      <c r="AL151" s="518">
        <v>3.8397543689681714E-2</v>
      </c>
      <c r="AM151" s="518">
        <v>3.9543739023702063E-2</v>
      </c>
      <c r="AN151" s="211">
        <f t="shared" si="122"/>
        <v>0.5026051152863934</v>
      </c>
      <c r="AO151" s="518">
        <v>0.51489446699065788</v>
      </c>
      <c r="AP151" s="518">
        <v>0.52691034780508106</v>
      </c>
      <c r="AQ151" s="74">
        <f t="shared" ref="AQ151:AY151" si="137">AP151*(1+$D$3)</f>
        <v>0.54271765823923346</v>
      </c>
      <c r="AR151" s="74">
        <f t="shared" si="137"/>
        <v>0.55899918798641046</v>
      </c>
      <c r="AS151" s="74">
        <f t="shared" si="137"/>
        <v>0.57576916362600283</v>
      </c>
      <c r="AT151" s="74">
        <f t="shared" si="137"/>
        <v>0.59304223853478288</v>
      </c>
      <c r="AU151" s="74">
        <f t="shared" si="137"/>
        <v>0.61083350569082639</v>
      </c>
      <c r="AV151" s="74">
        <f t="shared" si="137"/>
        <v>0.62915851086155117</v>
      </c>
      <c r="AW151" s="74">
        <f t="shared" si="137"/>
        <v>0.64803326618739776</v>
      </c>
      <c r="AX151" s="74">
        <f t="shared" si="137"/>
        <v>0.66747426417301969</v>
      </c>
      <c r="AY151" s="74">
        <f t="shared" si="137"/>
        <v>0.68749849209821035</v>
      </c>
      <c r="AZ151" s="726"/>
      <c r="BA151" s="726"/>
    </row>
    <row r="152" spans="1:53">
      <c r="A152" s="13" t="s">
        <v>751</v>
      </c>
      <c r="B152" s="13" t="s">
        <v>752</v>
      </c>
      <c r="E152" s="277"/>
      <c r="F152" s="278"/>
      <c r="G152" s="278"/>
      <c r="H152" s="327"/>
      <c r="I152" s="327"/>
      <c r="J152" s="327"/>
      <c r="K152" s="327"/>
      <c r="L152" s="327"/>
      <c r="M152" s="327"/>
      <c r="N152" s="224">
        <f t="shared" si="134"/>
        <v>0</v>
      </c>
      <c r="O152" s="518">
        <v>9.4659769442985597E-2</v>
      </c>
      <c r="P152" s="518">
        <v>9.1483267112684077E-2</v>
      </c>
      <c r="Q152" s="518">
        <v>9.8471572239347452E-2</v>
      </c>
      <c r="R152" s="518">
        <v>9.4024468976925291E-2</v>
      </c>
      <c r="S152" s="518">
        <v>9.9742173171468052E-2</v>
      </c>
      <c r="T152" s="518">
        <v>8.6400863384201623E-2</v>
      </c>
      <c r="U152" s="518">
        <v>9.4024468976925291E-2</v>
      </c>
      <c r="V152" s="518">
        <v>9.9742173171468052E-2</v>
      </c>
      <c r="W152" s="518">
        <v>8.6427429270060349E-2</v>
      </c>
      <c r="X152" s="518">
        <v>0.10274309691486777</v>
      </c>
      <c r="Y152" s="518">
        <v>8.551288811548001E-2</v>
      </c>
      <c r="Z152" s="518">
        <v>8.8065511641315222E-2</v>
      </c>
      <c r="AA152" s="211">
        <f t="shared" si="121"/>
        <v>1.1212976824177288</v>
      </c>
      <c r="AB152" s="518">
        <v>9.3882514586801843E-2</v>
      </c>
      <c r="AC152" s="518">
        <v>9.0732094634224603E-2</v>
      </c>
      <c r="AD152" s="518">
        <v>9.7663018529894549E-2</v>
      </c>
      <c r="AE152" s="518">
        <v>9.3252430596286393E-2</v>
      </c>
      <c r="AF152" s="518">
        <v>9.8923186510925451E-2</v>
      </c>
      <c r="AG152" s="518">
        <v>8.5691422710101023E-2</v>
      </c>
      <c r="AH152" s="518">
        <v>9.3252430596286393E-2</v>
      </c>
      <c r="AI152" s="518">
        <v>9.8923186510925451E-2</v>
      </c>
      <c r="AJ152" s="518">
        <v>8.5691422710101023E-2</v>
      </c>
      <c r="AK152" s="518">
        <v>0.10191139670335794</v>
      </c>
      <c r="AL152" s="518">
        <v>8.4820665579192323E-2</v>
      </c>
      <c r="AM152" s="518">
        <v>8.7352625745735379E-2</v>
      </c>
      <c r="AN152" s="211">
        <f t="shared" si="122"/>
        <v>1.1120963954138323</v>
      </c>
      <c r="AO152" s="518">
        <v>1.143235666011623</v>
      </c>
      <c r="AP152" s="518">
        <v>1.1693054103472436</v>
      </c>
      <c r="AQ152" s="74">
        <f t="shared" ref="AQ152:AY152" si="138">AP152*(1+$D$3)</f>
        <v>1.204384572657661</v>
      </c>
      <c r="AR152" s="74">
        <f t="shared" si="138"/>
        <v>1.2405161098373909</v>
      </c>
      <c r="AS152" s="74">
        <f t="shared" si="138"/>
        <v>1.2777315931325126</v>
      </c>
      <c r="AT152" s="74">
        <f t="shared" si="138"/>
        <v>1.316063540926488</v>
      </c>
      <c r="AU152" s="74">
        <f t="shared" si="138"/>
        <v>1.3555454471542827</v>
      </c>
      <c r="AV152" s="74">
        <f t="shared" si="138"/>
        <v>1.3962118105689112</v>
      </c>
      <c r="AW152" s="74">
        <f t="shared" si="138"/>
        <v>1.4380981648859785</v>
      </c>
      <c r="AX152" s="74">
        <f t="shared" si="138"/>
        <v>1.481241109832558</v>
      </c>
      <c r="AY152" s="74">
        <f t="shared" si="138"/>
        <v>1.5256783431275347</v>
      </c>
      <c r="AZ152" s="726"/>
      <c r="BA152" s="726"/>
    </row>
    <row r="153" spans="1:53">
      <c r="A153" s="13" t="s">
        <v>753</v>
      </c>
      <c r="B153" s="13" t="s">
        <v>754</v>
      </c>
      <c r="E153" s="277"/>
      <c r="F153" s="278"/>
      <c r="G153" s="278"/>
      <c r="H153" s="327"/>
      <c r="I153" s="327"/>
      <c r="J153" s="327"/>
      <c r="K153" s="327"/>
      <c r="L153" s="327"/>
      <c r="M153" s="327"/>
      <c r="N153" s="224">
        <f t="shared" si="134"/>
        <v>0</v>
      </c>
      <c r="O153" s="518">
        <v>1.703481379282195E-2</v>
      </c>
      <c r="P153" s="518">
        <v>1.6000088497760804E-2</v>
      </c>
      <c r="Q153" s="518">
        <v>1.8276484146895314E-2</v>
      </c>
      <c r="R153" s="518">
        <v>1.6827868733809717E-2</v>
      </c>
      <c r="S153" s="518">
        <v>1.8690374264919773E-2</v>
      </c>
      <c r="T153" s="518">
        <v>1.4344528025662984E-2</v>
      </c>
      <c r="U153" s="518">
        <v>1.6827868733809717E-2</v>
      </c>
      <c r="V153" s="518">
        <v>1.8690374264919773E-2</v>
      </c>
      <c r="W153" s="518">
        <v>1.4344528025662984E-2</v>
      </c>
      <c r="X153" s="518">
        <v>2.0052261274820491E-2</v>
      </c>
      <c r="Y153" s="518">
        <v>1.6175173980285382E-2</v>
      </c>
      <c r="Z153" s="518">
        <v>1.7016223949846133E-2</v>
      </c>
      <c r="AA153" s="211">
        <f t="shared" si="121"/>
        <v>0.20428058769121504</v>
      </c>
      <c r="AB153" s="518">
        <v>1.6597910817694399E-2</v>
      </c>
      <c r="AC153" s="518">
        <v>1.5577846696295262E-2</v>
      </c>
      <c r="AD153" s="518">
        <v>1.7821987763373369E-2</v>
      </c>
      <c r="AE153" s="518">
        <v>1.639389799341457E-2</v>
      </c>
      <c r="AF153" s="518">
        <v>1.8230013411933026E-2</v>
      </c>
      <c r="AG153" s="518">
        <v>1.3945744102056633E-2</v>
      </c>
      <c r="AH153" s="518">
        <v>1.639389799341457E-2</v>
      </c>
      <c r="AI153" s="518">
        <v>1.8230013411933026E-2</v>
      </c>
      <c r="AJ153" s="518">
        <v>1.3945744102056633E-2</v>
      </c>
      <c r="AK153" s="518">
        <v>1.9572686138087672E-2</v>
      </c>
      <c r="AL153" s="518">
        <v>1.5776024487600918E-2</v>
      </c>
      <c r="AM153" s="518">
        <v>1.6605159546932285E-2</v>
      </c>
      <c r="AN153" s="211">
        <f t="shared" si="122"/>
        <v>0.19909092646479234</v>
      </c>
      <c r="AO153" s="518">
        <v>0.2078021039244449</v>
      </c>
      <c r="AP153" s="518">
        <v>0.21674931078052914</v>
      </c>
      <c r="AQ153" s="74">
        <f t="shared" ref="AQ153:AY153" si="139">AP153*(1+$D$3)</f>
        <v>0.22325179010394502</v>
      </c>
      <c r="AR153" s="74">
        <f t="shared" si="139"/>
        <v>0.22994934380706339</v>
      </c>
      <c r="AS153" s="74">
        <f t="shared" si="139"/>
        <v>0.23684782412127531</v>
      </c>
      <c r="AT153" s="74">
        <f t="shared" si="139"/>
        <v>0.24395325884491356</v>
      </c>
      <c r="AU153" s="74">
        <f t="shared" si="139"/>
        <v>0.25127185661026097</v>
      </c>
      <c r="AV153" s="74">
        <f t="shared" si="139"/>
        <v>0.25881001230856882</v>
      </c>
      <c r="AW153" s="74">
        <f t="shared" si="139"/>
        <v>0.26657431267782589</v>
      </c>
      <c r="AX153" s="74">
        <f t="shared" si="139"/>
        <v>0.27457154205816064</v>
      </c>
      <c r="AY153" s="74">
        <f t="shared" si="139"/>
        <v>0.28280868831990547</v>
      </c>
      <c r="AZ153" s="726"/>
      <c r="BA153" s="726"/>
    </row>
    <row r="154" spans="1:53">
      <c r="A154" s="13" t="s">
        <v>755</v>
      </c>
      <c r="B154" s="13" t="s">
        <v>756</v>
      </c>
      <c r="E154" s="277"/>
      <c r="F154" s="278"/>
      <c r="G154" s="278"/>
      <c r="H154" s="327"/>
      <c r="I154" s="327"/>
      <c r="J154" s="327"/>
      <c r="K154" s="327"/>
      <c r="L154" s="327"/>
      <c r="M154" s="327"/>
      <c r="N154" s="224">
        <f t="shared" si="134"/>
        <v>0</v>
      </c>
      <c r="O154" s="518">
        <v>6.166962758564389E-3</v>
      </c>
      <c r="P154" s="518">
        <v>5.9600176995521607E-3</v>
      </c>
      <c r="Q154" s="518">
        <v>6.4152968293790637E-3</v>
      </c>
      <c r="R154" s="518">
        <v>6.1255737467619444E-3</v>
      </c>
      <c r="S154" s="518">
        <v>6.4980748529839547E-3</v>
      </c>
      <c r="T154" s="518">
        <v>5.6289056051325968E-3</v>
      </c>
      <c r="U154" s="518">
        <v>6.1255737467619444E-3</v>
      </c>
      <c r="V154" s="518">
        <v>6.4980748529839547E-3</v>
      </c>
      <c r="W154" s="518">
        <v>5.6289056051325968E-3</v>
      </c>
      <c r="X154" s="518">
        <v>6.7704522549640982E-3</v>
      </c>
      <c r="Y154" s="518">
        <v>5.635034796057075E-3</v>
      </c>
      <c r="Z154" s="518">
        <v>5.8032447899692263E-3</v>
      </c>
      <c r="AA154" s="211">
        <f t="shared" si="121"/>
        <v>7.3256117538243015E-2</v>
      </c>
      <c r="AB154" s="518">
        <v>6.0795821635388795E-3</v>
      </c>
      <c r="AC154" s="518">
        <v>5.875569339259052E-3</v>
      </c>
      <c r="AD154" s="518">
        <v>6.3243975526746732E-3</v>
      </c>
      <c r="AE154" s="518">
        <v>6.0387795986829142E-3</v>
      </c>
      <c r="AF154" s="518">
        <v>6.4060026823866056E-3</v>
      </c>
      <c r="AG154" s="518">
        <v>5.549148820411326E-3</v>
      </c>
      <c r="AH154" s="518">
        <v>6.0387795986829142E-3</v>
      </c>
      <c r="AI154" s="518">
        <v>6.4060026823866056E-3</v>
      </c>
      <c r="AJ154" s="518">
        <v>5.549148820411326E-3</v>
      </c>
      <c r="AK154" s="518">
        <v>6.6745372276175328E-3</v>
      </c>
      <c r="AL154" s="518">
        <v>5.5552048975201825E-3</v>
      </c>
      <c r="AM154" s="518">
        <v>5.7210319093864564E-3</v>
      </c>
      <c r="AN154" s="211">
        <f t="shared" si="122"/>
        <v>7.2218185292958467E-2</v>
      </c>
      <c r="AO154" s="518">
        <v>7.3960420784888958E-2</v>
      </c>
      <c r="AP154" s="518">
        <v>7.5749862156105838E-2</v>
      </c>
      <c r="AQ154" s="74">
        <f t="shared" ref="AQ154:AY154" si="140">AP154*(1+$D$3)</f>
        <v>7.8022358020789009E-2</v>
      </c>
      <c r="AR154" s="74">
        <f t="shared" si="140"/>
        <v>8.0363028761412686E-2</v>
      </c>
      <c r="AS154" s="74">
        <f t="shared" si="140"/>
        <v>8.2773919624255066E-2</v>
      </c>
      <c r="AT154" s="74">
        <f t="shared" si="140"/>
        <v>8.5257137212982725E-2</v>
      </c>
      <c r="AU154" s="74">
        <f t="shared" si="140"/>
        <v>8.7814851329372209E-2</v>
      </c>
      <c r="AV154" s="74">
        <f t="shared" si="140"/>
        <v>9.0449296869253376E-2</v>
      </c>
      <c r="AW154" s="74">
        <f t="shared" si="140"/>
        <v>9.3162775775330983E-2</v>
      </c>
      <c r="AX154" s="74">
        <f t="shared" si="140"/>
        <v>9.595765904859091E-2</v>
      </c>
      <c r="AY154" s="74">
        <f t="shared" si="140"/>
        <v>9.8836388820048637E-2</v>
      </c>
      <c r="AZ154" s="726"/>
      <c r="BA154" s="726"/>
    </row>
    <row r="155" spans="1:53">
      <c r="A155" s="13" t="s">
        <v>757</v>
      </c>
      <c r="B155" s="13" t="s">
        <v>793</v>
      </c>
      <c r="E155" s="277"/>
      <c r="F155" s="278"/>
      <c r="G155" s="278"/>
      <c r="H155" s="327"/>
      <c r="I155" s="327"/>
      <c r="J155" s="327"/>
      <c r="K155" s="327"/>
      <c r="L155" s="327"/>
      <c r="M155" s="327"/>
      <c r="N155" s="224">
        <f t="shared" si="134"/>
        <v>0</v>
      </c>
      <c r="O155" s="518">
        <v>1.4902622060212006E-2</v>
      </c>
      <c r="P155" s="518">
        <v>1.4402534071614287E-2</v>
      </c>
      <c r="Q155" s="518">
        <v>1.550272764652927E-2</v>
      </c>
      <c r="R155" s="518">
        <v>1.4802604462492463E-2</v>
      </c>
      <c r="S155" s="518">
        <v>1.5702762841968358E-2</v>
      </c>
      <c r="T155" s="518">
        <v>1.3602393289857941E-2</v>
      </c>
      <c r="U155" s="518">
        <v>1.4802604462492463E-2</v>
      </c>
      <c r="V155" s="518">
        <v>1.5702762841968358E-2</v>
      </c>
      <c r="W155" s="518">
        <v>1.3633215798159938E-2</v>
      </c>
      <c r="X155" s="518">
        <v>1.6246142998180287E-2</v>
      </c>
      <c r="Y155" s="518">
        <v>1.3521634545069309E-2</v>
      </c>
      <c r="Z155" s="518">
        <v>1.3308221480305514E-2</v>
      </c>
      <c r="AA155" s="211">
        <f t="shared" si="121"/>
        <v>0.17613022649885018</v>
      </c>
      <c r="AB155" s="518">
        <v>1.403961997114745E-2</v>
      </c>
      <c r="AC155" s="518">
        <v>1.3568491784196196E-2</v>
      </c>
      <c r="AD155" s="518">
        <v>1.4604973795488963E-2</v>
      </c>
      <c r="AE155" s="518">
        <v>1.3945394333757202E-2</v>
      </c>
      <c r="AF155" s="518">
        <v>1.4793425070269466E-2</v>
      </c>
      <c r="AG155" s="518">
        <v>1.2814686685074184E-2</v>
      </c>
      <c r="AH155" s="518">
        <v>1.3945394333757202E-2</v>
      </c>
      <c r="AI155" s="518">
        <v>1.4793425070269466E-2</v>
      </c>
      <c r="AJ155" s="518">
        <v>1.2828436118230598E-2</v>
      </c>
      <c r="AK155" s="518">
        <v>1.5306647696206885E-2</v>
      </c>
      <c r="AL155" s="518">
        <v>1.2739694355849207E-2</v>
      </c>
      <c r="AM155" s="518">
        <v>1.3119983739605901E-2</v>
      </c>
      <c r="AN155" s="211">
        <f t="shared" si="122"/>
        <v>0.16650017295385272</v>
      </c>
      <c r="AO155" s="518">
        <v>0.17056493774553796</v>
      </c>
      <c r="AP155" s="518">
        <v>0.17457345022192991</v>
      </c>
      <c r="AQ155" s="74">
        <f t="shared" ref="AQ155:AY155" si="141">AP155*(1+$D$3)</f>
        <v>0.17981065372858782</v>
      </c>
      <c r="AR155" s="74">
        <f t="shared" si="141"/>
        <v>0.18520497334044544</v>
      </c>
      <c r="AS155" s="74">
        <f t="shared" si="141"/>
        <v>0.1907611225406588</v>
      </c>
      <c r="AT155" s="74">
        <f t="shared" si="141"/>
        <v>0.19648395621687856</v>
      </c>
      <c r="AU155" s="74">
        <f t="shared" si="141"/>
        <v>0.20237847490338493</v>
      </c>
      <c r="AV155" s="74">
        <f t="shared" si="141"/>
        <v>0.20844982915048649</v>
      </c>
      <c r="AW155" s="74">
        <f t="shared" si="141"/>
        <v>0.21470332402500109</v>
      </c>
      <c r="AX155" s="74">
        <f t="shared" si="141"/>
        <v>0.22114442374575113</v>
      </c>
      <c r="AY155" s="74">
        <f t="shared" si="141"/>
        <v>0.22777875645812368</v>
      </c>
      <c r="AZ155" s="726"/>
      <c r="BA155" s="726"/>
    </row>
    <row r="156" spans="1:53">
      <c r="A156" s="13" t="s">
        <v>794</v>
      </c>
      <c r="B156" s="13" t="s">
        <v>795</v>
      </c>
      <c r="E156" s="277"/>
      <c r="F156" s="278"/>
      <c r="G156" s="278"/>
      <c r="H156" s="327"/>
      <c r="I156" s="327"/>
      <c r="J156" s="327"/>
      <c r="K156" s="327"/>
      <c r="L156" s="327"/>
      <c r="M156" s="327"/>
      <c r="N156" s="224">
        <f t="shared" si="134"/>
        <v>0</v>
      </c>
      <c r="O156" s="518">
        <v>2.1069584818776396E-2</v>
      </c>
      <c r="P156" s="518">
        <v>2.036255177116645E-2</v>
      </c>
      <c r="Q156" s="518">
        <v>2.1918024475908335E-2</v>
      </c>
      <c r="R156" s="518">
        <v>2.0928178209254408E-2</v>
      </c>
      <c r="S156" s="518">
        <v>2.2200837694952315E-2</v>
      </c>
      <c r="T156" s="518">
        <v>1.9231298894990537E-2</v>
      </c>
      <c r="U156" s="518">
        <v>2.0928178209254408E-2</v>
      </c>
      <c r="V156" s="518">
        <v>2.2200837694952315E-2</v>
      </c>
      <c r="W156" s="518">
        <v>1.9262121403292535E-2</v>
      </c>
      <c r="X156" s="518">
        <v>2.3016595253144385E-2</v>
      </c>
      <c r="Y156" s="518">
        <v>1.9156669341126382E-2</v>
      </c>
      <c r="Z156" s="518">
        <v>1.9111466270274741E-2</v>
      </c>
      <c r="AA156" s="211">
        <f t="shared" si="121"/>
        <v>0.24938634403709323</v>
      </c>
      <c r="AB156" s="518">
        <v>2.0119202134686331E-2</v>
      </c>
      <c r="AC156" s="518">
        <v>1.9444061123455248E-2</v>
      </c>
      <c r="AD156" s="518">
        <v>2.0929371348163632E-2</v>
      </c>
      <c r="AE156" s="518">
        <v>1.9984173932440116E-2</v>
      </c>
      <c r="AF156" s="518">
        <v>2.1199427752656073E-2</v>
      </c>
      <c r="AG156" s="518">
        <v>1.8363835505485513E-2</v>
      </c>
      <c r="AH156" s="518">
        <v>1.9984173932440116E-2</v>
      </c>
      <c r="AI156" s="518">
        <v>2.1199427752656073E-2</v>
      </c>
      <c r="AJ156" s="518">
        <v>1.8377584938641923E-2</v>
      </c>
      <c r="AK156" s="518">
        <v>2.1981184923824417E-2</v>
      </c>
      <c r="AL156" s="518">
        <v>1.8294899253369388E-2</v>
      </c>
      <c r="AM156" s="518">
        <v>1.8841015648992359E-2</v>
      </c>
      <c r="AN156" s="211">
        <f t="shared" si="122"/>
        <v>0.23871835824681115</v>
      </c>
      <c r="AO156" s="518">
        <v>0.24452535853042695</v>
      </c>
      <c r="AP156" s="518">
        <v>0.25032331237803573</v>
      </c>
      <c r="AQ156" s="74">
        <f t="shared" ref="AQ156:AY156" si="142">AP156*(1+$D$3)</f>
        <v>0.25783301174937684</v>
      </c>
      <c r="AR156" s="74">
        <f t="shared" si="142"/>
        <v>0.26556800210185816</v>
      </c>
      <c r="AS156" s="74">
        <f t="shared" si="142"/>
        <v>0.27353504216491392</v>
      </c>
      <c r="AT156" s="74">
        <f t="shared" si="142"/>
        <v>0.28174109342986137</v>
      </c>
      <c r="AU156" s="74">
        <f t="shared" si="142"/>
        <v>0.29019332623275723</v>
      </c>
      <c r="AV156" s="74">
        <f t="shared" si="142"/>
        <v>0.29889912601973995</v>
      </c>
      <c r="AW156" s="74">
        <f t="shared" si="142"/>
        <v>0.30786609980033214</v>
      </c>
      <c r="AX156" s="74">
        <f t="shared" si="142"/>
        <v>0.3171020827943421</v>
      </c>
      <c r="AY156" s="74">
        <f t="shared" si="142"/>
        <v>0.32661514527817237</v>
      </c>
      <c r="AZ156" s="726"/>
      <c r="BA156" s="726"/>
    </row>
    <row r="157" spans="1:53">
      <c r="A157" s="13" t="s">
        <v>796</v>
      </c>
      <c r="B157" s="13" t="s">
        <v>797</v>
      </c>
      <c r="E157" s="277"/>
      <c r="F157" s="278"/>
      <c r="G157" s="278"/>
      <c r="H157" s="327"/>
      <c r="I157" s="327"/>
      <c r="J157" s="327"/>
      <c r="K157" s="327"/>
      <c r="L157" s="327"/>
      <c r="M157" s="327"/>
      <c r="N157" s="224">
        <f t="shared" si="134"/>
        <v>0</v>
      </c>
      <c r="O157" s="518">
        <v>1.1105829249790885E-2</v>
      </c>
      <c r="P157" s="518">
        <v>6.3546269259724007E-3</v>
      </c>
      <c r="Q157" s="518">
        <v>1.3372720383730702E-3</v>
      </c>
      <c r="R157" s="518">
        <v>-3.4244112149728126E-3</v>
      </c>
      <c r="S157" s="518">
        <v>-1.8022470320995345E-3</v>
      </c>
      <c r="T157" s="518">
        <v>4.9127032078628242E-3</v>
      </c>
      <c r="U157" s="518">
        <v>7.0755887850271889E-3</v>
      </c>
      <c r="V157" s="518">
        <v>9.0477529679004621E-3</v>
      </c>
      <c r="W157" s="518">
        <v>-1.7005132578712591E-3</v>
      </c>
      <c r="X157" s="518">
        <v>-5.8091860491547235E-4</v>
      </c>
      <c r="Y157" s="518">
        <v>5.3773720928032695E-3</v>
      </c>
      <c r="Z157" s="518">
        <v>1.6602069767215313E-2</v>
      </c>
      <c r="AA157" s="211">
        <f t="shared" si="121"/>
        <v>5.4305124925086337E-2</v>
      </c>
      <c r="AB157" s="518">
        <v>1.0771747640829938E-2</v>
      </c>
      <c r="AC157" s="518">
        <v>6.0317561092584626E-3</v>
      </c>
      <c r="AD157" s="518">
        <v>9.8973747871570691E-4</v>
      </c>
      <c r="AE157" s="518">
        <v>-3.7562506654843599E-3</v>
      </c>
      <c r="AF157" s="518">
        <v>-2.1542659086557043E-3</v>
      </c>
      <c r="AG157" s="518">
        <v>4.6077696587441029E-3</v>
      </c>
      <c r="AH157" s="518">
        <v>6.7437493345156429E-3</v>
      </c>
      <c r="AI157" s="518">
        <v>8.6957340913442968E-3</v>
      </c>
      <c r="AJ157" s="518">
        <v>-2.0422303412558985E-3</v>
      </c>
      <c r="AK157" s="518">
        <v>-9.4279173334333246E-4</v>
      </c>
      <c r="AL157" s="518">
        <v>5.0761857623105207E-3</v>
      </c>
      <c r="AM157" s="518">
        <v>1.629189279999143E-2</v>
      </c>
      <c r="AN157" s="211">
        <f t="shared" si="122"/>
        <v>5.0313034226970803E-2</v>
      </c>
      <c r="AO157" s="518">
        <v>5.8042503089565767E-2</v>
      </c>
      <c r="AP157" s="518">
        <v>6.5503024545809183E-2</v>
      </c>
      <c r="AQ157" s="74">
        <f t="shared" ref="AQ157:AY157" si="143">AP157*(1+$D$3)</f>
        <v>6.7468115282183466E-2</v>
      </c>
      <c r="AR157" s="74">
        <f t="shared" si="143"/>
        <v>6.9492158740648971E-2</v>
      </c>
      <c r="AS157" s="74">
        <f t="shared" si="143"/>
        <v>7.1576923502868442E-2</v>
      </c>
      <c r="AT157" s="74">
        <f t="shared" si="143"/>
        <v>7.3724231207954502E-2</v>
      </c>
      <c r="AU157" s="74">
        <f t="shared" si="143"/>
        <v>7.5935958144193141E-2</v>
      </c>
      <c r="AV157" s="74">
        <f t="shared" si="143"/>
        <v>7.821403688851894E-2</v>
      </c>
      <c r="AW157" s="74">
        <f t="shared" si="143"/>
        <v>8.0560457995174514E-2</v>
      </c>
      <c r="AX157" s="74">
        <f t="shared" si="143"/>
        <v>8.2977271735029751E-2</v>
      </c>
      <c r="AY157" s="74">
        <f t="shared" si="143"/>
        <v>8.5466589887080641E-2</v>
      </c>
      <c r="AZ157" s="726"/>
      <c r="BA157" s="726"/>
    </row>
    <row r="158" spans="1:53">
      <c r="A158" s="13" t="s">
        <v>798</v>
      </c>
      <c r="B158" s="13" t="s">
        <v>799</v>
      </c>
      <c r="E158" s="277"/>
      <c r="F158" s="278"/>
      <c r="G158" s="278"/>
      <c r="H158" s="327"/>
      <c r="I158" s="327"/>
      <c r="J158" s="327"/>
      <c r="K158" s="327"/>
      <c r="L158" s="327"/>
      <c r="M158" s="327"/>
      <c r="N158" s="224">
        <f t="shared" si="134"/>
        <v>0</v>
      </c>
      <c r="O158" s="518">
        <v>2.6975492651909044E-2</v>
      </c>
      <c r="P158" s="518">
        <v>2.6070274777683901E-2</v>
      </c>
      <c r="Q158" s="518">
        <v>2.8061754100979209E-2</v>
      </c>
      <c r="R158" s="518">
        <v>2.6794449077064013E-2</v>
      </c>
      <c r="S158" s="518">
        <v>2.8423841250669258E-2</v>
      </c>
      <c r="T158" s="518">
        <v>2.4621926178923691E-2</v>
      </c>
      <c r="U158" s="518">
        <v>2.6794449077064013E-2</v>
      </c>
      <c r="V158" s="518">
        <v>2.8423841250669258E-2</v>
      </c>
      <c r="W158" s="518">
        <v>2.4658709713189612E-2</v>
      </c>
      <c r="X158" s="518">
        <v>2.9298382118178645E-2</v>
      </c>
      <c r="Y158" s="518">
        <v>2.438498884370148E-2</v>
      </c>
      <c r="Z158" s="518">
        <v>2.511289895843884E-2</v>
      </c>
      <c r="AA158" s="211">
        <f t="shared" si="121"/>
        <v>0.31962100799847099</v>
      </c>
      <c r="AB158" s="518">
        <v>2.6639661766990359E-2</v>
      </c>
      <c r="AC158" s="518">
        <v>2.5745713385547733E-2</v>
      </c>
      <c r="AD158" s="518">
        <v>2.7712399824721515E-2</v>
      </c>
      <c r="AE158" s="518">
        <v>2.6460872090701835E-2</v>
      </c>
      <c r="AF158" s="518">
        <v>2.806997917729857E-2</v>
      </c>
      <c r="AG158" s="518">
        <v>2.4315395975239525E-2</v>
      </c>
      <c r="AH158" s="518">
        <v>2.6460872090701835E-2</v>
      </c>
      <c r="AI158" s="518">
        <v>2.806997917729857E-2</v>
      </c>
      <c r="AJ158" s="518">
        <v>2.4315395975239525E-2</v>
      </c>
      <c r="AK158" s="518">
        <v>2.893461883250787E-2</v>
      </c>
      <c r="AL158" s="518">
        <v>2.4082229338857484E-2</v>
      </c>
      <c r="AM158" s="518">
        <v>2.4801101856435314E-2</v>
      </c>
      <c r="AN158" s="211">
        <f t="shared" si="122"/>
        <v>0.31560821949154011</v>
      </c>
      <c r="AO158" s="518">
        <v>0.32337138222309486</v>
      </c>
      <c r="AP158" s="518">
        <v>0.33086463336189526</v>
      </c>
      <c r="AQ158" s="74">
        <f t="shared" ref="AQ158:AY159" si="144">AP158*(1+$D$3)</f>
        <v>0.34079057236275212</v>
      </c>
      <c r="AR158" s="74">
        <f t="shared" si="144"/>
        <v>0.35101428953363467</v>
      </c>
      <c r="AS158" s="74">
        <f t="shared" si="144"/>
        <v>0.36154471821964373</v>
      </c>
      <c r="AT158" s="74">
        <f t="shared" si="144"/>
        <v>0.37239105976623305</v>
      </c>
      <c r="AU158" s="74">
        <f t="shared" si="144"/>
        <v>0.38356279155922007</v>
      </c>
      <c r="AV158" s="74">
        <f t="shared" si="144"/>
        <v>0.39506967530599668</v>
      </c>
      <c r="AW158" s="74">
        <f t="shared" si="144"/>
        <v>0.40692176556517662</v>
      </c>
      <c r="AX158" s="74">
        <f t="shared" si="144"/>
        <v>0.41912941853213193</v>
      </c>
      <c r="AY158" s="74">
        <f t="shared" si="144"/>
        <v>0.4317033010880959</v>
      </c>
      <c r="AZ158" s="726"/>
      <c r="BA158" s="726"/>
    </row>
    <row r="159" spans="1:53">
      <c r="A159" s="74">
        <v>568.1</v>
      </c>
      <c r="B159" s="13" t="s">
        <v>711</v>
      </c>
      <c r="E159" s="277"/>
      <c r="F159" s="278"/>
      <c r="G159" s="278"/>
      <c r="H159" s="327"/>
      <c r="I159" s="327"/>
      <c r="J159" s="327"/>
      <c r="K159" s="327"/>
      <c r="L159" s="327"/>
      <c r="M159" s="327"/>
      <c r="N159" s="224">
        <f t="shared" si="134"/>
        <v>0</v>
      </c>
      <c r="O159" s="518">
        <v>-9.1999999999999998E-3</v>
      </c>
      <c r="P159" s="518">
        <v>-9.1999999999999998E-3</v>
      </c>
      <c r="Q159" s="518">
        <v>-9.1999999999999998E-3</v>
      </c>
      <c r="R159" s="518">
        <v>-9.1999999999999998E-3</v>
      </c>
      <c r="S159" s="518">
        <v>-9.1999999999999998E-3</v>
      </c>
      <c r="T159" s="518">
        <v>-9.1999999999999998E-3</v>
      </c>
      <c r="U159" s="518">
        <v>-9.1999999999999998E-3</v>
      </c>
      <c r="V159" s="518">
        <v>-9.1999999999999998E-3</v>
      </c>
      <c r="W159" s="518">
        <v>-9.1999999999999998E-3</v>
      </c>
      <c r="X159" s="518">
        <v>-9.1999999999999998E-3</v>
      </c>
      <c r="Y159" s="518">
        <v>-8.0000000000000002E-3</v>
      </c>
      <c r="Z159" s="518">
        <v>-8.0000000000000002E-3</v>
      </c>
      <c r="AA159" s="211">
        <f t="shared" si="121"/>
        <v>-0.10800000000000001</v>
      </c>
      <c r="AB159" s="518">
        <v>-9.1999999999999998E-3</v>
      </c>
      <c r="AC159" s="518">
        <v>-9.1999999999999998E-3</v>
      </c>
      <c r="AD159" s="518">
        <v>-9.1999999999999998E-3</v>
      </c>
      <c r="AE159" s="518">
        <v>-9.1999999999999998E-3</v>
      </c>
      <c r="AF159" s="518">
        <v>-9.1999999999999998E-3</v>
      </c>
      <c r="AG159" s="518">
        <v>-9.1999999999999998E-3</v>
      </c>
      <c r="AH159" s="518">
        <v>-9.1999999999999998E-3</v>
      </c>
      <c r="AI159" s="518">
        <v>-9.1999999999999998E-3</v>
      </c>
      <c r="AJ159" s="518">
        <v>-9.1999999999999998E-3</v>
      </c>
      <c r="AK159" s="518">
        <v>-9.1999999999999998E-3</v>
      </c>
      <c r="AL159" s="518">
        <v>-8.0000000000000002E-3</v>
      </c>
      <c r="AM159" s="518">
        <v>-8.0000000000000002E-3</v>
      </c>
      <c r="AN159" s="211">
        <f t="shared" si="122"/>
        <v>-0.10800000000000001</v>
      </c>
      <c r="AO159" s="518">
        <v>-0.10800000000000001</v>
      </c>
      <c r="AP159" s="518">
        <v>-0.10800000000000001</v>
      </c>
      <c r="AQ159" s="74">
        <f t="shared" si="144"/>
        <v>-0.11124000000000002</v>
      </c>
      <c r="AR159" s="74">
        <f t="shared" si="144"/>
        <v>-0.11457720000000002</v>
      </c>
      <c r="AS159" s="74">
        <f t="shared" si="144"/>
        <v>-0.11801451600000003</v>
      </c>
      <c r="AT159" s="74">
        <f t="shared" si="144"/>
        <v>-0.12155495148000003</v>
      </c>
      <c r="AU159" s="74">
        <f t="shared" si="144"/>
        <v>-0.12520160002440003</v>
      </c>
      <c r="AV159" s="74">
        <f t="shared" si="144"/>
        <v>-0.12895764802513204</v>
      </c>
      <c r="AW159" s="74">
        <f t="shared" si="144"/>
        <v>-0.13282637746588602</v>
      </c>
      <c r="AX159" s="74">
        <f t="shared" si="144"/>
        <v>-0.1368111687898626</v>
      </c>
      <c r="AY159" s="74">
        <f t="shared" si="144"/>
        <v>-0.14091550385355847</v>
      </c>
      <c r="AZ159" s="726"/>
      <c r="BA159" s="726"/>
    </row>
    <row r="160" spans="1:53">
      <c r="A160" s="13" t="s">
        <v>800</v>
      </c>
      <c r="B160" s="13" t="s">
        <v>801</v>
      </c>
      <c r="E160" s="277"/>
      <c r="F160" s="278"/>
      <c r="G160" s="278"/>
      <c r="H160" s="327"/>
      <c r="I160" s="327"/>
      <c r="J160" s="327"/>
      <c r="K160" s="327"/>
      <c r="L160" s="327"/>
      <c r="M160" s="327"/>
      <c r="N160" s="224">
        <f t="shared" si="134"/>
        <v>0</v>
      </c>
      <c r="O160" s="518">
        <v>0.1166560427734385</v>
      </c>
      <c r="P160" s="518">
        <v>0.112741410465605</v>
      </c>
      <c r="Q160" s="518">
        <v>0.12135360154283871</v>
      </c>
      <c r="R160" s="518">
        <v>0.1158731163118718</v>
      </c>
      <c r="S160" s="518">
        <v>0.12291945446597213</v>
      </c>
      <c r="T160" s="518">
        <v>0.10647799877307139</v>
      </c>
      <c r="U160" s="518">
        <v>0.1158731163118718</v>
      </c>
      <c r="V160" s="518">
        <v>0.12291945446597213</v>
      </c>
      <c r="W160" s="518">
        <v>0.1065324590148041</v>
      </c>
      <c r="X160" s="518">
        <v>0.12793159465891574</v>
      </c>
      <c r="Y160" s="518">
        <v>0.10647722785276215</v>
      </c>
      <c r="Z160" s="518">
        <v>0.10965565256478489</v>
      </c>
      <c r="AA160" s="211">
        <f t="shared" si="121"/>
        <v>1.3854111292019082</v>
      </c>
      <c r="AB160" s="518">
        <v>0.1150611765706193</v>
      </c>
      <c r="AC160" s="518">
        <v>0.11120006326288041</v>
      </c>
      <c r="AD160" s="518">
        <v>0.11969451253990598</v>
      </c>
      <c r="AE160" s="518">
        <v>0.11428895390907154</v>
      </c>
      <c r="AF160" s="518">
        <v>0.12123895786300155</v>
      </c>
      <c r="AG160" s="518">
        <v>0.10502228197049815</v>
      </c>
      <c r="AH160" s="518">
        <v>0.11428895390907154</v>
      </c>
      <c r="AI160" s="518">
        <v>0.12123895786300155</v>
      </c>
      <c r="AJ160" s="518">
        <v>0.10505667827762596</v>
      </c>
      <c r="AK160" s="518">
        <v>0.12615908052561556</v>
      </c>
      <c r="AL160" s="518">
        <v>0.1050019676424378</v>
      </c>
      <c r="AM160" s="518">
        <v>0.1081363547362419</v>
      </c>
      <c r="AN160" s="211">
        <f t="shared" si="122"/>
        <v>1.3663879390699714</v>
      </c>
      <c r="AO160" s="518">
        <v>1.3999352855861877</v>
      </c>
      <c r="AP160" s="518">
        <v>1.4342830065768843</v>
      </c>
      <c r="AQ160" s="74">
        <f t="shared" ref="AQ160:AY160" si="145">AP160*(1+$D$3)</f>
        <v>1.4773114967741909</v>
      </c>
      <c r="AR160" s="74">
        <f t="shared" si="145"/>
        <v>1.5216308416774167</v>
      </c>
      <c r="AS160" s="74">
        <f t="shared" si="145"/>
        <v>1.5672797669277392</v>
      </c>
      <c r="AT160" s="74">
        <f t="shared" si="145"/>
        <v>1.6142981599355715</v>
      </c>
      <c r="AU160" s="74">
        <f t="shared" si="145"/>
        <v>1.6627271047336387</v>
      </c>
      <c r="AV160" s="74">
        <f t="shared" si="145"/>
        <v>1.7126089178756478</v>
      </c>
      <c r="AW160" s="74">
        <f t="shared" si="145"/>
        <v>1.7639871854119173</v>
      </c>
      <c r="AX160" s="74">
        <f t="shared" si="145"/>
        <v>1.8169068009742748</v>
      </c>
      <c r="AY160" s="74">
        <f t="shared" si="145"/>
        <v>1.8714140050035031</v>
      </c>
      <c r="AZ160" s="726"/>
      <c r="BA160" s="726"/>
    </row>
    <row r="161" spans="1:53">
      <c r="A161" s="13" t="s">
        <v>802</v>
      </c>
      <c r="B161" s="13" t="s">
        <v>803</v>
      </c>
      <c r="E161" s="277"/>
      <c r="F161" s="278"/>
      <c r="G161" s="278"/>
      <c r="H161" s="327"/>
      <c r="I161" s="327"/>
      <c r="J161" s="327"/>
      <c r="K161" s="327"/>
      <c r="L161" s="327"/>
      <c r="M161" s="327"/>
      <c r="N161" s="224">
        <f t="shared" si="134"/>
        <v>0</v>
      </c>
      <c r="O161" s="518">
        <v>9.5071673118463138E-2</v>
      </c>
      <c r="P161" s="518">
        <v>9.1881348517172431E-2</v>
      </c>
      <c r="Q161" s="518">
        <v>9.8900062640011985E-2</v>
      </c>
      <c r="R161" s="518">
        <v>9.443360819820501E-2</v>
      </c>
      <c r="S161" s="518">
        <v>0.10017619248052828</v>
      </c>
      <c r="T161" s="518">
        <v>8.6776829155107302E-2</v>
      </c>
      <c r="U161" s="518">
        <v>9.443360819820501E-2</v>
      </c>
      <c r="V161" s="518">
        <v>0.10017619248052828</v>
      </c>
      <c r="W161" s="518">
        <v>8.6831289396840011E-2</v>
      </c>
      <c r="X161" s="518">
        <v>0.10423501176654139</v>
      </c>
      <c r="Y161" s="518">
        <v>8.6754606066562392E-2</v>
      </c>
      <c r="Z161" s="518">
        <v>8.9344295799892601E-2</v>
      </c>
      <c r="AA161" s="211">
        <f t="shared" si="121"/>
        <v>1.1290147178180578</v>
      </c>
      <c r="AB161" s="518">
        <v>9.3782638998233234E-2</v>
      </c>
      <c r="AC161" s="518">
        <v>9.0635570575473723E-2</v>
      </c>
      <c r="AD161" s="518">
        <v>9.7559121105544627E-2</v>
      </c>
      <c r="AE161" s="518">
        <v>9.3153225313681323E-2</v>
      </c>
      <c r="AF161" s="518">
        <v>9.8817948474648434E-2</v>
      </c>
      <c r="AG161" s="518">
        <v>8.5600261099058508E-2</v>
      </c>
      <c r="AH161" s="518">
        <v>9.3153225313681323E-2</v>
      </c>
      <c r="AI161" s="518">
        <v>9.8817948474648434E-2</v>
      </c>
      <c r="AJ161" s="518">
        <v>8.563465740618631E-2</v>
      </c>
      <c r="AK161" s="518">
        <v>0.1027982002289542</v>
      </c>
      <c r="AL161" s="518">
        <v>8.5558750501117165E-2</v>
      </c>
      <c r="AM161" s="518">
        <v>8.8112743053389314E-2</v>
      </c>
      <c r="AN161" s="211">
        <f t="shared" si="122"/>
        <v>1.1136242905446165</v>
      </c>
      <c r="AO161" s="518">
        <v>1.1410738128390767</v>
      </c>
      <c r="AP161" s="518">
        <v>1.1691584890305138</v>
      </c>
      <c r="AQ161" s="74">
        <f t="shared" ref="AQ161:AY161" si="146">AP161*(1+$D$3)</f>
        <v>1.2042332437014291</v>
      </c>
      <c r="AR161" s="74">
        <f t="shared" si="146"/>
        <v>1.2403602410124721</v>
      </c>
      <c r="AS161" s="74">
        <f t="shared" si="146"/>
        <v>1.2775710482428464</v>
      </c>
      <c r="AT161" s="74">
        <f t="shared" si="146"/>
        <v>1.3158981796901319</v>
      </c>
      <c r="AU161" s="74">
        <f t="shared" si="146"/>
        <v>1.3553751250808359</v>
      </c>
      <c r="AV161" s="74">
        <f t="shared" si="146"/>
        <v>1.396036378833261</v>
      </c>
      <c r="AW161" s="74">
        <f t="shared" si="146"/>
        <v>1.4379174701982589</v>
      </c>
      <c r="AX161" s="74">
        <f t="shared" si="146"/>
        <v>1.4810549943042066</v>
      </c>
      <c r="AY161" s="74">
        <f t="shared" si="146"/>
        <v>1.5254866441333328</v>
      </c>
      <c r="AZ161" s="726"/>
      <c r="BA161" s="726"/>
    </row>
    <row r="162" spans="1:53">
      <c r="A162" s="13" t="s">
        <v>804</v>
      </c>
      <c r="B162" s="13" t="s">
        <v>805</v>
      </c>
      <c r="E162" s="277"/>
      <c r="F162" s="278"/>
      <c r="G162" s="278"/>
      <c r="H162" s="327"/>
      <c r="I162" s="327"/>
      <c r="J162" s="327"/>
      <c r="K162" s="327"/>
      <c r="L162" s="327"/>
      <c r="M162" s="327"/>
      <c r="N162" s="224">
        <f t="shared" si="134"/>
        <v>0</v>
      </c>
      <c r="O162" s="518">
        <v>9.2504441378465814E-3</v>
      </c>
      <c r="P162" s="518">
        <v>8.9400265493282428E-3</v>
      </c>
      <c r="Q162" s="518">
        <v>9.6229452440685943E-3</v>
      </c>
      <c r="R162" s="518">
        <v>9.1883606201429158E-3</v>
      </c>
      <c r="S162" s="518">
        <v>9.7471122794759307E-3</v>
      </c>
      <c r="T162" s="518">
        <v>8.4433584076988935E-3</v>
      </c>
      <c r="U162" s="518">
        <v>9.1883606201429158E-3</v>
      </c>
      <c r="V162" s="518">
        <v>9.7471122794759307E-3</v>
      </c>
      <c r="W162" s="518">
        <v>8.4433584076988935E-3</v>
      </c>
      <c r="X162" s="518">
        <v>1.0155678382446147E-2</v>
      </c>
      <c r="Y162" s="518">
        <v>8.4525521940856125E-3</v>
      </c>
      <c r="Z162" s="518">
        <v>8.7048671849538403E-3</v>
      </c>
      <c r="AA162" s="211">
        <f t="shared" si="121"/>
        <v>0.10988417630736448</v>
      </c>
      <c r="AB162" s="518">
        <v>9.1193732453083189E-3</v>
      </c>
      <c r="AC162" s="518">
        <v>8.8133540088885763E-3</v>
      </c>
      <c r="AD162" s="518">
        <v>9.4865963290120103E-3</v>
      </c>
      <c r="AE162" s="518">
        <v>9.0581693980243683E-3</v>
      </c>
      <c r="AF162" s="518">
        <v>9.609004023579908E-3</v>
      </c>
      <c r="AG162" s="518">
        <v>8.3237232306169907E-3</v>
      </c>
      <c r="AH162" s="518">
        <v>9.0581693980243683E-3</v>
      </c>
      <c r="AI162" s="518">
        <v>9.609004023579908E-3</v>
      </c>
      <c r="AJ162" s="518">
        <v>8.3237232306169907E-3</v>
      </c>
      <c r="AK162" s="518">
        <v>1.0011805841426299E-2</v>
      </c>
      <c r="AL162" s="518">
        <v>8.3328073462802747E-3</v>
      </c>
      <c r="AM162" s="518">
        <v>8.5815478640796847E-3</v>
      </c>
      <c r="AN162" s="211">
        <f t="shared" si="122"/>
        <v>0.10832727793943769</v>
      </c>
      <c r="AO162" s="518">
        <v>0.11094063117733344</v>
      </c>
      <c r="AP162" s="518">
        <v>0.11362479323415875</v>
      </c>
      <c r="AQ162" s="74">
        <f t="shared" ref="AQ162:AY162" si="147">AP162*(1+$D$3)</f>
        <v>0.11703353703118352</v>
      </c>
      <c r="AR162" s="74">
        <f t="shared" si="147"/>
        <v>0.12054454314211903</v>
      </c>
      <c r="AS162" s="74">
        <f t="shared" si="147"/>
        <v>0.1241608794363826</v>
      </c>
      <c r="AT162" s="74">
        <f t="shared" si="147"/>
        <v>0.12788570581947409</v>
      </c>
      <c r="AU162" s="74">
        <f t="shared" si="147"/>
        <v>0.13172227699405831</v>
      </c>
      <c r="AV162" s="74">
        <f t="shared" si="147"/>
        <v>0.13567394530388005</v>
      </c>
      <c r="AW162" s="74">
        <f t="shared" si="147"/>
        <v>0.13974416366299647</v>
      </c>
      <c r="AX162" s="74">
        <f t="shared" si="147"/>
        <v>0.14393648857288638</v>
      </c>
      <c r="AY162" s="74">
        <f t="shared" si="147"/>
        <v>0.14825458323007298</v>
      </c>
      <c r="AZ162" s="726"/>
      <c r="BA162" s="726"/>
    </row>
    <row r="163" spans="1:53">
      <c r="A163" s="13" t="s">
        <v>806</v>
      </c>
      <c r="B163" s="13" t="s">
        <v>807</v>
      </c>
      <c r="E163" s="277"/>
      <c r="F163" s="278"/>
      <c r="G163" s="278"/>
      <c r="H163" s="327"/>
      <c r="I163" s="327"/>
      <c r="J163" s="327"/>
      <c r="K163" s="327"/>
      <c r="L163" s="327"/>
      <c r="M163" s="327"/>
      <c r="N163" s="224">
        <f t="shared" si="134"/>
        <v>0</v>
      </c>
      <c r="O163" s="518">
        <v>1.2333925517128778E-2</v>
      </c>
      <c r="P163" s="518">
        <v>1.1920035399104321E-2</v>
      </c>
      <c r="Q163" s="518">
        <v>1.2830593658758127E-2</v>
      </c>
      <c r="R163" s="518">
        <v>1.2251147493523889E-2</v>
      </c>
      <c r="S163" s="518">
        <v>1.2996149705967909E-2</v>
      </c>
      <c r="T163" s="518">
        <v>1.1257811210265194E-2</v>
      </c>
      <c r="U163" s="518">
        <v>1.2251147493523889E-2</v>
      </c>
      <c r="V163" s="518">
        <v>1.2996149705967909E-2</v>
      </c>
      <c r="W163" s="518">
        <v>1.1257811210265194E-2</v>
      </c>
      <c r="X163" s="518">
        <v>1.3540904509928196E-2</v>
      </c>
      <c r="Y163" s="518">
        <v>1.127006959211415E-2</v>
      </c>
      <c r="Z163" s="518">
        <v>1.1606489579938453E-2</v>
      </c>
      <c r="AA163" s="211">
        <f t="shared" si="121"/>
        <v>0.14651223507648603</v>
      </c>
      <c r="AB163" s="518">
        <v>1.2159164327077759E-2</v>
      </c>
      <c r="AC163" s="518">
        <v>1.1751138678518104E-2</v>
      </c>
      <c r="AD163" s="518">
        <v>1.2648795105349346E-2</v>
      </c>
      <c r="AE163" s="518">
        <v>1.2077559197365828E-2</v>
      </c>
      <c r="AF163" s="518">
        <v>1.2812005364773211E-2</v>
      </c>
      <c r="AG163" s="518">
        <v>1.1098297640822652E-2</v>
      </c>
      <c r="AH163" s="518">
        <v>1.2077559197365828E-2</v>
      </c>
      <c r="AI163" s="518">
        <v>1.2812005364773211E-2</v>
      </c>
      <c r="AJ163" s="518">
        <v>1.1098297640822652E-2</v>
      </c>
      <c r="AK163" s="518">
        <v>1.3349074455235066E-2</v>
      </c>
      <c r="AL163" s="518">
        <v>1.1110409795040365E-2</v>
      </c>
      <c r="AM163" s="518">
        <v>1.1442063818772913E-2</v>
      </c>
      <c r="AN163" s="211">
        <f t="shared" si="122"/>
        <v>0.14443637058591693</v>
      </c>
      <c r="AO163" s="518">
        <v>0.14792084156977792</v>
      </c>
      <c r="AP163" s="518">
        <v>0.15149972431221168</v>
      </c>
      <c r="AQ163" s="74">
        <f t="shared" ref="AQ163:AY163" si="148">AP163*(1+$D$3)</f>
        <v>0.15604471604157802</v>
      </c>
      <c r="AR163" s="74">
        <f t="shared" si="148"/>
        <v>0.16072605752282537</v>
      </c>
      <c r="AS163" s="74">
        <f t="shared" si="148"/>
        <v>0.16554783924851013</v>
      </c>
      <c r="AT163" s="74">
        <f t="shared" si="148"/>
        <v>0.17051427442596545</v>
      </c>
      <c r="AU163" s="74">
        <f t="shared" si="148"/>
        <v>0.17562970265874442</v>
      </c>
      <c r="AV163" s="74">
        <f t="shared" si="148"/>
        <v>0.18089859373850675</v>
      </c>
      <c r="AW163" s="74">
        <f t="shared" si="148"/>
        <v>0.18632555155066197</v>
      </c>
      <c r="AX163" s="74">
        <f t="shared" si="148"/>
        <v>0.19191531809718182</v>
      </c>
      <c r="AY163" s="74">
        <f t="shared" si="148"/>
        <v>0.19767277764009727</v>
      </c>
      <c r="AZ163" s="726"/>
      <c r="BA163" s="726"/>
    </row>
    <row r="164" spans="1:53">
      <c r="A164" s="13" t="s">
        <v>808</v>
      </c>
      <c r="B164" s="13" t="s">
        <v>809</v>
      </c>
      <c r="E164" s="277"/>
      <c r="F164" s="278"/>
      <c r="G164" s="278"/>
      <c r="H164" s="327"/>
      <c r="I164" s="327"/>
      <c r="J164" s="327"/>
      <c r="K164" s="327"/>
      <c r="L164" s="327"/>
      <c r="M164" s="327"/>
      <c r="N164" s="224">
        <f t="shared" si="134"/>
        <v>0</v>
      </c>
      <c r="O164" s="518">
        <v>1.6531538533001579E-2</v>
      </c>
      <c r="P164" s="518">
        <v>1.5976788917800182E-2</v>
      </c>
      <c r="Q164" s="518">
        <v>1.7197238071243258E-2</v>
      </c>
      <c r="R164" s="518">
        <v>1.64205886099613E-2</v>
      </c>
      <c r="S164" s="518">
        <v>1.7419137917323812E-2</v>
      </c>
      <c r="T164" s="518">
        <v>1.5089189533477952E-2</v>
      </c>
      <c r="U164" s="518">
        <v>1.64205886099613E-2</v>
      </c>
      <c r="V164" s="518">
        <v>1.7419137917323812E-2</v>
      </c>
      <c r="W164" s="518">
        <v>1.5090475337485233E-2</v>
      </c>
      <c r="X164" s="518">
        <v>1.7866839550062869E-2</v>
      </c>
      <c r="Y164" s="518">
        <v>1.4870537265269719E-2</v>
      </c>
      <c r="Z164" s="518">
        <v>1.531443390005389E-2</v>
      </c>
      <c r="AA164" s="211">
        <f t="shared" si="121"/>
        <v>0.19561649416296489</v>
      </c>
      <c r="AB164" s="518">
        <v>1.6284889504467888E-2</v>
      </c>
      <c r="AC164" s="518">
        <v>1.5738416702304532E-2</v>
      </c>
      <c r="AD164" s="518">
        <v>1.6940656867063909E-2</v>
      </c>
      <c r="AE164" s="518">
        <v>1.6175594944035216E-2</v>
      </c>
      <c r="AF164" s="518">
        <v>1.7159245987929249E-2</v>
      </c>
      <c r="AG164" s="518">
        <v>1.4864060218843171E-2</v>
      </c>
      <c r="AH164" s="518">
        <v>1.6175594944035216E-2</v>
      </c>
      <c r="AI164" s="518">
        <v>1.7159245987929249E-2</v>
      </c>
      <c r="AJ164" s="518">
        <v>1.4864060218843171E-2</v>
      </c>
      <c r="AK164" s="518">
        <v>1.7598852438646465E-2</v>
      </c>
      <c r="AL164" s="518">
        <v>1.4647492091792709E-2</v>
      </c>
      <c r="AM164" s="518">
        <v>1.5084730661696967E-2</v>
      </c>
      <c r="AN164" s="211">
        <f t="shared" si="122"/>
        <v>0.1926928405675877</v>
      </c>
      <c r="AO164" s="518">
        <v>0.19737293953064419</v>
      </c>
      <c r="AP164" s="518">
        <v>0.20190686286730755</v>
      </c>
      <c r="AQ164" s="74">
        <f t="shared" ref="AQ164:AY164" si="149">AP164*(1+$D$3)</f>
        <v>0.20796406875332679</v>
      </c>
      <c r="AR164" s="74">
        <f t="shared" si="149"/>
        <v>0.21420299081592661</v>
      </c>
      <c r="AS164" s="74">
        <f t="shared" si="149"/>
        <v>0.22062908054040442</v>
      </c>
      <c r="AT164" s="74">
        <f t="shared" si="149"/>
        <v>0.22724795295661657</v>
      </c>
      <c r="AU164" s="74">
        <f t="shared" si="149"/>
        <v>0.23406539154531508</v>
      </c>
      <c r="AV164" s="74">
        <f t="shared" si="149"/>
        <v>0.24108735329167455</v>
      </c>
      <c r="AW164" s="74">
        <f t="shared" si="149"/>
        <v>0.24831997389042479</v>
      </c>
      <c r="AX164" s="74">
        <f t="shared" si="149"/>
        <v>0.25576957310713755</v>
      </c>
      <c r="AY164" s="74">
        <f t="shared" si="149"/>
        <v>0.26344266030035168</v>
      </c>
      <c r="AZ164" s="726"/>
      <c r="BA164" s="726"/>
    </row>
    <row r="165" spans="1:53">
      <c r="A165" s="13" t="s">
        <v>810</v>
      </c>
      <c r="B165" s="13" t="s">
        <v>811</v>
      </c>
      <c r="E165" s="277"/>
      <c r="F165" s="278"/>
      <c r="G165" s="278"/>
      <c r="H165" s="327"/>
      <c r="I165" s="327"/>
      <c r="J165" s="327"/>
      <c r="K165" s="327"/>
      <c r="L165" s="327"/>
      <c r="M165" s="327"/>
      <c r="N165" s="224">
        <f t="shared" si="134"/>
        <v>0</v>
      </c>
      <c r="O165" s="518">
        <v>1.2157867828020203</v>
      </c>
      <c r="P165" s="518">
        <v>1.1737800451241003</v>
      </c>
      <c r="Q165" s="518">
        <v>1.2661948680155246</v>
      </c>
      <c r="R165" s="518">
        <v>1.2073854352664364</v>
      </c>
      <c r="S165" s="518">
        <v>1.2829975630866925</v>
      </c>
      <c r="T165" s="518">
        <v>1.1065692648394281</v>
      </c>
      <c r="U165" s="518">
        <v>1.2073854352664364</v>
      </c>
      <c r="V165" s="518">
        <v>1.2829975630866925</v>
      </c>
      <c r="W165" s="518">
        <v>1.1082426551316609</v>
      </c>
      <c r="X165" s="518">
        <v>1.3194972900368998</v>
      </c>
      <c r="Y165" s="518">
        <v>1.092175520900277</v>
      </c>
      <c r="Z165" s="518">
        <v>1.0766656111086459</v>
      </c>
      <c r="AA165" s="211">
        <f t="shared" si="121"/>
        <v>14.339678034664816</v>
      </c>
      <c r="AB165" s="518">
        <v>1.148537578263553</v>
      </c>
      <c r="AC165" s="518">
        <v>1.1087592031540376</v>
      </c>
      <c r="AD165" s="518">
        <v>1.1962716283949708</v>
      </c>
      <c r="AE165" s="518">
        <v>1.1405819032416498</v>
      </c>
      <c r="AF165" s="518">
        <v>1.2121829784387774</v>
      </c>
      <c r="AG165" s="518">
        <v>1.0451138029788132</v>
      </c>
      <c r="AH165" s="518">
        <v>1.1405819032416498</v>
      </c>
      <c r="AI165" s="518">
        <v>1.2121829784387774</v>
      </c>
      <c r="AJ165" s="518">
        <v>1.0461585576736301</v>
      </c>
      <c r="AK165" s="518">
        <v>1.2580277259571448</v>
      </c>
      <c r="AL165" s="518">
        <v>1.0408729768835865</v>
      </c>
      <c r="AM165" s="518">
        <v>1.0730440508204098</v>
      </c>
      <c r="AN165" s="211">
        <f t="shared" si="122"/>
        <v>13.622315287487</v>
      </c>
      <c r="AO165" s="518">
        <v>14.069524273470325</v>
      </c>
      <c r="AP165" s="518">
        <v>14.400943815414019</v>
      </c>
      <c r="AQ165" s="74">
        <f t="shared" ref="AQ165:AY165" si="150">AP165*(1+$D$3)</f>
        <v>14.83297212987644</v>
      </c>
      <c r="AR165" s="74">
        <f t="shared" si="150"/>
        <v>15.277961293772734</v>
      </c>
      <c r="AS165" s="74">
        <f t="shared" si="150"/>
        <v>15.736300132585916</v>
      </c>
      <c r="AT165" s="74">
        <f t="shared" si="150"/>
        <v>16.208389136563493</v>
      </c>
      <c r="AU165" s="74">
        <f t="shared" si="150"/>
        <v>16.694640810660399</v>
      </c>
      <c r="AV165" s="74">
        <f t="shared" si="150"/>
        <v>17.195480034980211</v>
      </c>
      <c r="AW165" s="74">
        <f t="shared" si="150"/>
        <v>17.711344436029616</v>
      </c>
      <c r="AX165" s="74">
        <f t="shared" si="150"/>
        <v>18.242684769110504</v>
      </c>
      <c r="AY165" s="74">
        <f t="shared" si="150"/>
        <v>18.789965312183821</v>
      </c>
      <c r="AZ165" s="726"/>
      <c r="BA165" s="726"/>
    </row>
    <row r="166" spans="1:53">
      <c r="A166" s="480" t="s">
        <v>115</v>
      </c>
      <c r="B166" s="481" t="s">
        <v>538</v>
      </c>
      <c r="E166" s="277"/>
      <c r="F166" s="278"/>
      <c r="G166" s="278"/>
      <c r="H166" s="327"/>
      <c r="I166" s="327"/>
      <c r="J166" s="327"/>
      <c r="K166" s="327"/>
      <c r="L166" s="327"/>
      <c r="M166" s="327"/>
      <c r="N166" s="224">
        <f t="shared" si="134"/>
        <v>0</v>
      </c>
      <c r="O166" s="518">
        <v>2.5000000000000001E-2</v>
      </c>
      <c r="P166" s="518">
        <v>2.5000000000000001E-2</v>
      </c>
      <c r="Q166" s="518">
        <v>2.955E-2</v>
      </c>
      <c r="R166" s="518">
        <v>2.5000000000000001E-2</v>
      </c>
      <c r="S166" s="518">
        <v>2.5000000000000001E-2</v>
      </c>
      <c r="T166" s="518">
        <v>2.5000000000000001E-2</v>
      </c>
      <c r="U166" s="518">
        <v>2.5000000000000001E-2</v>
      </c>
      <c r="V166" s="518">
        <v>2.5000000000000001E-2</v>
      </c>
      <c r="W166" s="518">
        <v>2.5000000000000001E-2</v>
      </c>
      <c r="X166" s="518">
        <v>2.5000000000000001E-2</v>
      </c>
      <c r="Y166" s="518">
        <v>2.5000000000000001E-2</v>
      </c>
      <c r="Z166" s="518">
        <v>2.5000000000000001E-2</v>
      </c>
      <c r="AA166" s="211">
        <f t="shared" si="121"/>
        <v>0.30455000000000004</v>
      </c>
      <c r="AB166" s="518">
        <v>2.5000000000000001E-2</v>
      </c>
      <c r="AC166" s="518">
        <v>2.5000000000000001E-2</v>
      </c>
      <c r="AD166" s="518">
        <v>2.955E-2</v>
      </c>
      <c r="AE166" s="518">
        <v>2.5000000000000001E-2</v>
      </c>
      <c r="AF166" s="518">
        <v>2.5000000000000001E-2</v>
      </c>
      <c r="AG166" s="518">
        <v>2.5000000000000001E-2</v>
      </c>
      <c r="AH166" s="518">
        <v>2.5000000000000001E-2</v>
      </c>
      <c r="AI166" s="518">
        <v>2.5000000000000001E-2</v>
      </c>
      <c r="AJ166" s="518">
        <v>2.5000000000000001E-2</v>
      </c>
      <c r="AK166" s="518">
        <v>2.5000000000000001E-2</v>
      </c>
      <c r="AL166" s="518">
        <v>2.5000000000000001E-2</v>
      </c>
      <c r="AM166" s="518">
        <v>2.5000000000000001E-2</v>
      </c>
      <c r="AN166" s="211">
        <f t="shared" si="122"/>
        <v>0.30455000000000004</v>
      </c>
      <c r="AO166" s="518">
        <v>0.30455000000000004</v>
      </c>
      <c r="AP166" s="518">
        <v>0.30455000000000004</v>
      </c>
      <c r="AQ166" s="74">
        <f t="shared" ref="AQ166:AY166" si="151">AP166*(1+$D$3)</f>
        <v>0.31368650000000003</v>
      </c>
      <c r="AR166" s="74">
        <f t="shared" si="151"/>
        <v>0.32309709500000006</v>
      </c>
      <c r="AS166" s="74">
        <f t="shared" si="151"/>
        <v>0.33279000785000007</v>
      </c>
      <c r="AT166" s="74">
        <f t="shared" si="151"/>
        <v>0.34277370808550006</v>
      </c>
      <c r="AU166" s="74">
        <f t="shared" si="151"/>
        <v>0.3530569193280651</v>
      </c>
      <c r="AV166" s="74">
        <f t="shared" si="151"/>
        <v>0.36364862690790706</v>
      </c>
      <c r="AW166" s="74">
        <f t="shared" si="151"/>
        <v>0.37455808571514426</v>
      </c>
      <c r="AX166" s="74">
        <f t="shared" si="151"/>
        <v>0.38579482828659861</v>
      </c>
      <c r="AY166" s="74">
        <f t="shared" si="151"/>
        <v>0.39736867313519658</v>
      </c>
      <c r="AZ166" s="726"/>
      <c r="BA166" s="726"/>
    </row>
    <row r="167" spans="1:53">
      <c r="A167" s="541" t="s">
        <v>812</v>
      </c>
      <c r="B167" s="13" t="s">
        <v>968</v>
      </c>
      <c r="E167" s="277"/>
      <c r="F167" s="278"/>
      <c r="G167" s="278"/>
      <c r="H167" s="326"/>
      <c r="I167" s="326"/>
      <c r="J167" s="326"/>
      <c r="K167" s="326"/>
      <c r="L167" s="326"/>
      <c r="M167" s="326"/>
      <c r="N167" s="224"/>
      <c r="O167" s="518">
        <v>9.2504441378465814E-3</v>
      </c>
      <c r="P167" s="518">
        <v>8.9400265493282428E-3</v>
      </c>
      <c r="Q167" s="518">
        <v>9.6229452440685943E-3</v>
      </c>
      <c r="R167" s="518">
        <v>9.1883606201429158E-3</v>
      </c>
      <c r="S167" s="518">
        <v>9.7471122794759307E-3</v>
      </c>
      <c r="T167" s="518">
        <v>8.4433584076988935E-3</v>
      </c>
      <c r="U167" s="518">
        <v>9.1883606201429158E-3</v>
      </c>
      <c r="V167" s="518">
        <v>9.7471122794759307E-3</v>
      </c>
      <c r="W167" s="518">
        <v>8.4433584076988935E-3</v>
      </c>
      <c r="X167" s="518">
        <v>1.0155678382446147E-2</v>
      </c>
      <c r="Y167" s="518">
        <v>8.4525521940856125E-3</v>
      </c>
      <c r="Z167" s="518">
        <v>8.7048671849538403E-3</v>
      </c>
      <c r="AA167" s="211">
        <f t="shared" si="121"/>
        <v>0.10988417630736448</v>
      </c>
      <c r="AB167" s="518">
        <v>9.1193732453083189E-3</v>
      </c>
      <c r="AC167" s="518">
        <v>8.8133540088885763E-3</v>
      </c>
      <c r="AD167" s="518">
        <v>9.4865963290120103E-3</v>
      </c>
      <c r="AE167" s="518">
        <v>9.0581693980243683E-3</v>
      </c>
      <c r="AF167" s="518">
        <v>9.609004023579908E-3</v>
      </c>
      <c r="AG167" s="518">
        <v>8.3237232306169907E-3</v>
      </c>
      <c r="AH167" s="518">
        <v>9.0581693980243683E-3</v>
      </c>
      <c r="AI167" s="518">
        <v>9.609004023579908E-3</v>
      </c>
      <c r="AJ167" s="518">
        <v>8.3237232306169907E-3</v>
      </c>
      <c r="AK167" s="518">
        <v>1.0011805841426299E-2</v>
      </c>
      <c r="AL167" s="518">
        <v>8.3328073462802747E-3</v>
      </c>
      <c r="AM167" s="518">
        <v>8.5815478640796847E-3</v>
      </c>
      <c r="AN167" s="211">
        <f t="shared" si="122"/>
        <v>0.10832727793943769</v>
      </c>
      <c r="AO167" s="518">
        <v>0.11094063117733344</v>
      </c>
      <c r="AP167" s="518">
        <v>0.11362479323415875</v>
      </c>
      <c r="AQ167" s="74">
        <f t="shared" ref="AQ167:AY167" si="152">AP167*(1+$D$3)</f>
        <v>0.11703353703118352</v>
      </c>
      <c r="AR167" s="74">
        <f t="shared" si="152"/>
        <v>0.12054454314211903</v>
      </c>
      <c r="AS167" s="74">
        <f t="shared" si="152"/>
        <v>0.1241608794363826</v>
      </c>
      <c r="AT167" s="74">
        <f t="shared" si="152"/>
        <v>0.12788570581947409</v>
      </c>
      <c r="AU167" s="74">
        <f t="shared" si="152"/>
        <v>0.13172227699405831</v>
      </c>
      <c r="AV167" s="74">
        <f t="shared" si="152"/>
        <v>0.13567394530388005</v>
      </c>
      <c r="AW167" s="74">
        <f t="shared" si="152"/>
        <v>0.13974416366299647</v>
      </c>
      <c r="AX167" s="74">
        <f t="shared" si="152"/>
        <v>0.14393648857288638</v>
      </c>
      <c r="AY167" s="74">
        <f t="shared" si="152"/>
        <v>0.14825458323007298</v>
      </c>
      <c r="AZ167" s="726"/>
      <c r="BA167" s="726"/>
    </row>
    <row r="168" spans="1:53">
      <c r="E168" s="277"/>
      <c r="F168" s="273"/>
      <c r="G168" s="273"/>
      <c r="H168" s="273"/>
      <c r="I168" s="273"/>
      <c r="J168" s="273"/>
      <c r="K168" s="273"/>
      <c r="L168" s="273"/>
      <c r="M168" s="273"/>
      <c r="N168" s="22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211">
        <f>SUM(O168:Z168)</f>
        <v>0</v>
      </c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211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26"/>
      <c r="BA168" s="726"/>
    </row>
    <row r="169" spans="1:53">
      <c r="E169" s="277"/>
      <c r="F169" s="279"/>
      <c r="G169" s="279"/>
      <c r="H169" s="279"/>
      <c r="I169" s="279"/>
      <c r="J169" s="279"/>
      <c r="K169" s="279"/>
      <c r="L169" s="279"/>
      <c r="M169" s="279"/>
      <c r="N169" s="280">
        <f>SUM(E169:M169)</f>
        <v>0</v>
      </c>
      <c r="O169" s="583">
        <f t="shared" ref="O169:Z169" si="153">SUM(O137:O168)</f>
        <v>5.8821664536908784</v>
      </c>
      <c r="P169" s="583">
        <f t="shared" si="153"/>
        <v>5.6745654653119866</v>
      </c>
      <c r="Q169" s="583">
        <f t="shared" si="153"/>
        <v>6.0975537499509196</v>
      </c>
      <c r="R169" s="583">
        <f t="shared" si="153"/>
        <v>5.8501441635037246</v>
      </c>
      <c r="S169" s="583">
        <f t="shared" si="153"/>
        <v>6.2890554547176469</v>
      </c>
      <c r="T169" s="583">
        <f t="shared" si="153"/>
        <v>5.3220411965010825</v>
      </c>
      <c r="U169" s="583">
        <f t="shared" si="153"/>
        <v>5.8045103903099999</v>
      </c>
      <c r="V169" s="583">
        <f t="shared" si="153"/>
        <v>6.1668622856666921</v>
      </c>
      <c r="W169" s="583">
        <f t="shared" si="153"/>
        <v>5.3703515341272521</v>
      </c>
      <c r="X169" s="583">
        <f t="shared" si="153"/>
        <v>6.3882480159337414</v>
      </c>
      <c r="Y169" s="583">
        <f t="shared" si="153"/>
        <v>5.3058175723550818</v>
      </c>
      <c r="Z169" s="583">
        <f t="shared" si="153"/>
        <v>4.6463278151654608</v>
      </c>
      <c r="AA169" s="584">
        <f>SUM(O169:Z169)</f>
        <v>68.797644097234468</v>
      </c>
      <c r="AB169" s="583">
        <f t="shared" ref="AB169:AM169" si="154">SUM(AB137:AB168)</f>
        <v>4.9076926389229074</v>
      </c>
      <c r="AC169" s="583">
        <f t="shared" si="154"/>
        <v>4.7332240268785144</v>
      </c>
      <c r="AD169" s="583">
        <f t="shared" si="154"/>
        <v>5.2551921943082345</v>
      </c>
      <c r="AE169" s="583">
        <f t="shared" si="154"/>
        <v>4.9520013337321567</v>
      </c>
      <c r="AF169" s="583">
        <f t="shared" si="154"/>
        <v>5.2467890829575312</v>
      </c>
      <c r="AG169" s="583">
        <f t="shared" si="154"/>
        <v>4.4335664587499375</v>
      </c>
      <c r="AH169" s="583">
        <f t="shared" si="154"/>
        <v>4.8365051462866964</v>
      </c>
      <c r="AI169" s="583">
        <f t="shared" si="154"/>
        <v>5.1392091619392666</v>
      </c>
      <c r="AJ169" s="583">
        <f t="shared" si="154"/>
        <v>4.4701040487318382</v>
      </c>
      <c r="AK169" s="583">
        <f t="shared" si="154"/>
        <v>5.3323649578428061</v>
      </c>
      <c r="AL169" s="583">
        <f t="shared" si="154"/>
        <v>4.4318693189499152</v>
      </c>
      <c r="AM169" s="583">
        <f t="shared" si="154"/>
        <v>4.5980875039322839</v>
      </c>
      <c r="AN169" s="584">
        <f>SUM(AB169:AM169)</f>
        <v>58.336605873232081</v>
      </c>
      <c r="AO169" s="583">
        <f t="shared" ref="AO169:AY169" si="155">SUM(AO137:AO168)</f>
        <v>59.792637739832884</v>
      </c>
      <c r="AP169" s="583">
        <f t="shared" si="155"/>
        <v>61.293324036371104</v>
      </c>
      <c r="AQ169" s="583">
        <f t="shared" si="155"/>
        <v>63.132123757462239</v>
      </c>
      <c r="AR169" s="583">
        <f t="shared" si="155"/>
        <v>65.026087470186098</v>
      </c>
      <c r="AS169" s="583">
        <f t="shared" si="155"/>
        <v>66.976870094291684</v>
      </c>
      <c r="AT169" s="583">
        <f t="shared" si="155"/>
        <v>68.986176197120443</v>
      </c>
      <c r="AU169" s="583">
        <f t="shared" si="155"/>
        <v>71.055761483034075</v>
      </c>
      <c r="AV169" s="583">
        <f t="shared" si="155"/>
        <v>73.187434327525082</v>
      </c>
      <c r="AW169" s="583">
        <f t="shared" si="155"/>
        <v>75.38305735735085</v>
      </c>
      <c r="AX169" s="583">
        <f t="shared" si="155"/>
        <v>77.64454907807135</v>
      </c>
      <c r="AY169" s="583">
        <f t="shared" si="155"/>
        <v>79.973885550413499</v>
      </c>
      <c r="AZ169" s="920"/>
      <c r="BA169" s="920"/>
    </row>
    <row r="170" spans="1:53">
      <c r="E170" s="277"/>
      <c r="F170" s="273"/>
      <c r="G170" s="273"/>
      <c r="H170" s="273"/>
      <c r="I170" s="273"/>
      <c r="J170" s="273"/>
      <c r="K170" s="273"/>
      <c r="L170" s="273"/>
      <c r="M170" s="273"/>
      <c r="N170" s="22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211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211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26"/>
      <c r="BA170" s="726"/>
    </row>
    <row r="171" spans="1:53">
      <c r="E171" s="277"/>
      <c r="F171" s="273"/>
      <c r="G171" s="273"/>
      <c r="H171" s="273"/>
      <c r="I171" s="273"/>
      <c r="J171" s="273"/>
      <c r="K171" s="273"/>
      <c r="L171" s="273"/>
      <c r="M171" s="273"/>
      <c r="N171" s="22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211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211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26"/>
      <c r="BA171" s="726"/>
    </row>
    <row r="172" spans="1:53">
      <c r="E172" s="277"/>
      <c r="F172" s="273"/>
      <c r="G172" s="273"/>
      <c r="H172" s="273"/>
      <c r="I172" s="273"/>
      <c r="J172" s="273"/>
      <c r="K172" s="273"/>
      <c r="L172" s="273"/>
      <c r="M172" s="273"/>
      <c r="N172" s="22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211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211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26"/>
      <c r="BA172" s="726"/>
    </row>
    <row r="173" spans="1:53">
      <c r="B173" s="13" t="s">
        <v>879</v>
      </c>
      <c r="E173" s="277"/>
      <c r="F173" s="273"/>
      <c r="G173" s="273"/>
      <c r="H173" s="273"/>
      <c r="I173" s="273"/>
      <c r="J173" s="273"/>
      <c r="K173" s="273"/>
      <c r="L173" s="273"/>
      <c r="M173" s="273"/>
      <c r="N173" s="224">
        <f>+N169+N133+N111+N84+N67+N55+N45+N191+N197</f>
        <v>0</v>
      </c>
      <c r="O173" s="74">
        <f t="shared" ref="O173:AN173" si="156">+O169+O133+O111+O84+O67+O55+O45+O191+O197+O9+O10+O87</f>
        <v>11.043898830975504</v>
      </c>
      <c r="P173" s="74">
        <f t="shared" si="156"/>
        <v>11.211615011664291</v>
      </c>
      <c r="Q173" s="74">
        <f t="shared" si="156"/>
        <v>13.809578408255691</v>
      </c>
      <c r="R173" s="74">
        <f t="shared" si="156"/>
        <v>14.866221686597111</v>
      </c>
      <c r="S173" s="74">
        <f t="shared" si="156"/>
        <v>17.972608006435149</v>
      </c>
      <c r="T173" s="74">
        <f t="shared" si="156"/>
        <v>12.463263713188086</v>
      </c>
      <c r="U173" s="74">
        <f t="shared" si="156"/>
        <v>11.958312463446948</v>
      </c>
      <c r="V173" s="74">
        <f t="shared" si="156"/>
        <v>11.850451010997714</v>
      </c>
      <c r="W173" s="74">
        <f t="shared" si="156"/>
        <v>10.97008083603907</v>
      </c>
      <c r="X173" s="74">
        <f t="shared" si="156"/>
        <v>12.009322463140736</v>
      </c>
      <c r="Y173" s="74">
        <f t="shared" si="156"/>
        <v>9.8149698451674947</v>
      </c>
      <c r="Z173" s="74">
        <f t="shared" si="156"/>
        <v>9.3132450032928773</v>
      </c>
      <c r="AA173" s="211">
        <f t="shared" si="156"/>
        <v>147.28356727920067</v>
      </c>
      <c r="AB173" s="74">
        <f t="shared" si="156"/>
        <v>9.813603094142648</v>
      </c>
      <c r="AC173" s="74">
        <f t="shared" si="156"/>
        <v>9.3195063040841113</v>
      </c>
      <c r="AD173" s="74">
        <f t="shared" si="156"/>
        <v>13.726229885610833</v>
      </c>
      <c r="AE173" s="74">
        <f t="shared" si="156"/>
        <v>16.236403623604417</v>
      </c>
      <c r="AF173" s="74">
        <f t="shared" si="156"/>
        <v>14.698567646078866</v>
      </c>
      <c r="AG173" s="74">
        <f t="shared" si="156"/>
        <v>10.868901583304849</v>
      </c>
      <c r="AH173" s="74">
        <f t="shared" si="156"/>
        <v>10.21643227071714</v>
      </c>
      <c r="AI173" s="74">
        <f t="shared" si="156"/>
        <v>10.520276638448186</v>
      </c>
      <c r="AJ173" s="74">
        <f t="shared" si="156"/>
        <v>10.24014453789848</v>
      </c>
      <c r="AK173" s="74">
        <f t="shared" si="156"/>
        <v>11.274319595626249</v>
      </c>
      <c r="AL173" s="74">
        <f t="shared" si="156"/>
        <v>9.1688799123284905</v>
      </c>
      <c r="AM173" s="74">
        <f t="shared" si="156"/>
        <v>9.5209376218690451</v>
      </c>
      <c r="AN173" s="211">
        <f t="shared" si="156"/>
        <v>135.60420271371328</v>
      </c>
      <c r="AO173" s="74">
        <f t="shared" ref="AO173:AY173" si="157">+AO169+AO133+AO111+AO84+AO67+AO55+AO45+AO191+AO197+AO9+AO10+AO88</f>
        <v>135.45510202309919</v>
      </c>
      <c r="AP173" s="74">
        <f t="shared" si="157"/>
        <v>143.73127622947521</v>
      </c>
      <c r="AQ173" s="74">
        <f t="shared" si="157"/>
        <v>148.00979967275947</v>
      </c>
      <c r="AR173" s="74">
        <f t="shared" si="157"/>
        <v>152.41667881934225</v>
      </c>
      <c r="AS173" s="74">
        <f t="shared" si="157"/>
        <v>185.29179282724434</v>
      </c>
      <c r="AT173" s="74">
        <f t="shared" si="157"/>
        <v>190.81713176846165</v>
      </c>
      <c r="AU173" s="74">
        <f t="shared" si="157"/>
        <v>196.50823087791554</v>
      </c>
      <c r="AV173" s="74">
        <f t="shared" si="157"/>
        <v>202.370062960653</v>
      </c>
      <c r="AW173" s="74">
        <f t="shared" si="157"/>
        <v>208.40775000587257</v>
      </c>
      <c r="AX173" s="74">
        <f t="shared" si="157"/>
        <v>214.62656766244874</v>
      </c>
      <c r="AY173" s="74">
        <f t="shared" si="157"/>
        <v>221.03194984872226</v>
      </c>
      <c r="AZ173" s="726"/>
      <c r="BA173" s="726"/>
    </row>
    <row r="174" spans="1:53">
      <c r="E174" s="277"/>
      <c r="F174" s="273"/>
      <c r="G174" s="273"/>
      <c r="H174" s="273"/>
      <c r="I174" s="273"/>
      <c r="J174" s="273"/>
      <c r="K174" s="273"/>
      <c r="L174" s="273"/>
      <c r="M174" s="273"/>
      <c r="N174" s="22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211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211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26"/>
      <c r="BA174" s="726"/>
    </row>
    <row r="175" spans="1:53">
      <c r="B175" s="76" t="s">
        <v>914</v>
      </c>
      <c r="E175" s="277"/>
      <c r="F175" s="273"/>
      <c r="G175" s="273"/>
      <c r="H175" s="273"/>
      <c r="I175" s="273"/>
      <c r="J175" s="273"/>
      <c r="K175" s="273"/>
      <c r="L175" s="273"/>
      <c r="M175" s="273"/>
      <c r="N175" s="22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211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211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26"/>
      <c r="BA175" s="726"/>
    </row>
    <row r="176" spans="1:53">
      <c r="B176" s="13" t="s">
        <v>912</v>
      </c>
      <c r="E176" s="277"/>
      <c r="F176" s="273"/>
      <c r="G176" s="273"/>
      <c r="H176" s="273"/>
      <c r="I176" s="273"/>
      <c r="J176" s="273"/>
      <c r="K176" s="273"/>
      <c r="L176" s="273"/>
      <c r="M176" s="273"/>
      <c r="N176" s="224"/>
      <c r="O176" s="669">
        <v>0.16135015</v>
      </c>
      <c r="P176" s="669">
        <v>0.15935103</v>
      </c>
      <c r="Q176" s="669">
        <v>0.19859670999999998</v>
      </c>
      <c r="R176" s="669">
        <v>0.15949086999999998</v>
      </c>
      <c r="S176" s="669">
        <v>0.15897926000000001</v>
      </c>
      <c r="T176" s="669">
        <v>0.19934261</v>
      </c>
      <c r="U176" s="669">
        <v>0.15900512</v>
      </c>
      <c r="V176" s="669">
        <v>0.19978794</v>
      </c>
      <c r="W176" s="669">
        <v>0.15907248000000002</v>
      </c>
      <c r="X176" s="669">
        <v>0.16063544000000002</v>
      </c>
      <c r="Y176" s="669">
        <v>0.20056449999999998</v>
      </c>
      <c r="Z176" s="669">
        <v>0.16087273000000002</v>
      </c>
      <c r="AA176" s="599"/>
      <c r="AB176" s="669">
        <v>0.16135015</v>
      </c>
      <c r="AC176" s="669">
        <v>0.15935103</v>
      </c>
      <c r="AD176" s="669">
        <v>0.19859670999999998</v>
      </c>
      <c r="AE176" s="669">
        <v>0.15949086999999998</v>
      </c>
      <c r="AF176" s="669">
        <v>0.15897926000000001</v>
      </c>
      <c r="AG176" s="669">
        <v>0.19934261</v>
      </c>
      <c r="AH176" s="669">
        <v>0.15900512</v>
      </c>
      <c r="AI176" s="669">
        <v>0.19978794</v>
      </c>
      <c r="AJ176" s="669">
        <v>0.15907248000000002</v>
      </c>
      <c r="AK176" s="669">
        <v>0.16063544000000002</v>
      </c>
      <c r="AL176" s="669">
        <v>0.20056449999999998</v>
      </c>
      <c r="AM176" s="669">
        <v>0.16087273000000002</v>
      </c>
      <c r="AN176" s="599"/>
      <c r="AO176" s="598"/>
      <c r="AP176" s="598"/>
      <c r="AQ176" s="74"/>
      <c r="AR176" s="74"/>
      <c r="AS176" s="74"/>
      <c r="AT176" s="74"/>
      <c r="AU176" s="74"/>
      <c r="AV176" s="74"/>
      <c r="AW176" s="74"/>
      <c r="AX176" s="74"/>
      <c r="AY176" s="74"/>
      <c r="AZ176" s="726"/>
      <c r="BA176" s="726"/>
    </row>
    <row r="177" spans="1:53">
      <c r="B177" s="13" t="s">
        <v>913</v>
      </c>
      <c r="E177" s="277"/>
      <c r="F177" s="273"/>
      <c r="G177" s="273"/>
      <c r="H177" s="273"/>
      <c r="I177" s="273"/>
      <c r="J177" s="273"/>
      <c r="K177" s="273"/>
      <c r="L177" s="273"/>
      <c r="M177" s="273"/>
      <c r="N177" s="224"/>
      <c r="O177" s="670"/>
      <c r="P177" s="670"/>
      <c r="Q177" s="670"/>
      <c r="R177" s="670"/>
      <c r="S177" s="670"/>
      <c r="T177" s="670"/>
      <c r="U177" s="670"/>
      <c r="V177" s="670"/>
      <c r="W177" s="670"/>
      <c r="X177" s="670"/>
      <c r="Y177" s="670"/>
      <c r="Z177" s="670">
        <v>2.08</v>
      </c>
      <c r="AA177" s="601"/>
      <c r="AB177" s="670"/>
      <c r="AC177" s="670"/>
      <c r="AD177" s="670"/>
      <c r="AE177" s="670"/>
      <c r="AF177" s="670"/>
      <c r="AG177" s="670"/>
      <c r="AH177" s="670"/>
      <c r="AI177" s="670"/>
      <c r="AJ177" s="670"/>
      <c r="AK177" s="670"/>
      <c r="AL177" s="670"/>
      <c r="AM177" s="670">
        <v>2.08</v>
      </c>
      <c r="AN177" s="601"/>
      <c r="AO177" s="600"/>
      <c r="AP177" s="600"/>
      <c r="AQ177" s="74"/>
      <c r="AR177" s="74"/>
      <c r="AS177" s="74"/>
      <c r="AT177" s="74"/>
      <c r="AU177" s="74"/>
      <c r="AV177" s="74"/>
      <c r="AW177" s="74"/>
      <c r="AX177" s="74"/>
      <c r="AY177" s="74"/>
      <c r="AZ177" s="726"/>
      <c r="BA177" s="726"/>
    </row>
    <row r="178" spans="1:53">
      <c r="E178" s="277"/>
      <c r="F178" s="273"/>
      <c r="G178" s="273"/>
      <c r="H178" s="273"/>
      <c r="I178" s="273"/>
      <c r="J178" s="273"/>
      <c r="K178" s="273"/>
      <c r="L178" s="273"/>
      <c r="M178" s="273"/>
      <c r="N178" s="22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211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211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26"/>
      <c r="BA178" s="726"/>
    </row>
    <row r="179" spans="1:53">
      <c r="B179" s="539" t="s">
        <v>966</v>
      </c>
      <c r="E179" s="277"/>
      <c r="F179" s="273"/>
      <c r="G179" s="273"/>
      <c r="H179" s="273"/>
      <c r="I179" s="273"/>
      <c r="J179" s="273"/>
      <c r="K179" s="273"/>
      <c r="L179" s="273"/>
      <c r="M179" s="273"/>
      <c r="N179" s="22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211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211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26"/>
      <c r="BA179" s="726"/>
    </row>
    <row r="180" spans="1:53">
      <c r="E180" s="277"/>
      <c r="F180" s="273"/>
      <c r="G180" s="273"/>
      <c r="H180" s="273"/>
      <c r="I180" s="273"/>
      <c r="J180" s="273"/>
      <c r="K180" s="273"/>
      <c r="L180" s="273"/>
      <c r="M180" s="273"/>
      <c r="N180" s="224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  <c r="Y180" s="602"/>
      <c r="Z180" s="602"/>
      <c r="AA180" s="211"/>
      <c r="AB180" s="602"/>
      <c r="AC180" s="602"/>
      <c r="AD180" s="602"/>
      <c r="AE180" s="602"/>
      <c r="AF180" s="602"/>
      <c r="AG180" s="602"/>
      <c r="AH180" s="602"/>
      <c r="AI180" s="602"/>
      <c r="AJ180" s="602"/>
      <c r="AK180" s="602"/>
      <c r="AL180" s="602"/>
      <c r="AM180" s="602"/>
      <c r="AN180" s="211"/>
      <c r="AO180" s="602"/>
      <c r="AP180" s="602"/>
      <c r="AQ180" s="74"/>
      <c r="AR180" s="74"/>
      <c r="AS180" s="74"/>
      <c r="AT180" s="74"/>
      <c r="AU180" s="74"/>
      <c r="AV180" s="74"/>
      <c r="AW180" s="74"/>
      <c r="AX180" s="74"/>
      <c r="AY180" s="74"/>
      <c r="AZ180" s="726"/>
      <c r="BA180" s="726"/>
    </row>
    <row r="181" spans="1:53">
      <c r="A181" s="13" t="s">
        <v>629</v>
      </c>
      <c r="B181" s="13" t="s">
        <v>865</v>
      </c>
      <c r="E181" s="277"/>
      <c r="F181" s="273"/>
      <c r="G181" s="273"/>
      <c r="H181" s="273"/>
      <c r="I181" s="273"/>
      <c r="J181" s="273"/>
      <c r="K181" s="273"/>
      <c r="L181" s="273"/>
      <c r="M181" s="273"/>
      <c r="N181" s="224"/>
      <c r="O181" s="602">
        <v>0</v>
      </c>
      <c r="P181" s="602">
        <v>0</v>
      </c>
      <c r="Q181" s="602">
        <v>0</v>
      </c>
      <c r="R181" s="602">
        <v>0</v>
      </c>
      <c r="S181" s="602">
        <v>0</v>
      </c>
      <c r="T181" s="602">
        <v>0</v>
      </c>
      <c r="U181" s="602">
        <v>0</v>
      </c>
      <c r="V181" s="602">
        <v>0</v>
      </c>
      <c r="W181" s="602">
        <v>0</v>
      </c>
      <c r="X181" s="602">
        <v>0</v>
      </c>
      <c r="Y181" s="602">
        <v>0</v>
      </c>
      <c r="Z181" s="602">
        <v>0</v>
      </c>
      <c r="AA181" s="211">
        <f t="shared" ref="AA181:AA189" si="158">SUM(O181:Z181)</f>
        <v>0</v>
      </c>
      <c r="AB181" s="602">
        <v>0</v>
      </c>
      <c r="AC181" s="602">
        <v>0</v>
      </c>
      <c r="AD181" s="602">
        <v>0</v>
      </c>
      <c r="AE181" s="602">
        <v>0</v>
      </c>
      <c r="AF181" s="602">
        <v>0</v>
      </c>
      <c r="AG181" s="602">
        <v>0</v>
      </c>
      <c r="AH181" s="602">
        <v>0</v>
      </c>
      <c r="AI181" s="602">
        <v>0</v>
      </c>
      <c r="AJ181" s="602">
        <v>0</v>
      </c>
      <c r="AK181" s="602">
        <v>0</v>
      </c>
      <c r="AL181" s="602">
        <v>0</v>
      </c>
      <c r="AM181" s="602">
        <v>0</v>
      </c>
      <c r="AN181" s="211">
        <f>SUM(AB181:AM181)</f>
        <v>0</v>
      </c>
      <c r="AO181" s="602">
        <v>0</v>
      </c>
      <c r="AP181" s="602">
        <v>0</v>
      </c>
      <c r="AQ181" s="74">
        <f t="shared" ref="AQ181:AY181" si="159">AP181*(1+$D$3)</f>
        <v>0</v>
      </c>
      <c r="AR181" s="74">
        <f t="shared" si="159"/>
        <v>0</v>
      </c>
      <c r="AS181" s="74">
        <f t="shared" si="159"/>
        <v>0</v>
      </c>
      <c r="AT181" s="74">
        <f t="shared" si="159"/>
        <v>0</v>
      </c>
      <c r="AU181" s="74">
        <f t="shared" si="159"/>
        <v>0</v>
      </c>
      <c r="AV181" s="74">
        <f t="shared" si="159"/>
        <v>0</v>
      </c>
      <c r="AW181" s="74">
        <f t="shared" si="159"/>
        <v>0</v>
      </c>
      <c r="AX181" s="74">
        <f t="shared" si="159"/>
        <v>0</v>
      </c>
      <c r="AY181" s="74">
        <f t="shared" si="159"/>
        <v>0</v>
      </c>
      <c r="AZ181" s="726"/>
      <c r="BA181" s="726"/>
    </row>
    <row r="182" spans="1:53">
      <c r="A182" s="13" t="s">
        <v>810</v>
      </c>
      <c r="B182" s="13" t="s">
        <v>866</v>
      </c>
      <c r="E182" s="277"/>
      <c r="F182" s="273"/>
      <c r="G182" s="273"/>
      <c r="H182" s="273"/>
      <c r="I182" s="273"/>
      <c r="J182" s="273"/>
      <c r="K182" s="273"/>
      <c r="L182" s="273"/>
      <c r="M182" s="273"/>
      <c r="N182" s="224"/>
      <c r="O182" s="602">
        <v>0</v>
      </c>
      <c r="P182" s="602">
        <v>0</v>
      </c>
      <c r="Q182" s="602">
        <v>0</v>
      </c>
      <c r="R182" s="602">
        <v>0</v>
      </c>
      <c r="S182" s="602">
        <v>0</v>
      </c>
      <c r="T182" s="602">
        <v>0</v>
      </c>
      <c r="U182" s="602">
        <v>0</v>
      </c>
      <c r="V182" s="602">
        <v>0</v>
      </c>
      <c r="W182" s="602">
        <v>0</v>
      </c>
      <c r="X182" s="602">
        <v>0</v>
      </c>
      <c r="Y182" s="602">
        <v>0</v>
      </c>
      <c r="Z182" s="602">
        <v>0</v>
      </c>
      <c r="AA182" s="211">
        <f t="shared" si="158"/>
        <v>0</v>
      </c>
      <c r="AB182" s="602">
        <v>0</v>
      </c>
      <c r="AC182" s="602">
        <v>0</v>
      </c>
      <c r="AD182" s="602">
        <v>0</v>
      </c>
      <c r="AE182" s="602">
        <v>0</v>
      </c>
      <c r="AF182" s="602">
        <v>0</v>
      </c>
      <c r="AG182" s="602">
        <v>0</v>
      </c>
      <c r="AH182" s="602">
        <v>0</v>
      </c>
      <c r="AI182" s="602">
        <v>0</v>
      </c>
      <c r="AJ182" s="602">
        <v>0</v>
      </c>
      <c r="AK182" s="602">
        <v>0</v>
      </c>
      <c r="AL182" s="602">
        <v>0</v>
      </c>
      <c r="AM182" s="602">
        <v>0</v>
      </c>
      <c r="AN182" s="211">
        <f t="shared" ref="AN182:AN189" si="160">SUM(AB182:AM182)</f>
        <v>0</v>
      </c>
      <c r="AO182" s="602">
        <v>0</v>
      </c>
      <c r="AP182" s="602">
        <v>0</v>
      </c>
      <c r="AQ182" s="74">
        <f t="shared" ref="AQ182:AY182" si="161">AP182*(1+$D$3)</f>
        <v>0</v>
      </c>
      <c r="AR182" s="74">
        <f t="shared" si="161"/>
        <v>0</v>
      </c>
      <c r="AS182" s="74">
        <f t="shared" si="161"/>
        <v>0</v>
      </c>
      <c r="AT182" s="74">
        <f t="shared" si="161"/>
        <v>0</v>
      </c>
      <c r="AU182" s="74">
        <f t="shared" si="161"/>
        <v>0</v>
      </c>
      <c r="AV182" s="74">
        <f t="shared" si="161"/>
        <v>0</v>
      </c>
      <c r="AW182" s="74">
        <f t="shared" si="161"/>
        <v>0</v>
      </c>
      <c r="AX182" s="74">
        <f t="shared" si="161"/>
        <v>0</v>
      </c>
      <c r="AY182" s="74">
        <f t="shared" si="161"/>
        <v>0</v>
      </c>
      <c r="AZ182" s="726"/>
      <c r="BA182" s="726"/>
    </row>
    <row r="183" spans="1:53">
      <c r="A183" s="13" t="s">
        <v>628</v>
      </c>
      <c r="B183" s="13" t="s">
        <v>867</v>
      </c>
      <c r="E183" s="277"/>
      <c r="F183" s="273"/>
      <c r="G183" s="273"/>
      <c r="H183" s="273"/>
      <c r="I183" s="273"/>
      <c r="J183" s="273"/>
      <c r="K183" s="273"/>
      <c r="L183" s="273"/>
      <c r="M183" s="273"/>
      <c r="N183" s="224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  <c r="Y183" s="602"/>
      <c r="Z183" s="602"/>
      <c r="AA183" s="211">
        <f t="shared" si="158"/>
        <v>0</v>
      </c>
      <c r="AB183" s="602"/>
      <c r="AC183" s="602"/>
      <c r="AD183" s="602"/>
      <c r="AE183" s="602"/>
      <c r="AF183" s="602"/>
      <c r="AG183" s="602"/>
      <c r="AH183" s="602"/>
      <c r="AI183" s="602"/>
      <c r="AJ183" s="602"/>
      <c r="AK183" s="602"/>
      <c r="AL183" s="602"/>
      <c r="AM183" s="602"/>
      <c r="AN183" s="211">
        <f t="shared" si="160"/>
        <v>0</v>
      </c>
      <c r="AO183" s="602"/>
      <c r="AP183" s="602"/>
      <c r="AQ183" s="74">
        <f t="shared" ref="AQ183:AY183" si="162">AP183*(1+$D$3)</f>
        <v>0</v>
      </c>
      <c r="AR183" s="74">
        <f t="shared" si="162"/>
        <v>0</v>
      </c>
      <c r="AS183" s="74">
        <f t="shared" si="162"/>
        <v>0</v>
      </c>
      <c r="AT183" s="74">
        <f t="shared" si="162"/>
        <v>0</v>
      </c>
      <c r="AU183" s="74">
        <f t="shared" si="162"/>
        <v>0</v>
      </c>
      <c r="AV183" s="74">
        <f t="shared" si="162"/>
        <v>0</v>
      </c>
      <c r="AW183" s="74">
        <f t="shared" si="162"/>
        <v>0</v>
      </c>
      <c r="AX183" s="74">
        <f t="shared" si="162"/>
        <v>0</v>
      </c>
      <c r="AY183" s="74">
        <f t="shared" si="162"/>
        <v>0</v>
      </c>
      <c r="AZ183" s="726"/>
      <c r="BA183" s="726"/>
    </row>
    <row r="184" spans="1:53">
      <c r="A184" s="13" t="s">
        <v>635</v>
      </c>
      <c r="B184" s="13" t="s">
        <v>868</v>
      </c>
      <c r="E184" s="277"/>
      <c r="F184" s="273"/>
      <c r="G184" s="273"/>
      <c r="H184" s="273"/>
      <c r="I184" s="273"/>
      <c r="J184" s="273"/>
      <c r="K184" s="273"/>
      <c r="L184" s="273"/>
      <c r="M184" s="273"/>
      <c r="N184" s="224"/>
      <c r="O184" s="602">
        <v>3.82E-3</v>
      </c>
      <c r="P184" s="602">
        <v>0</v>
      </c>
      <c r="Q184" s="602">
        <v>1.3435000000000001E-2</v>
      </c>
      <c r="R184" s="602">
        <v>0</v>
      </c>
      <c r="S184" s="602">
        <v>0</v>
      </c>
      <c r="T184" s="602">
        <v>1.3435000000000001E-2</v>
      </c>
      <c r="U184" s="602">
        <v>0</v>
      </c>
      <c r="V184" s="602">
        <v>0</v>
      </c>
      <c r="W184" s="602">
        <v>1.3435000000000001E-2</v>
      </c>
      <c r="X184" s="602">
        <v>0</v>
      </c>
      <c r="Y184" s="602">
        <v>0</v>
      </c>
      <c r="Z184" s="602">
        <v>1.3435000000000001E-2</v>
      </c>
      <c r="AA184" s="211">
        <f t="shared" si="158"/>
        <v>5.7560000000000007E-2</v>
      </c>
      <c r="AB184" s="602">
        <v>3.82E-3</v>
      </c>
      <c r="AC184" s="602">
        <v>0</v>
      </c>
      <c r="AD184" s="602">
        <v>1.3435000000000001E-2</v>
      </c>
      <c r="AE184" s="602">
        <v>0</v>
      </c>
      <c r="AF184" s="602">
        <v>0</v>
      </c>
      <c r="AG184" s="602">
        <v>1.3435000000000001E-2</v>
      </c>
      <c r="AH184" s="602">
        <v>0</v>
      </c>
      <c r="AI184" s="602">
        <v>0</v>
      </c>
      <c r="AJ184" s="602">
        <v>1.3435000000000001E-2</v>
      </c>
      <c r="AK184" s="602">
        <v>0</v>
      </c>
      <c r="AL184" s="602">
        <v>0</v>
      </c>
      <c r="AM184" s="602">
        <v>1.3435000000000001E-2</v>
      </c>
      <c r="AN184" s="211">
        <f t="shared" si="160"/>
        <v>5.7560000000000007E-2</v>
      </c>
      <c r="AO184" s="602">
        <v>5.756E-2</v>
      </c>
      <c r="AP184" s="602">
        <v>5.756E-2</v>
      </c>
      <c r="AQ184" s="74">
        <f>AP184</f>
        <v>5.756E-2</v>
      </c>
      <c r="AR184" s="74">
        <f t="shared" ref="AR184:AY184" si="163">AQ184</f>
        <v>5.756E-2</v>
      </c>
      <c r="AS184" s="74">
        <f t="shared" si="163"/>
        <v>5.756E-2</v>
      </c>
      <c r="AT184" s="74">
        <f t="shared" si="163"/>
        <v>5.756E-2</v>
      </c>
      <c r="AU184" s="74">
        <f t="shared" si="163"/>
        <v>5.756E-2</v>
      </c>
      <c r="AV184" s="74">
        <f t="shared" si="163"/>
        <v>5.756E-2</v>
      </c>
      <c r="AW184" s="74">
        <f t="shared" si="163"/>
        <v>5.756E-2</v>
      </c>
      <c r="AX184" s="74">
        <f t="shared" si="163"/>
        <v>5.756E-2</v>
      </c>
      <c r="AY184" s="74">
        <f t="shared" si="163"/>
        <v>5.756E-2</v>
      </c>
      <c r="AZ184" s="726"/>
      <c r="BA184" s="726"/>
    </row>
    <row r="185" spans="1:53">
      <c r="A185" s="74">
        <v>921.10299999999995</v>
      </c>
      <c r="B185" s="13" t="s">
        <v>965</v>
      </c>
      <c r="E185" s="277"/>
      <c r="F185" s="273"/>
      <c r="G185" s="273"/>
      <c r="H185" s="273"/>
      <c r="I185" s="273"/>
      <c r="J185" s="273"/>
      <c r="K185" s="273"/>
      <c r="L185" s="273"/>
      <c r="M185" s="273"/>
      <c r="N185" s="224"/>
      <c r="O185" s="602">
        <v>4.7808999999999997E-2</v>
      </c>
      <c r="P185" s="602">
        <v>4.7808999999999997E-2</v>
      </c>
      <c r="Q185" s="602">
        <v>4.7808999999999997E-2</v>
      </c>
      <c r="R185" s="602">
        <v>4.7808999999999997E-2</v>
      </c>
      <c r="S185" s="602">
        <v>4.7808999999999997E-2</v>
      </c>
      <c r="T185" s="602">
        <v>4.7760999999999998E-2</v>
      </c>
      <c r="U185" s="602">
        <v>4.7760999999999998E-2</v>
      </c>
      <c r="V185" s="602">
        <v>4.7760999999999998E-2</v>
      </c>
      <c r="W185" s="602">
        <v>4.7760999999999998E-2</v>
      </c>
      <c r="X185" s="602">
        <v>4.7760999999999998E-2</v>
      </c>
      <c r="Y185" s="602">
        <v>4.7760999999999998E-2</v>
      </c>
      <c r="Z185" s="602">
        <v>4.7760999999999998E-2</v>
      </c>
      <c r="AA185" s="211">
        <f t="shared" si="158"/>
        <v>0.57337199999999999</v>
      </c>
      <c r="AB185" s="602">
        <v>4.7760999999999998E-2</v>
      </c>
      <c r="AC185" s="602">
        <v>4.7760999999999998E-2</v>
      </c>
      <c r="AD185" s="602">
        <v>4.7760999999999998E-2</v>
      </c>
      <c r="AE185" s="602">
        <v>4.7760999999999998E-2</v>
      </c>
      <c r="AF185" s="602">
        <v>4.7760999999999998E-2</v>
      </c>
      <c r="AG185" s="602">
        <v>4.768E-2</v>
      </c>
      <c r="AH185" s="602">
        <v>4.768E-2</v>
      </c>
      <c r="AI185" s="602">
        <v>4.768E-2</v>
      </c>
      <c r="AJ185" s="602">
        <v>4.768E-2</v>
      </c>
      <c r="AK185" s="602">
        <v>4.768E-2</v>
      </c>
      <c r="AL185" s="602">
        <v>4.768E-2</v>
      </c>
      <c r="AM185" s="602">
        <v>4.768E-2</v>
      </c>
      <c r="AN185" s="211">
        <f t="shared" si="160"/>
        <v>0.57256499999999999</v>
      </c>
      <c r="AO185" s="602">
        <v>0.58050400000000002</v>
      </c>
      <c r="AP185" s="602">
        <v>0.59501800000000005</v>
      </c>
      <c r="AQ185" s="74">
        <f t="shared" ref="AQ185:AY185" si="164">AP185*(1+$D$3)</f>
        <v>0.61286854000000002</v>
      </c>
      <c r="AR185" s="74">
        <f t="shared" si="164"/>
        <v>0.63125459620000002</v>
      </c>
      <c r="AS185" s="74">
        <f t="shared" si="164"/>
        <v>0.65019223408600002</v>
      </c>
      <c r="AT185" s="74">
        <f t="shared" si="164"/>
        <v>0.66969800110858002</v>
      </c>
      <c r="AU185" s="74">
        <f t="shared" si="164"/>
        <v>0.68978894114183742</v>
      </c>
      <c r="AV185" s="74">
        <f t="shared" si="164"/>
        <v>0.71048260937609253</v>
      </c>
      <c r="AW185" s="74">
        <f t="shared" si="164"/>
        <v>0.73179708765737528</v>
      </c>
      <c r="AX185" s="74">
        <f t="shared" si="164"/>
        <v>0.75375100028709652</v>
      </c>
      <c r="AY185" s="74">
        <f t="shared" si="164"/>
        <v>0.77636353029570948</v>
      </c>
      <c r="AZ185" s="726"/>
      <c r="BA185" s="726"/>
    </row>
    <row r="186" spans="1:53">
      <c r="A186" s="13" t="s">
        <v>635</v>
      </c>
      <c r="B186" s="13" t="s">
        <v>872</v>
      </c>
      <c r="E186" s="277"/>
      <c r="F186" s="273"/>
      <c r="G186" s="273"/>
      <c r="H186" s="273"/>
      <c r="I186" s="273"/>
      <c r="J186" s="273"/>
      <c r="K186" s="273"/>
      <c r="L186" s="273"/>
      <c r="M186" s="273"/>
      <c r="N186" s="224"/>
      <c r="O186" s="602">
        <v>4.0583000000000001E-2</v>
      </c>
      <c r="P186" s="602">
        <v>9.3329999999999993E-3</v>
      </c>
      <c r="Q186" s="602">
        <v>5.3633E-2</v>
      </c>
      <c r="R186" s="602">
        <v>4.0583000000000001E-2</v>
      </c>
      <c r="S186" s="602">
        <v>9.3329999999999993E-3</v>
      </c>
      <c r="T186" s="602">
        <v>4.6212999999999997E-2</v>
      </c>
      <c r="U186" s="602">
        <v>4.0583000000000001E-2</v>
      </c>
      <c r="V186" s="602">
        <v>1.4333E-2</v>
      </c>
      <c r="W186" s="602">
        <v>5.3633E-2</v>
      </c>
      <c r="X186" s="602">
        <v>4.0583000000000001E-2</v>
      </c>
      <c r="Y186" s="602">
        <v>2.9333000000000001E-2</v>
      </c>
      <c r="Z186" s="602">
        <v>4.3713000000000002E-2</v>
      </c>
      <c r="AA186" s="211">
        <f t="shared" si="158"/>
        <v>0.42185600000000001</v>
      </c>
      <c r="AB186" s="602">
        <v>4.0583000000000001E-2</v>
      </c>
      <c r="AC186" s="602">
        <v>9.3329999999999993E-3</v>
      </c>
      <c r="AD186" s="602">
        <v>5.3633E-2</v>
      </c>
      <c r="AE186" s="602">
        <v>4.0583000000000001E-2</v>
      </c>
      <c r="AF186" s="602">
        <v>9.3329999999999993E-3</v>
      </c>
      <c r="AG186" s="602">
        <v>4.6212999999999997E-2</v>
      </c>
      <c r="AH186" s="602">
        <v>4.07E-2</v>
      </c>
      <c r="AI186" s="602">
        <v>1.4500000000000001E-2</v>
      </c>
      <c r="AJ186" s="602">
        <v>5.3800000000000001E-2</v>
      </c>
      <c r="AK186" s="602">
        <v>4.0750000000000001E-2</v>
      </c>
      <c r="AL186" s="602">
        <v>2.9499999999999998E-2</v>
      </c>
      <c r="AM186" s="602">
        <v>4.3880000000000002E-2</v>
      </c>
      <c r="AN186" s="211">
        <f t="shared" si="160"/>
        <v>0.42280800000000007</v>
      </c>
      <c r="AO186" s="602">
        <v>0.42386000000000001</v>
      </c>
      <c r="AP186" s="602">
        <v>0.42386000000000001</v>
      </c>
      <c r="AQ186" s="74">
        <f>AP186</f>
        <v>0.42386000000000001</v>
      </c>
      <c r="AR186" s="74">
        <f t="shared" ref="AR186:AY186" si="165">AQ186</f>
        <v>0.42386000000000001</v>
      </c>
      <c r="AS186" s="74">
        <f t="shared" si="165"/>
        <v>0.42386000000000001</v>
      </c>
      <c r="AT186" s="74">
        <f t="shared" si="165"/>
        <v>0.42386000000000001</v>
      </c>
      <c r="AU186" s="74">
        <f t="shared" si="165"/>
        <v>0.42386000000000001</v>
      </c>
      <c r="AV186" s="74">
        <f t="shared" si="165"/>
        <v>0.42386000000000001</v>
      </c>
      <c r="AW186" s="74">
        <f t="shared" si="165"/>
        <v>0.42386000000000001</v>
      </c>
      <c r="AX186" s="74">
        <f t="shared" si="165"/>
        <v>0.42386000000000001</v>
      </c>
      <c r="AY186" s="74">
        <f t="shared" si="165"/>
        <v>0.42386000000000001</v>
      </c>
      <c r="AZ186" s="726"/>
      <c r="BA186" s="726"/>
    </row>
    <row r="187" spans="1:53">
      <c r="A187" s="475" t="s">
        <v>737</v>
      </c>
      <c r="B187" s="476" t="s">
        <v>890</v>
      </c>
      <c r="E187" s="277"/>
      <c r="F187" s="273"/>
      <c r="G187" s="273"/>
      <c r="H187" s="273"/>
      <c r="I187" s="273"/>
      <c r="J187" s="273"/>
      <c r="K187" s="273"/>
      <c r="L187" s="273"/>
      <c r="M187" s="273"/>
      <c r="N187" s="224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  <c r="Y187" s="602"/>
      <c r="Z187" s="602"/>
      <c r="AA187" s="211">
        <f t="shared" si="158"/>
        <v>0</v>
      </c>
      <c r="AB187" s="602"/>
      <c r="AC187" s="602"/>
      <c r="AD187" s="602"/>
      <c r="AE187" s="602"/>
      <c r="AF187" s="602"/>
      <c r="AG187" s="602"/>
      <c r="AH187" s="602"/>
      <c r="AI187" s="602"/>
      <c r="AJ187" s="602"/>
      <c r="AK187" s="602"/>
      <c r="AL187" s="602"/>
      <c r="AM187" s="602"/>
      <c r="AN187" s="211">
        <f t="shared" si="160"/>
        <v>0</v>
      </c>
      <c r="AO187" s="602"/>
      <c r="AP187" s="602"/>
      <c r="AQ187" s="74">
        <f t="shared" ref="AQ187:AY189" si="166">AP187*(1+$D$3)</f>
        <v>0</v>
      </c>
      <c r="AR187" s="74">
        <f t="shared" si="166"/>
        <v>0</v>
      </c>
      <c r="AS187" s="74">
        <f t="shared" si="166"/>
        <v>0</v>
      </c>
      <c r="AT187" s="74">
        <f t="shared" si="166"/>
        <v>0</v>
      </c>
      <c r="AU187" s="74">
        <f t="shared" si="166"/>
        <v>0</v>
      </c>
      <c r="AV187" s="74">
        <f t="shared" si="166"/>
        <v>0</v>
      </c>
      <c r="AW187" s="74">
        <f t="shared" si="166"/>
        <v>0</v>
      </c>
      <c r="AX187" s="74">
        <f t="shared" si="166"/>
        <v>0</v>
      </c>
      <c r="AY187" s="74">
        <f t="shared" si="166"/>
        <v>0</v>
      </c>
      <c r="AZ187" s="726"/>
      <c r="BA187" s="726"/>
    </row>
    <row r="188" spans="1:53">
      <c r="A188" s="475" t="s">
        <v>744</v>
      </c>
      <c r="B188" s="476" t="s">
        <v>891</v>
      </c>
      <c r="E188" s="277"/>
      <c r="F188" s="273"/>
      <c r="G188" s="273"/>
      <c r="H188" s="273"/>
      <c r="I188" s="273"/>
      <c r="J188" s="273"/>
      <c r="K188" s="273"/>
      <c r="L188" s="273"/>
      <c r="M188" s="273"/>
      <c r="N188" s="224"/>
      <c r="O188" s="602">
        <v>0</v>
      </c>
      <c r="P188" s="602">
        <v>0</v>
      </c>
      <c r="Q188" s="602">
        <v>0</v>
      </c>
      <c r="R188" s="602">
        <v>0</v>
      </c>
      <c r="S188" s="602">
        <v>0</v>
      </c>
      <c r="T188" s="602">
        <v>0</v>
      </c>
      <c r="U188" s="602">
        <v>0</v>
      </c>
      <c r="V188" s="602">
        <v>0</v>
      </c>
      <c r="W188" s="602">
        <v>0</v>
      </c>
      <c r="X188" s="602">
        <v>0</v>
      </c>
      <c r="Y188" s="602">
        <v>0</v>
      </c>
      <c r="Z188" s="602">
        <v>0</v>
      </c>
      <c r="AA188" s="211">
        <f t="shared" si="158"/>
        <v>0</v>
      </c>
      <c r="AB188" s="602">
        <v>0</v>
      </c>
      <c r="AC188" s="602">
        <v>0</v>
      </c>
      <c r="AD188" s="602">
        <v>0</v>
      </c>
      <c r="AE188" s="602">
        <v>0</v>
      </c>
      <c r="AF188" s="602">
        <v>0</v>
      </c>
      <c r="AG188" s="602">
        <v>0</v>
      </c>
      <c r="AH188" s="602">
        <v>0</v>
      </c>
      <c r="AI188" s="602">
        <v>0</v>
      </c>
      <c r="AJ188" s="602">
        <v>0</v>
      </c>
      <c r="AK188" s="602">
        <v>0</v>
      </c>
      <c r="AL188" s="602">
        <v>0</v>
      </c>
      <c r="AM188" s="602">
        <v>0</v>
      </c>
      <c r="AN188" s="211">
        <f t="shared" si="160"/>
        <v>0</v>
      </c>
      <c r="AO188" s="602">
        <v>0</v>
      </c>
      <c r="AP188" s="602">
        <v>0</v>
      </c>
      <c r="AQ188" s="74">
        <f t="shared" si="166"/>
        <v>0</v>
      </c>
      <c r="AR188" s="74">
        <f t="shared" si="166"/>
        <v>0</v>
      </c>
      <c r="AS188" s="74">
        <f t="shared" si="166"/>
        <v>0</v>
      </c>
      <c r="AT188" s="74">
        <f t="shared" si="166"/>
        <v>0</v>
      </c>
      <c r="AU188" s="74">
        <f t="shared" si="166"/>
        <v>0</v>
      </c>
      <c r="AV188" s="74">
        <f t="shared" si="166"/>
        <v>0</v>
      </c>
      <c r="AW188" s="74">
        <f t="shared" si="166"/>
        <v>0</v>
      </c>
      <c r="AX188" s="74">
        <f t="shared" si="166"/>
        <v>0</v>
      </c>
      <c r="AY188" s="74">
        <f t="shared" si="166"/>
        <v>0</v>
      </c>
      <c r="AZ188" s="726"/>
      <c r="BA188" s="726"/>
    </row>
    <row r="189" spans="1:53">
      <c r="A189" s="475" t="s">
        <v>114</v>
      </c>
      <c r="B189" s="476" t="s">
        <v>892</v>
      </c>
      <c r="E189" s="277"/>
      <c r="F189" s="273"/>
      <c r="G189" s="273"/>
      <c r="H189" s="273"/>
      <c r="I189" s="273"/>
      <c r="J189" s="273"/>
      <c r="K189" s="273"/>
      <c r="L189" s="273"/>
      <c r="M189" s="273"/>
      <c r="N189" s="224"/>
      <c r="O189" s="602">
        <v>0</v>
      </c>
      <c r="P189" s="602">
        <v>0</v>
      </c>
      <c r="Q189" s="602">
        <v>0</v>
      </c>
      <c r="R189" s="602">
        <v>0</v>
      </c>
      <c r="S189" s="602">
        <v>0</v>
      </c>
      <c r="T189" s="602">
        <v>0</v>
      </c>
      <c r="U189" s="602">
        <v>0</v>
      </c>
      <c r="V189" s="602">
        <v>0</v>
      </c>
      <c r="W189" s="602">
        <v>0</v>
      </c>
      <c r="X189" s="602">
        <v>0</v>
      </c>
      <c r="Y189" s="602">
        <v>0</v>
      </c>
      <c r="Z189" s="602">
        <v>0</v>
      </c>
      <c r="AA189" s="211">
        <f t="shared" si="158"/>
        <v>0</v>
      </c>
      <c r="AB189" s="602">
        <v>0</v>
      </c>
      <c r="AC189" s="602">
        <v>0</v>
      </c>
      <c r="AD189" s="602">
        <v>0</v>
      </c>
      <c r="AE189" s="602">
        <v>0</v>
      </c>
      <c r="AF189" s="602">
        <v>0</v>
      </c>
      <c r="AG189" s="602">
        <v>0</v>
      </c>
      <c r="AH189" s="602">
        <v>0</v>
      </c>
      <c r="AI189" s="602">
        <v>0</v>
      </c>
      <c r="AJ189" s="602">
        <v>0</v>
      </c>
      <c r="AK189" s="602">
        <v>0</v>
      </c>
      <c r="AL189" s="602">
        <v>0</v>
      </c>
      <c r="AM189" s="602">
        <v>0</v>
      </c>
      <c r="AN189" s="211">
        <f t="shared" si="160"/>
        <v>0</v>
      </c>
      <c r="AO189" s="602">
        <v>0</v>
      </c>
      <c r="AP189" s="602">
        <v>0</v>
      </c>
      <c r="AQ189" s="74">
        <f t="shared" si="166"/>
        <v>0</v>
      </c>
      <c r="AR189" s="74">
        <f t="shared" si="166"/>
        <v>0</v>
      </c>
      <c r="AS189" s="74">
        <f t="shared" si="166"/>
        <v>0</v>
      </c>
      <c r="AT189" s="74">
        <f t="shared" si="166"/>
        <v>0</v>
      </c>
      <c r="AU189" s="74">
        <f t="shared" si="166"/>
        <v>0</v>
      </c>
      <c r="AV189" s="74">
        <f t="shared" si="166"/>
        <v>0</v>
      </c>
      <c r="AW189" s="74">
        <f t="shared" si="166"/>
        <v>0</v>
      </c>
      <c r="AX189" s="74">
        <f t="shared" si="166"/>
        <v>0</v>
      </c>
      <c r="AY189" s="74">
        <f t="shared" si="166"/>
        <v>0</v>
      </c>
      <c r="AZ189" s="726"/>
      <c r="BA189" s="726"/>
    </row>
    <row r="190" spans="1:53">
      <c r="E190" s="277"/>
      <c r="F190" s="273"/>
      <c r="G190" s="273"/>
      <c r="H190" s="273"/>
      <c r="I190" s="273"/>
      <c r="J190" s="273"/>
      <c r="K190" s="273"/>
      <c r="L190" s="273"/>
      <c r="M190" s="273"/>
      <c r="N190" s="22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211"/>
      <c r="AB190" s="603"/>
      <c r="AC190" s="603"/>
      <c r="AD190" s="603"/>
      <c r="AE190" s="603"/>
      <c r="AF190" s="603"/>
      <c r="AG190" s="603"/>
      <c r="AH190" s="603"/>
      <c r="AI190" s="603"/>
      <c r="AJ190" s="603"/>
      <c r="AK190" s="603"/>
      <c r="AL190" s="603"/>
      <c r="AM190" s="603"/>
      <c r="AN190" s="211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26"/>
      <c r="BA190" s="726"/>
    </row>
    <row r="191" spans="1:53">
      <c r="E191" s="277"/>
      <c r="F191" s="273"/>
      <c r="G191" s="273"/>
      <c r="H191" s="273"/>
      <c r="I191" s="273"/>
      <c r="J191" s="273"/>
      <c r="K191" s="273"/>
      <c r="L191" s="273"/>
      <c r="M191" s="273"/>
      <c r="N191" s="224"/>
      <c r="O191" s="583">
        <f t="shared" ref="O191:AY191" si="167">SUM(O180:O190)</f>
        <v>9.2211999999999988E-2</v>
      </c>
      <c r="P191" s="583">
        <f t="shared" si="167"/>
        <v>5.7141999999999998E-2</v>
      </c>
      <c r="Q191" s="583">
        <f t="shared" si="167"/>
        <v>0.11487700000000001</v>
      </c>
      <c r="R191" s="583">
        <f t="shared" si="167"/>
        <v>8.8391999999999998E-2</v>
      </c>
      <c r="S191" s="583">
        <f t="shared" si="167"/>
        <v>5.7141999999999998E-2</v>
      </c>
      <c r="T191" s="583">
        <f t="shared" si="167"/>
        <v>0.107409</v>
      </c>
      <c r="U191" s="583">
        <f t="shared" si="167"/>
        <v>8.8344000000000006E-2</v>
      </c>
      <c r="V191" s="583">
        <f t="shared" si="167"/>
        <v>6.2093999999999996E-2</v>
      </c>
      <c r="W191" s="583">
        <f t="shared" si="167"/>
        <v>0.114829</v>
      </c>
      <c r="X191" s="583">
        <f t="shared" si="167"/>
        <v>8.8344000000000006E-2</v>
      </c>
      <c r="Y191" s="583">
        <f t="shared" si="167"/>
        <v>7.7093999999999996E-2</v>
      </c>
      <c r="Z191" s="583">
        <f t="shared" si="167"/>
        <v>0.104909</v>
      </c>
      <c r="AA191" s="584">
        <f t="shared" si="167"/>
        <v>1.0527880000000001</v>
      </c>
      <c r="AB191" s="583">
        <f t="shared" si="167"/>
        <v>9.2163999999999996E-2</v>
      </c>
      <c r="AC191" s="583">
        <f t="shared" si="167"/>
        <v>5.7093999999999999E-2</v>
      </c>
      <c r="AD191" s="583">
        <f t="shared" si="167"/>
        <v>0.114829</v>
      </c>
      <c r="AE191" s="583">
        <f t="shared" si="167"/>
        <v>8.8344000000000006E-2</v>
      </c>
      <c r="AF191" s="583">
        <f t="shared" si="167"/>
        <v>5.7093999999999999E-2</v>
      </c>
      <c r="AG191" s="583">
        <f t="shared" si="167"/>
        <v>0.10732800000000001</v>
      </c>
      <c r="AH191" s="583">
        <f t="shared" si="167"/>
        <v>8.838E-2</v>
      </c>
      <c r="AI191" s="583">
        <f t="shared" si="167"/>
        <v>6.2179999999999999E-2</v>
      </c>
      <c r="AJ191" s="583">
        <f t="shared" si="167"/>
        <v>0.114915</v>
      </c>
      <c r="AK191" s="583">
        <f t="shared" si="167"/>
        <v>8.8430000000000009E-2</v>
      </c>
      <c r="AL191" s="583">
        <f t="shared" si="167"/>
        <v>7.7179999999999999E-2</v>
      </c>
      <c r="AM191" s="583">
        <f t="shared" si="167"/>
        <v>0.104995</v>
      </c>
      <c r="AN191" s="584">
        <f t="shared" si="167"/>
        <v>1.0529330000000001</v>
      </c>
      <c r="AO191" s="583">
        <f t="shared" si="167"/>
        <v>1.0619239999999999</v>
      </c>
      <c r="AP191" s="583">
        <f t="shared" si="167"/>
        <v>1.076438</v>
      </c>
      <c r="AQ191" s="583">
        <f t="shared" si="167"/>
        <v>1.09428854</v>
      </c>
      <c r="AR191" s="583">
        <f t="shared" si="167"/>
        <v>1.1126745962000002</v>
      </c>
      <c r="AS191" s="583">
        <f t="shared" si="167"/>
        <v>1.131612234086</v>
      </c>
      <c r="AT191" s="583">
        <f t="shared" si="167"/>
        <v>1.1511180011085802</v>
      </c>
      <c r="AU191" s="583">
        <f t="shared" si="167"/>
        <v>1.1712089411418374</v>
      </c>
      <c r="AV191" s="583">
        <f t="shared" si="167"/>
        <v>1.1919026093760925</v>
      </c>
      <c r="AW191" s="583">
        <f t="shared" si="167"/>
        <v>1.2132170876573753</v>
      </c>
      <c r="AX191" s="583">
        <f t="shared" si="167"/>
        <v>1.2351710002870964</v>
      </c>
      <c r="AY191" s="583">
        <f t="shared" si="167"/>
        <v>1.2577835302957094</v>
      </c>
      <c r="AZ191" s="920"/>
      <c r="BA191" s="920"/>
    </row>
    <row r="192" spans="1:53" ht="12" customHeight="1">
      <c r="E192" s="277"/>
      <c r="F192" s="273"/>
      <c r="G192" s="273"/>
      <c r="H192" s="273"/>
      <c r="I192" s="273"/>
      <c r="J192" s="273"/>
      <c r="K192" s="273"/>
      <c r="L192" s="273"/>
      <c r="M192" s="273"/>
      <c r="N192" s="22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211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211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  <c r="AY192" s="74"/>
      <c r="AZ192" s="726"/>
      <c r="BA192" s="726"/>
    </row>
    <row r="193" spans="1:53" ht="12" customHeight="1">
      <c r="E193" s="277"/>
      <c r="F193" s="273"/>
      <c r="G193" s="273"/>
      <c r="H193" s="273"/>
      <c r="I193" s="273"/>
      <c r="J193" s="273"/>
      <c r="K193" s="273"/>
      <c r="L193" s="273"/>
      <c r="M193" s="273"/>
      <c r="N193" s="22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211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211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26"/>
      <c r="BA193" s="726"/>
    </row>
    <row r="194" spans="1:53" ht="12" customHeight="1">
      <c r="A194" s="237"/>
      <c r="B194" s="539" t="s">
        <v>966</v>
      </c>
      <c r="E194" s="277"/>
      <c r="F194" s="273"/>
      <c r="G194" s="273"/>
      <c r="H194" s="273"/>
      <c r="I194" s="273"/>
      <c r="J194" s="273"/>
      <c r="K194" s="273"/>
      <c r="L194" s="273"/>
      <c r="M194" s="273"/>
      <c r="N194" s="22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211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211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26"/>
      <c r="BA194" s="726"/>
    </row>
    <row r="195" spans="1:53" ht="12" customHeight="1">
      <c r="A195" s="238" t="s">
        <v>2</v>
      </c>
      <c r="B195" s="237" t="s">
        <v>95</v>
      </c>
      <c r="E195" s="277"/>
      <c r="F195" s="273"/>
      <c r="G195" s="273"/>
      <c r="H195" s="327"/>
      <c r="I195" s="327"/>
      <c r="J195" s="327"/>
      <c r="K195" s="327"/>
      <c r="L195" s="327"/>
      <c r="M195" s="327"/>
      <c r="N195" s="224"/>
      <c r="O195" s="578">
        <v>-6.0000000000000001E-3</v>
      </c>
      <c r="P195" s="578">
        <v>-1.5E-3</v>
      </c>
      <c r="Q195" s="578">
        <v>-1.5E-3</v>
      </c>
      <c r="R195" s="578">
        <v>-1.5E-3</v>
      </c>
      <c r="S195" s="578">
        <v>-1.5E-3</v>
      </c>
      <c r="T195" s="578">
        <v>-1.5E-3</v>
      </c>
      <c r="U195" s="578">
        <v>-1.5E-3</v>
      </c>
      <c r="V195" s="578">
        <v>-1.5E-3</v>
      </c>
      <c r="W195" s="578">
        <v>-1.5E-3</v>
      </c>
      <c r="X195" s="578">
        <v>-1.5E-3</v>
      </c>
      <c r="Y195" s="578">
        <v>-1.5E-3</v>
      </c>
      <c r="Z195" s="578">
        <v>-1.5E-3</v>
      </c>
      <c r="AA195" s="211">
        <f>SUM(O195:Z195)</f>
        <v>-2.2500000000000003E-2</v>
      </c>
      <c r="AB195" s="578">
        <v>-6.0000000000000001E-3</v>
      </c>
      <c r="AC195" s="578">
        <v>-1.5E-3</v>
      </c>
      <c r="AD195" s="578">
        <v>-1.5E-3</v>
      </c>
      <c r="AE195" s="578">
        <v>-1.5E-3</v>
      </c>
      <c r="AF195" s="578">
        <v>-1.5E-3</v>
      </c>
      <c r="AG195" s="578">
        <v>-1.5E-3</v>
      </c>
      <c r="AH195" s="578">
        <v>-1.5E-3</v>
      </c>
      <c r="AI195" s="578">
        <v>-1.5E-3</v>
      </c>
      <c r="AJ195" s="578">
        <v>-1.5E-3</v>
      </c>
      <c r="AK195" s="578">
        <v>-1.5E-3</v>
      </c>
      <c r="AL195" s="578">
        <v>-1.5E-3</v>
      </c>
      <c r="AM195" s="578">
        <v>-1.5E-3</v>
      </c>
      <c r="AN195" s="211">
        <f>SUM(AB195:AM195)</f>
        <v>-2.2500000000000003E-2</v>
      </c>
      <c r="AO195" s="578">
        <v>-2.2499999999999999E-2</v>
      </c>
      <c r="AP195" s="578">
        <v>-2.2499999999999999E-2</v>
      </c>
      <c r="AQ195" s="74">
        <f t="shared" ref="AQ195:AY195" si="168">AP195*(1+$D$3)</f>
        <v>-2.3175000000000001E-2</v>
      </c>
      <c r="AR195" s="74">
        <f t="shared" si="168"/>
        <v>-2.3870250000000003E-2</v>
      </c>
      <c r="AS195" s="74">
        <f t="shared" si="168"/>
        <v>-2.4586357500000003E-2</v>
      </c>
      <c r="AT195" s="74">
        <f t="shared" si="168"/>
        <v>-2.5323948225000004E-2</v>
      </c>
      <c r="AU195" s="74">
        <f t="shared" si="168"/>
        <v>-2.6083666671750005E-2</v>
      </c>
      <c r="AV195" s="74">
        <f t="shared" si="168"/>
        <v>-2.6866176671902504E-2</v>
      </c>
      <c r="AW195" s="74">
        <f t="shared" si="168"/>
        <v>-2.7672161972059579E-2</v>
      </c>
      <c r="AX195" s="74">
        <f t="shared" si="168"/>
        <v>-2.8502326831221367E-2</v>
      </c>
      <c r="AY195" s="74">
        <f t="shared" si="168"/>
        <v>-2.9357396636158009E-2</v>
      </c>
      <c r="AZ195" s="726"/>
      <c r="BA195" s="726"/>
    </row>
    <row r="196" spans="1:53">
      <c r="E196" s="277"/>
      <c r="F196" s="273"/>
      <c r="G196" s="273"/>
      <c r="H196" s="273"/>
      <c r="I196" s="273"/>
      <c r="J196" s="273"/>
      <c r="K196" s="273"/>
      <c r="L196" s="273"/>
      <c r="M196" s="273"/>
      <c r="N196" s="22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211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211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26"/>
      <c r="BA196" s="726"/>
    </row>
    <row r="197" spans="1:53">
      <c r="E197" s="277"/>
      <c r="F197" s="273"/>
      <c r="G197" s="273"/>
      <c r="H197" s="279"/>
      <c r="I197" s="279"/>
      <c r="J197" s="279"/>
      <c r="K197" s="279"/>
      <c r="L197" s="279"/>
      <c r="M197" s="279"/>
      <c r="N197" s="280">
        <f>SUM(H197:M197)</f>
        <v>0</v>
      </c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24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24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  <c r="AZ197" s="923"/>
      <c r="BA197" s="923"/>
    </row>
    <row r="198" spans="1:53">
      <c r="E198" s="277"/>
      <c r="F198" s="273"/>
      <c r="G198" s="273"/>
      <c r="H198" s="273"/>
      <c r="I198" s="273"/>
      <c r="J198" s="273"/>
      <c r="K198" s="273"/>
      <c r="L198" s="273"/>
      <c r="M198" s="273"/>
      <c r="N198" s="224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24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24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  <c r="AZ198" s="923"/>
      <c r="BA198" s="923"/>
    </row>
    <row r="199" spans="1:53">
      <c r="E199" s="277"/>
      <c r="F199" s="273"/>
      <c r="G199" s="273"/>
      <c r="H199" s="273"/>
      <c r="I199" s="273"/>
      <c r="J199" s="273"/>
      <c r="K199" s="273"/>
      <c r="L199" s="273"/>
      <c r="M199" s="273"/>
      <c r="N199" s="224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24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24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  <c r="AZ199" s="923"/>
      <c r="BA199" s="923"/>
    </row>
    <row r="200" spans="1:53">
      <c r="E200" s="277"/>
      <c r="F200" s="273"/>
      <c r="G200" s="273"/>
      <c r="H200" s="273"/>
      <c r="I200" s="273"/>
      <c r="J200" s="273"/>
      <c r="K200" s="273"/>
      <c r="L200" s="273"/>
      <c r="M200" s="273"/>
      <c r="N200" s="224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24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24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73"/>
      <c r="AZ200" s="923"/>
      <c r="BA200" s="923"/>
    </row>
    <row r="201" spans="1:53">
      <c r="E201" s="277"/>
      <c r="F201" s="273"/>
      <c r="G201" s="273"/>
      <c r="H201" s="273"/>
      <c r="I201" s="273"/>
      <c r="J201" s="273"/>
      <c r="K201" s="273"/>
      <c r="L201" s="273"/>
      <c r="M201" s="273"/>
      <c r="N201" s="224"/>
      <c r="O201" s="273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24"/>
      <c r="AB201" s="273"/>
      <c r="AC201" s="273"/>
      <c r="AD201" s="273"/>
      <c r="AE201" s="273"/>
      <c r="AF201" s="273"/>
      <c r="AG201" s="273"/>
      <c r="AH201" s="273"/>
      <c r="AI201" s="273"/>
      <c r="AJ201" s="273"/>
      <c r="AK201" s="273"/>
      <c r="AL201" s="273"/>
      <c r="AM201" s="273"/>
      <c r="AN201" s="224"/>
      <c r="AO201" s="273"/>
      <c r="AP201" s="273"/>
      <c r="AQ201" s="273"/>
      <c r="AR201" s="273"/>
      <c r="AS201" s="273"/>
      <c r="AT201" s="273"/>
      <c r="AU201" s="273"/>
      <c r="AV201" s="273"/>
      <c r="AW201" s="273"/>
      <c r="AX201" s="273"/>
      <c r="AY201" s="273"/>
      <c r="AZ201" s="923"/>
      <c r="BA201" s="923"/>
    </row>
    <row r="202" spans="1:53">
      <c r="E202" s="277"/>
      <c r="F202" s="273"/>
      <c r="G202" s="273"/>
      <c r="H202" s="273"/>
      <c r="I202" s="273"/>
      <c r="J202" s="273"/>
      <c r="K202" s="273"/>
      <c r="L202" s="273"/>
      <c r="M202" s="273"/>
      <c r="N202" s="224"/>
      <c r="O202" s="273"/>
      <c r="P202" s="273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  <c r="AA202" s="224"/>
      <c r="AB202" s="273"/>
      <c r="AC202" s="273"/>
      <c r="AD202" s="273"/>
      <c r="AE202" s="273"/>
      <c r="AF202" s="273"/>
      <c r="AG202" s="273"/>
      <c r="AH202" s="273"/>
      <c r="AI202" s="273"/>
      <c r="AJ202" s="273"/>
      <c r="AK202" s="273"/>
      <c r="AL202" s="273"/>
      <c r="AM202" s="273"/>
      <c r="AN202" s="224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3"/>
      <c r="AY202" s="273"/>
      <c r="AZ202" s="923"/>
      <c r="BA202" s="923"/>
    </row>
    <row r="203" spans="1:53">
      <c r="E203" s="277"/>
      <c r="F203" s="273"/>
      <c r="G203" s="273"/>
      <c r="H203" s="273"/>
      <c r="I203" s="273"/>
      <c r="J203" s="273"/>
      <c r="K203" s="273"/>
      <c r="L203" s="273"/>
      <c r="M203" s="273"/>
      <c r="N203" s="224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A203" s="224"/>
      <c r="AB203" s="273"/>
      <c r="AC203" s="273"/>
      <c r="AD203" s="273"/>
      <c r="AE203" s="273"/>
      <c r="AF203" s="273"/>
      <c r="AG203" s="273"/>
      <c r="AH203" s="273"/>
      <c r="AI203" s="273"/>
      <c r="AJ203" s="273"/>
      <c r="AK203" s="273"/>
      <c r="AL203" s="273"/>
      <c r="AM203" s="273"/>
      <c r="AN203" s="224"/>
      <c r="AO203" s="273"/>
      <c r="AP203" s="273"/>
      <c r="AQ203" s="273"/>
      <c r="AR203" s="273"/>
      <c r="AS203" s="273"/>
      <c r="AT203" s="273"/>
      <c r="AU203" s="273"/>
      <c r="AV203" s="273"/>
      <c r="AW203" s="273"/>
      <c r="AX203" s="273"/>
      <c r="AY203" s="273"/>
      <c r="AZ203" s="923"/>
      <c r="BA203" s="923"/>
    </row>
    <row r="204" spans="1:53">
      <c r="E204" s="277"/>
      <c r="F204" s="273"/>
      <c r="G204" s="273"/>
      <c r="H204" s="273"/>
      <c r="I204" s="273"/>
      <c r="J204" s="273"/>
      <c r="K204" s="273"/>
      <c r="L204" s="273"/>
      <c r="M204" s="273"/>
      <c r="N204" s="224"/>
      <c r="O204" s="273"/>
      <c r="P204" s="273"/>
      <c r="Q204" s="273"/>
      <c r="R204" s="273"/>
      <c r="S204" s="273"/>
      <c r="T204" s="273"/>
      <c r="U204" s="273"/>
      <c r="V204" s="273"/>
      <c r="W204" s="273"/>
      <c r="X204" s="273"/>
      <c r="Y204" s="273"/>
      <c r="Z204" s="273"/>
      <c r="AA204" s="224"/>
      <c r="AB204" s="273"/>
      <c r="AC204" s="273"/>
      <c r="AD204" s="273"/>
      <c r="AE204" s="273"/>
      <c r="AF204" s="273"/>
      <c r="AG204" s="273"/>
      <c r="AH204" s="273"/>
      <c r="AI204" s="273"/>
      <c r="AJ204" s="273"/>
      <c r="AK204" s="273"/>
      <c r="AL204" s="273"/>
      <c r="AM204" s="273"/>
      <c r="AN204" s="224"/>
      <c r="AO204" s="273"/>
      <c r="AP204" s="273"/>
      <c r="AQ204" s="273"/>
      <c r="AR204" s="273"/>
      <c r="AS204" s="273"/>
      <c r="AT204" s="273"/>
      <c r="AU204" s="273"/>
      <c r="AV204" s="273"/>
      <c r="AW204" s="273"/>
      <c r="AX204" s="273"/>
      <c r="AY204" s="273"/>
      <c r="AZ204" s="923"/>
      <c r="BA204" s="923"/>
    </row>
    <row r="205" spans="1:53">
      <c r="E205" s="277"/>
      <c r="F205" s="273"/>
      <c r="G205" s="273"/>
      <c r="H205" s="273"/>
      <c r="I205" s="273"/>
      <c r="J205" s="273"/>
      <c r="K205" s="273"/>
      <c r="L205" s="273"/>
      <c r="M205" s="273"/>
      <c r="N205" s="224"/>
      <c r="O205" s="273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24"/>
      <c r="AB205" s="273"/>
      <c r="AC205" s="273"/>
      <c r="AD205" s="273"/>
      <c r="AE205" s="273"/>
      <c r="AF205" s="273"/>
      <c r="AG205" s="273"/>
      <c r="AH205" s="273"/>
      <c r="AI205" s="273"/>
      <c r="AJ205" s="273"/>
      <c r="AK205" s="273"/>
      <c r="AL205" s="273"/>
      <c r="AM205" s="273"/>
      <c r="AN205" s="224"/>
      <c r="AO205" s="273"/>
      <c r="AP205" s="273"/>
      <c r="AQ205" s="273"/>
      <c r="AR205" s="273"/>
      <c r="AS205" s="273"/>
      <c r="AT205" s="273"/>
      <c r="AU205" s="273"/>
      <c r="AV205" s="273"/>
      <c r="AW205" s="273"/>
      <c r="AX205" s="273"/>
      <c r="AY205" s="273"/>
      <c r="AZ205" s="923"/>
      <c r="BA205" s="923"/>
    </row>
    <row r="206" spans="1:53">
      <c r="E206" s="277"/>
      <c r="F206" s="273"/>
      <c r="G206" s="273"/>
      <c r="H206" s="273"/>
      <c r="I206" s="273"/>
      <c r="J206" s="273"/>
      <c r="K206" s="273"/>
      <c r="L206" s="273"/>
      <c r="M206" s="273"/>
      <c r="N206" s="224"/>
      <c r="O206" s="273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24"/>
      <c r="AB206" s="273"/>
      <c r="AC206" s="273"/>
      <c r="AD206" s="273"/>
      <c r="AE206" s="273"/>
      <c r="AF206" s="273"/>
      <c r="AG206" s="273"/>
      <c r="AH206" s="273"/>
      <c r="AI206" s="273"/>
      <c r="AJ206" s="273"/>
      <c r="AK206" s="273"/>
      <c r="AL206" s="273"/>
      <c r="AM206" s="273"/>
      <c r="AN206" s="224"/>
      <c r="AO206" s="273"/>
      <c r="AP206" s="273"/>
      <c r="AQ206" s="273"/>
      <c r="AR206" s="273"/>
      <c r="AS206" s="273"/>
      <c r="AT206" s="273"/>
      <c r="AU206" s="273"/>
      <c r="AV206" s="273"/>
      <c r="AW206" s="273"/>
      <c r="AX206" s="273"/>
      <c r="AY206" s="273"/>
      <c r="AZ206" s="923"/>
      <c r="BA206" s="923"/>
    </row>
    <row r="207" spans="1:53">
      <c r="E207" s="277"/>
      <c r="F207" s="273"/>
      <c r="G207" s="273"/>
      <c r="H207" s="273"/>
      <c r="I207" s="273"/>
      <c r="J207" s="273"/>
      <c r="K207" s="273"/>
      <c r="L207" s="273"/>
      <c r="M207" s="273"/>
      <c r="N207" s="224"/>
      <c r="O207" s="273"/>
      <c r="P207" s="273"/>
      <c r="Q207" s="273"/>
      <c r="R207" s="273"/>
      <c r="S207" s="273"/>
      <c r="T207" s="273"/>
      <c r="U207" s="273"/>
      <c r="V207" s="273"/>
      <c r="W207" s="273"/>
      <c r="X207" s="273"/>
      <c r="Y207" s="273"/>
      <c r="Z207" s="273"/>
      <c r="AA207" s="224"/>
      <c r="AB207" s="273"/>
      <c r="AC207" s="273"/>
      <c r="AD207" s="273"/>
      <c r="AE207" s="273"/>
      <c r="AF207" s="273"/>
      <c r="AG207" s="273"/>
      <c r="AH207" s="273"/>
      <c r="AI207" s="273"/>
      <c r="AJ207" s="273"/>
      <c r="AK207" s="273"/>
      <c r="AL207" s="273"/>
      <c r="AM207" s="273"/>
      <c r="AN207" s="224"/>
      <c r="AO207" s="273"/>
      <c r="AP207" s="273"/>
      <c r="AQ207" s="273"/>
      <c r="AR207" s="273"/>
      <c r="AS207" s="273"/>
      <c r="AT207" s="273"/>
      <c r="AU207" s="273"/>
      <c r="AV207" s="273"/>
      <c r="AW207" s="273"/>
      <c r="AX207" s="273"/>
      <c r="AY207" s="273"/>
      <c r="AZ207" s="923"/>
      <c r="BA207" s="923"/>
    </row>
    <row r="208" spans="1:53">
      <c r="E208" s="277"/>
      <c r="F208" s="273"/>
      <c r="G208" s="273"/>
      <c r="H208" s="273"/>
      <c r="I208" s="273"/>
      <c r="J208" s="273"/>
      <c r="K208" s="273"/>
      <c r="L208" s="273"/>
      <c r="M208" s="273"/>
      <c r="N208" s="224"/>
      <c r="O208" s="273"/>
      <c r="P208" s="273"/>
      <c r="Q208" s="273"/>
      <c r="R208" s="273"/>
      <c r="S208" s="273"/>
      <c r="T208" s="273"/>
      <c r="U208" s="273"/>
      <c r="V208" s="273"/>
      <c r="W208" s="273"/>
      <c r="X208" s="273"/>
      <c r="Y208" s="273"/>
      <c r="Z208" s="273"/>
      <c r="AA208" s="224"/>
      <c r="AB208" s="273"/>
      <c r="AC208" s="273"/>
      <c r="AD208" s="273"/>
      <c r="AE208" s="273"/>
      <c r="AF208" s="273"/>
      <c r="AG208" s="273"/>
      <c r="AH208" s="273"/>
      <c r="AI208" s="273"/>
      <c r="AJ208" s="273"/>
      <c r="AK208" s="273"/>
      <c r="AL208" s="273"/>
      <c r="AM208" s="273"/>
      <c r="AN208" s="224"/>
      <c r="AO208" s="273"/>
      <c r="AP208" s="273"/>
      <c r="AQ208" s="273"/>
      <c r="AR208" s="273"/>
      <c r="AS208" s="273"/>
      <c r="AT208" s="273"/>
      <c r="AU208" s="273"/>
      <c r="AV208" s="273"/>
      <c r="AW208" s="273"/>
      <c r="AX208" s="273"/>
      <c r="AY208" s="273"/>
      <c r="AZ208" s="923"/>
      <c r="BA208" s="923"/>
    </row>
    <row r="209" spans="5:53">
      <c r="E209" s="277"/>
      <c r="F209" s="273"/>
      <c r="G209" s="273"/>
      <c r="H209" s="273"/>
      <c r="I209" s="273"/>
      <c r="J209" s="273"/>
      <c r="K209" s="273"/>
      <c r="L209" s="273"/>
      <c r="M209" s="273"/>
      <c r="N209" s="224"/>
      <c r="O209" s="273"/>
      <c r="P209" s="273"/>
      <c r="Q209" s="273"/>
      <c r="R209" s="273"/>
      <c r="S209" s="273"/>
      <c r="T209" s="273"/>
      <c r="U209" s="273"/>
      <c r="V209" s="273"/>
      <c r="W209" s="273"/>
      <c r="X209" s="273"/>
      <c r="Y209" s="273"/>
      <c r="Z209" s="273"/>
      <c r="AA209" s="224"/>
      <c r="AB209" s="273"/>
      <c r="AC209" s="273"/>
      <c r="AD209" s="273"/>
      <c r="AE209" s="273"/>
      <c r="AF209" s="273"/>
      <c r="AG209" s="273"/>
      <c r="AH209" s="273"/>
      <c r="AI209" s="273"/>
      <c r="AJ209" s="273"/>
      <c r="AK209" s="273"/>
      <c r="AL209" s="273"/>
      <c r="AM209" s="273"/>
      <c r="AN209" s="224"/>
      <c r="AO209" s="273"/>
      <c r="AP209" s="273"/>
      <c r="AQ209" s="273"/>
      <c r="AR209" s="273"/>
      <c r="AS209" s="273"/>
      <c r="AT209" s="273"/>
      <c r="AU209" s="273"/>
      <c r="AV209" s="273"/>
      <c r="AW209" s="273"/>
      <c r="AX209" s="273"/>
      <c r="AY209" s="273"/>
      <c r="AZ209" s="923"/>
      <c r="BA209" s="923"/>
    </row>
    <row r="210" spans="5:53">
      <c r="E210" s="277"/>
      <c r="F210" s="273"/>
      <c r="G210" s="273"/>
      <c r="H210" s="273"/>
      <c r="I210" s="273"/>
      <c r="J210" s="273"/>
      <c r="K210" s="273"/>
      <c r="L210" s="273"/>
      <c r="M210" s="273"/>
      <c r="N210" s="224"/>
      <c r="O210" s="273"/>
      <c r="P210" s="273"/>
      <c r="Q210" s="273"/>
      <c r="R210" s="273"/>
      <c r="S210" s="273"/>
      <c r="T210" s="273"/>
      <c r="U210" s="273"/>
      <c r="V210" s="273"/>
      <c r="W210" s="273"/>
      <c r="X210" s="273"/>
      <c r="Y210" s="273"/>
      <c r="Z210" s="273"/>
      <c r="AA210" s="224"/>
      <c r="AB210" s="273"/>
      <c r="AC210" s="273"/>
      <c r="AD210" s="273"/>
      <c r="AE210" s="273"/>
      <c r="AF210" s="273"/>
      <c r="AG210" s="273"/>
      <c r="AH210" s="273"/>
      <c r="AI210" s="273"/>
      <c r="AJ210" s="273"/>
      <c r="AK210" s="273"/>
      <c r="AL210" s="273"/>
      <c r="AM210" s="273"/>
      <c r="AN210" s="224"/>
      <c r="AO210" s="273"/>
      <c r="AP210" s="273"/>
      <c r="AQ210" s="273"/>
      <c r="AR210" s="273"/>
      <c r="AS210" s="273"/>
      <c r="AT210" s="273"/>
      <c r="AU210" s="273"/>
      <c r="AV210" s="273"/>
      <c r="AW210" s="273"/>
      <c r="AX210" s="273"/>
      <c r="AY210" s="273"/>
      <c r="AZ210" s="923"/>
      <c r="BA210" s="923"/>
    </row>
    <row r="211" spans="5:53">
      <c r="E211" s="277"/>
      <c r="F211" s="273"/>
      <c r="G211" s="273"/>
      <c r="H211" s="273"/>
      <c r="I211" s="273"/>
      <c r="J211" s="273"/>
      <c r="K211" s="273"/>
      <c r="L211" s="273"/>
      <c r="M211" s="273"/>
      <c r="N211" s="224"/>
      <c r="O211" s="273"/>
      <c r="P211" s="273"/>
      <c r="Q211" s="273"/>
      <c r="R211" s="273"/>
      <c r="S211" s="273"/>
      <c r="T211" s="273"/>
      <c r="U211" s="273"/>
      <c r="V211" s="273"/>
      <c r="W211" s="273"/>
      <c r="X211" s="273"/>
      <c r="Y211" s="273"/>
      <c r="Z211" s="273"/>
      <c r="AA211" s="224"/>
      <c r="AB211" s="273"/>
      <c r="AC211" s="273"/>
      <c r="AD211" s="273"/>
      <c r="AE211" s="273"/>
      <c r="AF211" s="273"/>
      <c r="AG211" s="273"/>
      <c r="AH211" s="273"/>
      <c r="AI211" s="273"/>
      <c r="AJ211" s="273"/>
      <c r="AK211" s="273"/>
      <c r="AL211" s="273"/>
      <c r="AM211" s="273"/>
      <c r="AN211" s="224"/>
      <c r="AO211" s="273"/>
      <c r="AP211" s="273"/>
      <c r="AQ211" s="273"/>
      <c r="AR211" s="273"/>
      <c r="AS211" s="273"/>
      <c r="AT211" s="273"/>
      <c r="AU211" s="273"/>
      <c r="AV211" s="273"/>
      <c r="AW211" s="273"/>
      <c r="AX211" s="273"/>
      <c r="AY211" s="273"/>
      <c r="AZ211" s="923"/>
      <c r="BA211" s="923"/>
    </row>
    <row r="212" spans="5:53">
      <c r="E212" s="277"/>
      <c r="F212" s="273"/>
      <c r="G212" s="273"/>
      <c r="H212" s="273"/>
      <c r="I212" s="273"/>
      <c r="J212" s="273"/>
      <c r="K212" s="273"/>
      <c r="L212" s="273"/>
      <c r="M212" s="273"/>
      <c r="N212" s="224"/>
      <c r="O212" s="273"/>
      <c r="P212" s="273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  <c r="AA212" s="224"/>
      <c r="AB212" s="273"/>
      <c r="AC212" s="273"/>
      <c r="AD212" s="273"/>
      <c r="AE212" s="273"/>
      <c r="AF212" s="273"/>
      <c r="AG212" s="273"/>
      <c r="AH212" s="273"/>
      <c r="AI212" s="273"/>
      <c r="AJ212" s="273"/>
      <c r="AK212" s="273"/>
      <c r="AL212" s="273"/>
      <c r="AM212" s="273"/>
      <c r="AN212" s="224"/>
      <c r="AO212" s="273"/>
      <c r="AP212" s="273"/>
      <c r="AQ212" s="273"/>
      <c r="AR212" s="273"/>
      <c r="AS212" s="273"/>
      <c r="AT212" s="273"/>
      <c r="AU212" s="273"/>
      <c r="AV212" s="273"/>
      <c r="AW212" s="273"/>
      <c r="AX212" s="273"/>
      <c r="AY212" s="273"/>
      <c r="AZ212" s="923"/>
      <c r="BA212" s="923"/>
    </row>
    <row r="213" spans="5:53">
      <c r="E213" s="277"/>
      <c r="F213" s="273"/>
      <c r="G213" s="273"/>
      <c r="H213" s="273"/>
      <c r="I213" s="273"/>
      <c r="J213" s="273"/>
      <c r="K213" s="273"/>
      <c r="L213" s="273"/>
      <c r="M213" s="273"/>
      <c r="N213" s="224"/>
      <c r="O213" s="273"/>
      <c r="P213" s="273"/>
      <c r="Q213" s="273"/>
      <c r="R213" s="273"/>
      <c r="S213" s="273"/>
      <c r="T213" s="273"/>
      <c r="U213" s="273"/>
      <c r="V213" s="273"/>
      <c r="W213" s="273"/>
      <c r="X213" s="273"/>
      <c r="Y213" s="273"/>
      <c r="Z213" s="273"/>
      <c r="AA213" s="224"/>
      <c r="AB213" s="273"/>
      <c r="AC213" s="273"/>
      <c r="AD213" s="273"/>
      <c r="AE213" s="273"/>
      <c r="AF213" s="273"/>
      <c r="AG213" s="273"/>
      <c r="AH213" s="273"/>
      <c r="AI213" s="273"/>
      <c r="AJ213" s="273"/>
      <c r="AK213" s="273"/>
      <c r="AL213" s="273"/>
      <c r="AM213" s="273"/>
      <c r="AN213" s="224"/>
      <c r="AO213" s="273"/>
      <c r="AP213" s="273"/>
      <c r="AQ213" s="273"/>
      <c r="AR213" s="273"/>
      <c r="AS213" s="273"/>
      <c r="AT213" s="273"/>
      <c r="AU213" s="273"/>
      <c r="AV213" s="273"/>
      <c r="AW213" s="273"/>
      <c r="AX213" s="273"/>
      <c r="AY213" s="273"/>
      <c r="AZ213" s="923"/>
      <c r="BA213" s="923"/>
    </row>
    <row r="214" spans="5:53">
      <c r="E214" s="277"/>
      <c r="F214" s="273"/>
      <c r="G214" s="273"/>
      <c r="H214" s="273"/>
      <c r="I214" s="273"/>
      <c r="J214" s="273"/>
      <c r="K214" s="273"/>
      <c r="L214" s="273"/>
      <c r="M214" s="273"/>
      <c r="N214" s="224"/>
      <c r="O214" s="273"/>
      <c r="P214" s="273"/>
      <c r="Q214" s="273"/>
      <c r="R214" s="273"/>
      <c r="S214" s="273"/>
      <c r="T214" s="273"/>
      <c r="U214" s="273"/>
      <c r="V214" s="273"/>
      <c r="W214" s="273"/>
      <c r="X214" s="273"/>
      <c r="Y214" s="273"/>
      <c r="Z214" s="273"/>
      <c r="AA214" s="224"/>
      <c r="AB214" s="273"/>
      <c r="AC214" s="273"/>
      <c r="AD214" s="273"/>
      <c r="AE214" s="273"/>
      <c r="AF214" s="273"/>
      <c r="AG214" s="273"/>
      <c r="AH214" s="273"/>
      <c r="AI214" s="273"/>
      <c r="AJ214" s="273"/>
      <c r="AK214" s="273"/>
      <c r="AL214" s="273"/>
      <c r="AM214" s="273"/>
      <c r="AN214" s="224"/>
      <c r="AO214" s="273"/>
      <c r="AP214" s="273"/>
      <c r="AQ214" s="273"/>
      <c r="AR214" s="273"/>
      <c r="AS214" s="273"/>
      <c r="AT214" s="273"/>
      <c r="AU214" s="273"/>
      <c r="AV214" s="273"/>
      <c r="AW214" s="273"/>
      <c r="AX214" s="273"/>
      <c r="AY214" s="273"/>
      <c r="AZ214" s="923"/>
      <c r="BA214" s="923"/>
    </row>
    <row r="215" spans="5:53">
      <c r="E215" s="277"/>
      <c r="F215" s="273"/>
      <c r="G215" s="273"/>
      <c r="H215" s="273"/>
      <c r="I215" s="273"/>
      <c r="J215" s="273"/>
      <c r="K215" s="273"/>
      <c r="L215" s="273"/>
      <c r="M215" s="273"/>
      <c r="N215" s="224"/>
      <c r="O215" s="273"/>
      <c r="P215" s="273"/>
      <c r="Q215" s="273"/>
      <c r="R215" s="273"/>
      <c r="S215" s="273"/>
      <c r="T215" s="273"/>
      <c r="U215" s="273"/>
      <c r="V215" s="273"/>
      <c r="W215" s="273"/>
      <c r="X215" s="273"/>
      <c r="Y215" s="273"/>
      <c r="Z215" s="273"/>
      <c r="AA215" s="224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24"/>
      <c r="AO215" s="273"/>
      <c r="AP215" s="273"/>
      <c r="AQ215" s="273"/>
      <c r="AR215" s="273"/>
      <c r="AS215" s="273"/>
      <c r="AT215" s="273"/>
      <c r="AU215" s="273"/>
      <c r="AV215" s="273"/>
      <c r="AW215" s="273"/>
      <c r="AX215" s="273"/>
      <c r="AY215" s="273"/>
      <c r="AZ215" s="923"/>
      <c r="BA215" s="923"/>
    </row>
    <row r="216" spans="5:53">
      <c r="E216" s="277"/>
      <c r="F216" s="273"/>
      <c r="G216" s="273"/>
      <c r="H216" s="273"/>
      <c r="I216" s="273"/>
      <c r="J216" s="273"/>
      <c r="K216" s="273"/>
      <c r="L216" s="273"/>
      <c r="M216" s="273"/>
      <c r="N216" s="224"/>
      <c r="O216" s="273"/>
      <c r="P216" s="273"/>
      <c r="Q216" s="273"/>
      <c r="R216" s="273"/>
      <c r="S216" s="273"/>
      <c r="T216" s="273"/>
      <c r="U216" s="273"/>
      <c r="V216" s="273"/>
      <c r="W216" s="273"/>
      <c r="X216" s="273"/>
      <c r="Y216" s="273"/>
      <c r="Z216" s="273"/>
      <c r="AA216" s="224"/>
      <c r="AB216" s="273"/>
      <c r="AC216" s="273"/>
      <c r="AD216" s="273"/>
      <c r="AE216" s="273"/>
      <c r="AF216" s="273"/>
      <c r="AG216" s="273"/>
      <c r="AH216" s="273"/>
      <c r="AI216" s="273"/>
      <c r="AJ216" s="273"/>
      <c r="AK216" s="273"/>
      <c r="AL216" s="273"/>
      <c r="AM216" s="273"/>
      <c r="AN216" s="224"/>
      <c r="AO216" s="273"/>
      <c r="AP216" s="273"/>
      <c r="AQ216" s="273"/>
      <c r="AR216" s="273"/>
      <c r="AS216" s="273"/>
      <c r="AT216" s="273"/>
      <c r="AU216" s="273"/>
      <c r="AV216" s="273"/>
      <c r="AW216" s="273"/>
      <c r="AX216" s="273"/>
      <c r="AY216" s="273"/>
      <c r="AZ216" s="923"/>
      <c r="BA216" s="923"/>
    </row>
    <row r="217" spans="5:53">
      <c r="E217" s="277"/>
      <c r="F217" s="273"/>
      <c r="G217" s="273"/>
      <c r="H217" s="273"/>
      <c r="I217" s="273"/>
      <c r="J217" s="273"/>
      <c r="K217" s="273"/>
      <c r="L217" s="273"/>
      <c r="M217" s="273"/>
      <c r="N217" s="224"/>
      <c r="O217" s="273"/>
      <c r="P217" s="273"/>
      <c r="Q217" s="273"/>
      <c r="R217" s="273"/>
      <c r="S217" s="273"/>
      <c r="T217" s="273"/>
      <c r="U217" s="273"/>
      <c r="V217" s="273"/>
      <c r="W217" s="273"/>
      <c r="X217" s="273"/>
      <c r="Y217" s="273"/>
      <c r="Z217" s="273"/>
      <c r="AA217" s="224"/>
      <c r="AB217" s="273"/>
      <c r="AC217" s="273"/>
      <c r="AD217" s="273"/>
      <c r="AE217" s="273"/>
      <c r="AF217" s="273"/>
      <c r="AG217" s="273"/>
      <c r="AH217" s="273"/>
      <c r="AI217" s="273"/>
      <c r="AJ217" s="273"/>
      <c r="AK217" s="273"/>
      <c r="AL217" s="273"/>
      <c r="AM217" s="273"/>
      <c r="AN217" s="224"/>
      <c r="AO217" s="273"/>
      <c r="AP217" s="273"/>
      <c r="AQ217" s="273"/>
      <c r="AR217" s="273"/>
      <c r="AS217" s="273"/>
      <c r="AT217" s="273"/>
      <c r="AU217" s="273"/>
      <c r="AV217" s="273"/>
      <c r="AW217" s="273"/>
      <c r="AX217" s="273"/>
      <c r="AY217" s="273"/>
      <c r="AZ217" s="923"/>
      <c r="BA217" s="923"/>
    </row>
    <row r="218" spans="5:53">
      <c r="E218" s="277"/>
      <c r="F218" s="273"/>
      <c r="G218" s="273"/>
      <c r="H218" s="273"/>
      <c r="I218" s="273"/>
      <c r="J218" s="273"/>
      <c r="K218" s="273"/>
      <c r="L218" s="273"/>
      <c r="M218" s="273"/>
      <c r="N218" s="224"/>
      <c r="O218" s="273"/>
      <c r="P218" s="273"/>
      <c r="Q218" s="273"/>
      <c r="R218" s="273"/>
      <c r="S218" s="273"/>
      <c r="T218" s="273"/>
      <c r="U218" s="273"/>
      <c r="V218" s="273"/>
      <c r="W218" s="273"/>
      <c r="X218" s="273"/>
      <c r="Y218" s="273"/>
      <c r="Z218" s="273"/>
      <c r="AA218" s="224"/>
      <c r="AB218" s="273"/>
      <c r="AC218" s="273"/>
      <c r="AD218" s="273"/>
      <c r="AE218" s="273"/>
      <c r="AF218" s="273"/>
      <c r="AG218" s="273"/>
      <c r="AH218" s="273"/>
      <c r="AI218" s="273"/>
      <c r="AJ218" s="273"/>
      <c r="AK218" s="273"/>
      <c r="AL218" s="273"/>
      <c r="AM218" s="273"/>
      <c r="AN218" s="224"/>
      <c r="AO218" s="273"/>
      <c r="AP218" s="273"/>
      <c r="AQ218" s="273"/>
      <c r="AR218" s="273"/>
      <c r="AS218" s="273"/>
      <c r="AT218" s="273"/>
      <c r="AU218" s="273"/>
      <c r="AV218" s="273"/>
      <c r="AW218" s="273"/>
      <c r="AX218" s="273"/>
      <c r="AY218" s="273"/>
      <c r="AZ218" s="923"/>
      <c r="BA218" s="923"/>
    </row>
    <row r="219" spans="5:53">
      <c r="E219" s="277"/>
      <c r="F219" s="273"/>
      <c r="G219" s="273"/>
      <c r="H219" s="273"/>
      <c r="I219" s="273"/>
      <c r="J219" s="273"/>
      <c r="K219" s="273"/>
      <c r="L219" s="273"/>
      <c r="M219" s="273"/>
      <c r="N219" s="224"/>
      <c r="O219" s="273"/>
      <c r="P219" s="273"/>
      <c r="Q219" s="273"/>
      <c r="R219" s="273"/>
      <c r="S219" s="273"/>
      <c r="T219" s="273"/>
      <c r="U219" s="273"/>
      <c r="V219" s="273"/>
      <c r="W219" s="273"/>
      <c r="X219" s="273"/>
      <c r="Y219" s="273"/>
      <c r="Z219" s="273"/>
      <c r="AA219" s="224"/>
      <c r="AB219" s="273"/>
      <c r="AC219" s="273"/>
      <c r="AD219" s="273"/>
      <c r="AE219" s="273"/>
      <c r="AF219" s="273"/>
      <c r="AG219" s="273"/>
      <c r="AH219" s="273"/>
      <c r="AI219" s="273"/>
      <c r="AJ219" s="273"/>
      <c r="AK219" s="273"/>
      <c r="AL219" s="273"/>
      <c r="AM219" s="273"/>
      <c r="AN219" s="224"/>
      <c r="AO219" s="273"/>
      <c r="AP219" s="273"/>
      <c r="AQ219" s="273"/>
      <c r="AR219" s="273"/>
      <c r="AS219" s="273"/>
      <c r="AT219" s="273"/>
      <c r="AU219" s="273"/>
      <c r="AV219" s="273"/>
      <c r="AW219" s="273"/>
      <c r="AX219" s="273"/>
      <c r="AY219" s="273"/>
      <c r="AZ219" s="923"/>
      <c r="BA219" s="923"/>
    </row>
    <row r="220" spans="5:53">
      <c r="E220" s="277"/>
      <c r="F220" s="273"/>
      <c r="G220" s="273"/>
      <c r="H220" s="273"/>
      <c r="I220" s="273"/>
      <c r="J220" s="273"/>
      <c r="K220" s="273"/>
      <c r="L220" s="273"/>
      <c r="M220" s="273"/>
      <c r="N220" s="224"/>
      <c r="O220" s="273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24"/>
      <c r="AB220" s="273"/>
      <c r="AC220" s="273"/>
      <c r="AD220" s="273"/>
      <c r="AE220" s="273"/>
      <c r="AF220" s="273"/>
      <c r="AG220" s="273"/>
      <c r="AH220" s="273"/>
      <c r="AI220" s="273"/>
      <c r="AJ220" s="273"/>
      <c r="AK220" s="273"/>
      <c r="AL220" s="273"/>
      <c r="AM220" s="273"/>
      <c r="AN220" s="224"/>
      <c r="AO220" s="273"/>
      <c r="AP220" s="273"/>
      <c r="AQ220" s="273"/>
      <c r="AR220" s="273"/>
      <c r="AS220" s="273"/>
      <c r="AT220" s="273"/>
      <c r="AU220" s="273"/>
      <c r="AV220" s="273"/>
      <c r="AW220" s="273"/>
      <c r="AX220" s="273"/>
      <c r="AY220" s="273"/>
      <c r="AZ220" s="923"/>
      <c r="BA220" s="923"/>
    </row>
    <row r="221" spans="5:53">
      <c r="E221" s="277"/>
      <c r="F221" s="273"/>
      <c r="G221" s="273"/>
      <c r="H221" s="273"/>
      <c r="I221" s="273"/>
      <c r="J221" s="273"/>
      <c r="K221" s="273"/>
      <c r="L221" s="273"/>
      <c r="M221" s="273"/>
      <c r="N221" s="224"/>
      <c r="O221" s="273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  <c r="AA221" s="224"/>
      <c r="AB221" s="273"/>
      <c r="AC221" s="273"/>
      <c r="AD221" s="273"/>
      <c r="AE221" s="273"/>
      <c r="AF221" s="273"/>
      <c r="AG221" s="273"/>
      <c r="AH221" s="273"/>
      <c r="AI221" s="273"/>
      <c r="AJ221" s="273"/>
      <c r="AK221" s="273"/>
      <c r="AL221" s="273"/>
      <c r="AM221" s="273"/>
      <c r="AN221" s="224"/>
      <c r="AO221" s="273"/>
      <c r="AP221" s="273"/>
      <c r="AQ221" s="273"/>
      <c r="AR221" s="273"/>
      <c r="AS221" s="273"/>
      <c r="AT221" s="273"/>
      <c r="AU221" s="273"/>
      <c r="AV221" s="273"/>
      <c r="AW221" s="273"/>
      <c r="AX221" s="273"/>
      <c r="AY221" s="273"/>
      <c r="AZ221" s="923"/>
      <c r="BA221" s="923"/>
    </row>
    <row r="222" spans="5:53">
      <c r="E222" s="277"/>
      <c r="F222" s="273"/>
      <c r="G222" s="273"/>
      <c r="H222" s="273"/>
      <c r="I222" s="273"/>
      <c r="J222" s="273"/>
      <c r="K222" s="273"/>
      <c r="L222" s="273"/>
      <c r="M222" s="273"/>
      <c r="N222" s="224"/>
      <c r="O222" s="273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24"/>
      <c r="AB222" s="273"/>
      <c r="AC222" s="273"/>
      <c r="AD222" s="273"/>
      <c r="AE222" s="273"/>
      <c r="AF222" s="273"/>
      <c r="AG222" s="273"/>
      <c r="AH222" s="273"/>
      <c r="AI222" s="273"/>
      <c r="AJ222" s="273"/>
      <c r="AK222" s="273"/>
      <c r="AL222" s="273"/>
      <c r="AM222" s="273"/>
      <c r="AN222" s="224"/>
      <c r="AO222" s="273"/>
      <c r="AP222" s="273"/>
      <c r="AQ222" s="273"/>
      <c r="AR222" s="273"/>
      <c r="AS222" s="273"/>
      <c r="AT222" s="273"/>
      <c r="AU222" s="273"/>
      <c r="AV222" s="273"/>
      <c r="AW222" s="273"/>
      <c r="AX222" s="273"/>
      <c r="AY222" s="273"/>
      <c r="AZ222" s="923"/>
      <c r="BA222" s="923"/>
    </row>
    <row r="223" spans="5:53">
      <c r="E223" s="277"/>
      <c r="F223" s="273"/>
      <c r="G223" s="273"/>
      <c r="H223" s="273"/>
      <c r="I223" s="273"/>
      <c r="J223" s="273"/>
      <c r="K223" s="273"/>
      <c r="L223" s="273"/>
      <c r="M223" s="273"/>
      <c r="N223" s="224"/>
      <c r="O223" s="273"/>
      <c r="P223" s="273"/>
      <c r="Q223" s="273"/>
      <c r="R223" s="273"/>
      <c r="S223" s="273"/>
      <c r="T223" s="273"/>
      <c r="U223" s="273"/>
      <c r="V223" s="273"/>
      <c r="W223" s="273"/>
      <c r="X223" s="273"/>
      <c r="Y223" s="273"/>
      <c r="Z223" s="273"/>
      <c r="AA223" s="224"/>
      <c r="AB223" s="273"/>
      <c r="AC223" s="273"/>
      <c r="AD223" s="273"/>
      <c r="AE223" s="273"/>
      <c r="AF223" s="273"/>
      <c r="AG223" s="273"/>
      <c r="AH223" s="273"/>
      <c r="AI223" s="273"/>
      <c r="AJ223" s="273"/>
      <c r="AK223" s="273"/>
      <c r="AL223" s="273"/>
      <c r="AM223" s="273"/>
      <c r="AN223" s="224"/>
      <c r="AO223" s="273"/>
      <c r="AP223" s="273"/>
      <c r="AQ223" s="273"/>
      <c r="AR223" s="273"/>
      <c r="AS223" s="273"/>
      <c r="AT223" s="273"/>
      <c r="AU223" s="273"/>
      <c r="AV223" s="273"/>
      <c r="AW223" s="273"/>
      <c r="AX223" s="273"/>
      <c r="AY223" s="273"/>
      <c r="AZ223" s="923"/>
      <c r="BA223" s="923"/>
    </row>
    <row r="224" spans="5:53">
      <c r="E224" s="277"/>
      <c r="F224" s="273"/>
      <c r="G224" s="273"/>
      <c r="H224" s="273"/>
      <c r="I224" s="273"/>
      <c r="J224" s="273"/>
      <c r="K224" s="273"/>
      <c r="L224" s="273"/>
      <c r="M224" s="273"/>
      <c r="N224" s="224"/>
      <c r="O224" s="273"/>
      <c r="P224" s="273"/>
      <c r="Q224" s="273"/>
      <c r="R224" s="273"/>
      <c r="S224" s="273"/>
      <c r="T224" s="273"/>
      <c r="U224" s="273"/>
      <c r="V224" s="273"/>
      <c r="W224" s="273"/>
      <c r="X224" s="273"/>
      <c r="Y224" s="273"/>
      <c r="Z224" s="273"/>
      <c r="AA224" s="224"/>
      <c r="AB224" s="273"/>
      <c r="AC224" s="273"/>
      <c r="AD224" s="273"/>
      <c r="AE224" s="273"/>
      <c r="AF224" s="273"/>
      <c r="AG224" s="273"/>
      <c r="AH224" s="273"/>
      <c r="AI224" s="273"/>
      <c r="AJ224" s="273"/>
      <c r="AK224" s="273"/>
      <c r="AL224" s="273"/>
      <c r="AM224" s="273"/>
      <c r="AN224" s="224"/>
      <c r="AO224" s="273"/>
      <c r="AP224" s="273"/>
      <c r="AQ224" s="273"/>
      <c r="AR224" s="273"/>
      <c r="AS224" s="273"/>
      <c r="AT224" s="273"/>
      <c r="AU224" s="273"/>
      <c r="AV224" s="273"/>
      <c r="AW224" s="273"/>
      <c r="AX224" s="273"/>
      <c r="AY224" s="273"/>
      <c r="AZ224" s="923"/>
      <c r="BA224" s="923"/>
    </row>
    <row r="225" spans="5:53">
      <c r="E225" s="277"/>
      <c r="F225" s="273"/>
      <c r="G225" s="273"/>
      <c r="H225" s="273"/>
      <c r="I225" s="273"/>
      <c r="J225" s="273"/>
      <c r="K225" s="273"/>
      <c r="L225" s="273"/>
      <c r="M225" s="273"/>
      <c r="N225" s="224"/>
      <c r="O225" s="273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  <c r="AA225" s="224"/>
      <c r="AB225" s="273"/>
      <c r="AC225" s="273"/>
      <c r="AD225" s="273"/>
      <c r="AE225" s="273"/>
      <c r="AF225" s="273"/>
      <c r="AG225" s="273"/>
      <c r="AH225" s="273"/>
      <c r="AI225" s="273"/>
      <c r="AJ225" s="273"/>
      <c r="AK225" s="273"/>
      <c r="AL225" s="273"/>
      <c r="AM225" s="273"/>
      <c r="AN225" s="224"/>
      <c r="AO225" s="273"/>
      <c r="AP225" s="273"/>
      <c r="AQ225" s="273"/>
      <c r="AR225" s="273"/>
      <c r="AS225" s="273"/>
      <c r="AT225" s="273"/>
      <c r="AU225" s="273"/>
      <c r="AV225" s="273"/>
      <c r="AW225" s="273"/>
      <c r="AX225" s="273"/>
      <c r="AY225" s="273"/>
      <c r="AZ225" s="923"/>
      <c r="BA225" s="923"/>
    </row>
    <row r="226" spans="5:53">
      <c r="E226" s="277"/>
      <c r="F226" s="273"/>
      <c r="G226" s="273"/>
      <c r="H226" s="273"/>
      <c r="I226" s="273"/>
      <c r="J226" s="273"/>
      <c r="K226" s="273"/>
      <c r="L226" s="273"/>
      <c r="M226" s="273"/>
      <c r="N226" s="224"/>
      <c r="O226" s="273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  <c r="AA226" s="224"/>
      <c r="AB226" s="273"/>
      <c r="AC226" s="273"/>
      <c r="AD226" s="273"/>
      <c r="AE226" s="273"/>
      <c r="AF226" s="273"/>
      <c r="AG226" s="273"/>
      <c r="AH226" s="273"/>
      <c r="AI226" s="273"/>
      <c r="AJ226" s="273"/>
      <c r="AK226" s="273"/>
      <c r="AL226" s="273"/>
      <c r="AM226" s="273"/>
      <c r="AN226" s="224"/>
      <c r="AO226" s="273"/>
      <c r="AP226" s="273"/>
      <c r="AQ226" s="273"/>
      <c r="AR226" s="273"/>
      <c r="AS226" s="273"/>
      <c r="AT226" s="273"/>
      <c r="AU226" s="273"/>
      <c r="AV226" s="273"/>
      <c r="AW226" s="273"/>
      <c r="AX226" s="273"/>
      <c r="AY226" s="273"/>
      <c r="AZ226" s="923"/>
      <c r="BA226" s="923"/>
    </row>
    <row r="227" spans="5:53">
      <c r="E227" s="277"/>
      <c r="F227" s="273"/>
      <c r="G227" s="273"/>
      <c r="H227" s="273"/>
      <c r="I227" s="273"/>
      <c r="J227" s="273"/>
      <c r="K227" s="273"/>
      <c r="L227" s="273"/>
      <c r="M227" s="273"/>
      <c r="N227" s="224"/>
      <c r="O227" s="273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  <c r="AA227" s="224"/>
      <c r="AB227" s="273"/>
      <c r="AC227" s="273"/>
      <c r="AD227" s="273"/>
      <c r="AE227" s="273"/>
      <c r="AF227" s="273"/>
      <c r="AG227" s="273"/>
      <c r="AH227" s="273"/>
      <c r="AI227" s="273"/>
      <c r="AJ227" s="273"/>
      <c r="AK227" s="273"/>
      <c r="AL227" s="273"/>
      <c r="AM227" s="273"/>
      <c r="AN227" s="224"/>
      <c r="AO227" s="273"/>
      <c r="AP227" s="273"/>
      <c r="AQ227" s="273"/>
      <c r="AR227" s="273"/>
      <c r="AS227" s="273"/>
      <c r="AT227" s="273"/>
      <c r="AU227" s="273"/>
      <c r="AV227" s="273"/>
      <c r="AW227" s="273"/>
      <c r="AX227" s="273"/>
      <c r="AY227" s="273"/>
      <c r="AZ227" s="923"/>
      <c r="BA227" s="923"/>
    </row>
    <row r="228" spans="5:53">
      <c r="E228" s="277"/>
      <c r="F228" s="273"/>
      <c r="G228" s="273"/>
      <c r="H228" s="273"/>
      <c r="I228" s="273"/>
      <c r="J228" s="273"/>
      <c r="K228" s="273"/>
      <c r="L228" s="273"/>
      <c r="M228" s="273"/>
      <c r="N228" s="224"/>
      <c r="O228" s="273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  <c r="AA228" s="224"/>
      <c r="AB228" s="273"/>
      <c r="AC228" s="273"/>
      <c r="AD228" s="273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24"/>
      <c r="AO228" s="273"/>
      <c r="AP228" s="273"/>
      <c r="AQ228" s="273"/>
      <c r="AR228" s="273"/>
      <c r="AS228" s="273"/>
      <c r="AT228" s="273"/>
      <c r="AU228" s="273"/>
      <c r="AV228" s="273"/>
      <c r="AW228" s="273"/>
      <c r="AX228" s="273"/>
      <c r="AY228" s="273"/>
      <c r="AZ228" s="923"/>
      <c r="BA228" s="923"/>
    </row>
    <row r="229" spans="5:53">
      <c r="E229" s="277"/>
      <c r="F229" s="273"/>
      <c r="G229" s="273"/>
      <c r="H229" s="273"/>
      <c r="I229" s="273"/>
      <c r="J229" s="273"/>
      <c r="K229" s="273"/>
      <c r="L229" s="273"/>
      <c r="M229" s="273"/>
      <c r="N229" s="224"/>
      <c r="O229" s="273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  <c r="AA229" s="224"/>
      <c r="AB229" s="273"/>
      <c r="AC229" s="273"/>
      <c r="AD229" s="273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24"/>
      <c r="AO229" s="273"/>
      <c r="AP229" s="273"/>
      <c r="AQ229" s="273"/>
      <c r="AR229" s="273"/>
      <c r="AS229" s="273"/>
      <c r="AT229" s="273"/>
      <c r="AU229" s="273"/>
      <c r="AV229" s="273"/>
      <c r="AW229" s="273"/>
      <c r="AX229" s="273"/>
      <c r="AY229" s="273"/>
      <c r="AZ229" s="923"/>
      <c r="BA229" s="923"/>
    </row>
    <row r="230" spans="5:53">
      <c r="E230" s="277"/>
      <c r="F230" s="273"/>
      <c r="G230" s="273"/>
      <c r="H230" s="273"/>
      <c r="I230" s="273"/>
      <c r="J230" s="273"/>
      <c r="K230" s="273"/>
      <c r="L230" s="273"/>
      <c r="M230" s="273"/>
      <c r="N230" s="224"/>
      <c r="O230" s="273"/>
      <c r="P230" s="273"/>
      <c r="Q230" s="273"/>
      <c r="R230" s="273"/>
      <c r="S230" s="273"/>
      <c r="T230" s="273"/>
      <c r="U230" s="273"/>
      <c r="V230" s="273"/>
      <c r="W230" s="273"/>
      <c r="X230" s="273"/>
      <c r="Y230" s="273"/>
      <c r="Z230" s="273"/>
      <c r="AA230" s="224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24"/>
      <c r="AO230" s="273"/>
      <c r="AP230" s="273"/>
      <c r="AQ230" s="273"/>
      <c r="AR230" s="273"/>
      <c r="AS230" s="273"/>
      <c r="AT230" s="273"/>
      <c r="AU230" s="273"/>
      <c r="AV230" s="273"/>
      <c r="AW230" s="273"/>
      <c r="AX230" s="273"/>
      <c r="AY230" s="273"/>
      <c r="AZ230" s="923"/>
      <c r="BA230" s="923"/>
    </row>
    <row r="231" spans="5:53">
      <c r="E231" s="277"/>
      <c r="F231" s="273"/>
      <c r="G231" s="273"/>
      <c r="H231" s="273"/>
      <c r="I231" s="273"/>
      <c r="J231" s="273"/>
      <c r="K231" s="273"/>
      <c r="L231" s="273"/>
      <c r="M231" s="273"/>
      <c r="N231" s="224"/>
      <c r="O231" s="273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  <c r="AA231" s="224"/>
      <c r="AB231" s="273"/>
      <c r="AC231" s="273"/>
      <c r="AD231" s="273"/>
      <c r="AE231" s="273"/>
      <c r="AF231" s="273"/>
      <c r="AG231" s="273"/>
      <c r="AH231" s="273"/>
      <c r="AI231" s="273"/>
      <c r="AJ231" s="273"/>
      <c r="AK231" s="273"/>
      <c r="AL231" s="273"/>
      <c r="AM231" s="273"/>
      <c r="AN231" s="224"/>
      <c r="AO231" s="273"/>
      <c r="AP231" s="273"/>
      <c r="AQ231" s="273"/>
      <c r="AR231" s="273"/>
      <c r="AS231" s="273"/>
      <c r="AT231" s="273"/>
      <c r="AU231" s="273"/>
      <c r="AV231" s="273"/>
      <c r="AW231" s="273"/>
      <c r="AX231" s="273"/>
      <c r="AY231" s="273"/>
      <c r="AZ231" s="923"/>
      <c r="BA231" s="923"/>
    </row>
    <row r="232" spans="5:53">
      <c r="E232" s="277"/>
      <c r="F232" s="273"/>
      <c r="G232" s="273"/>
      <c r="H232" s="273"/>
      <c r="I232" s="273"/>
      <c r="J232" s="273"/>
      <c r="K232" s="273"/>
      <c r="L232" s="273"/>
      <c r="M232" s="273"/>
      <c r="N232" s="224"/>
      <c r="O232" s="273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  <c r="AA232" s="224"/>
      <c r="AB232" s="273"/>
      <c r="AC232" s="273"/>
      <c r="AD232" s="273"/>
      <c r="AE232" s="273"/>
      <c r="AF232" s="273"/>
      <c r="AG232" s="273"/>
      <c r="AH232" s="273"/>
      <c r="AI232" s="273"/>
      <c r="AJ232" s="273"/>
      <c r="AK232" s="273"/>
      <c r="AL232" s="273"/>
      <c r="AM232" s="273"/>
      <c r="AN232" s="224"/>
      <c r="AO232" s="273"/>
      <c r="AP232" s="273"/>
      <c r="AQ232" s="273"/>
      <c r="AR232" s="273"/>
      <c r="AS232" s="273"/>
      <c r="AT232" s="273"/>
      <c r="AU232" s="273"/>
      <c r="AV232" s="273"/>
      <c r="AW232" s="273"/>
      <c r="AX232" s="273"/>
      <c r="AY232" s="273"/>
      <c r="AZ232" s="923"/>
      <c r="BA232" s="923"/>
    </row>
    <row r="233" spans="5:53">
      <c r="E233" s="277"/>
      <c r="F233" s="273"/>
      <c r="G233" s="273"/>
      <c r="H233" s="273"/>
      <c r="I233" s="273"/>
      <c r="J233" s="273"/>
      <c r="K233" s="273"/>
      <c r="L233" s="273"/>
      <c r="M233" s="273"/>
      <c r="N233" s="224"/>
      <c r="O233" s="273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  <c r="AA233" s="224"/>
      <c r="AB233" s="273"/>
      <c r="AC233" s="273"/>
      <c r="AD233" s="273"/>
      <c r="AE233" s="273"/>
      <c r="AF233" s="273"/>
      <c r="AG233" s="273"/>
      <c r="AH233" s="273"/>
      <c r="AI233" s="273"/>
      <c r="AJ233" s="273"/>
      <c r="AK233" s="273"/>
      <c r="AL233" s="273"/>
      <c r="AM233" s="273"/>
      <c r="AN233" s="224"/>
      <c r="AO233" s="273"/>
      <c r="AP233" s="273"/>
      <c r="AQ233" s="273"/>
      <c r="AR233" s="273"/>
      <c r="AS233" s="273"/>
      <c r="AT233" s="273"/>
      <c r="AU233" s="273"/>
      <c r="AV233" s="273"/>
      <c r="AW233" s="273"/>
      <c r="AX233" s="273"/>
      <c r="AY233" s="273"/>
      <c r="AZ233" s="923"/>
      <c r="BA233" s="923"/>
    </row>
    <row r="234" spans="5:53">
      <c r="E234" s="277"/>
      <c r="F234" s="273"/>
      <c r="G234" s="273"/>
      <c r="H234" s="273"/>
      <c r="I234" s="273"/>
      <c r="J234" s="273"/>
      <c r="K234" s="273"/>
      <c r="L234" s="273"/>
      <c r="M234" s="273"/>
      <c r="N234" s="224"/>
      <c r="O234" s="273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24"/>
      <c r="AB234" s="273"/>
      <c r="AC234" s="273"/>
      <c r="AD234" s="273"/>
      <c r="AE234" s="273"/>
      <c r="AF234" s="273"/>
      <c r="AG234" s="273"/>
      <c r="AH234" s="273"/>
      <c r="AI234" s="273"/>
      <c r="AJ234" s="273"/>
      <c r="AK234" s="273"/>
      <c r="AL234" s="273"/>
      <c r="AM234" s="273"/>
      <c r="AN234" s="224"/>
      <c r="AO234" s="273"/>
      <c r="AP234" s="273"/>
      <c r="AQ234" s="273"/>
      <c r="AR234" s="273"/>
      <c r="AS234" s="273"/>
      <c r="AT234" s="273"/>
      <c r="AU234" s="273"/>
      <c r="AV234" s="273"/>
      <c r="AW234" s="273"/>
      <c r="AX234" s="273"/>
      <c r="AY234" s="273"/>
      <c r="AZ234" s="923"/>
      <c r="BA234" s="923"/>
    </row>
    <row r="235" spans="5:53">
      <c r="E235" s="277"/>
      <c r="F235" s="273"/>
      <c r="G235" s="273"/>
      <c r="H235" s="273"/>
      <c r="I235" s="273"/>
      <c r="J235" s="273"/>
      <c r="K235" s="273"/>
      <c r="L235" s="273"/>
      <c r="M235" s="273"/>
      <c r="N235" s="224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24"/>
      <c r="AB235" s="273"/>
      <c r="AC235" s="273"/>
      <c r="AD235" s="273"/>
      <c r="AE235" s="273"/>
      <c r="AF235" s="273"/>
      <c r="AG235" s="273"/>
      <c r="AH235" s="273"/>
      <c r="AI235" s="273"/>
      <c r="AJ235" s="273"/>
      <c r="AK235" s="273"/>
      <c r="AL235" s="273"/>
      <c r="AM235" s="273"/>
      <c r="AN235" s="224"/>
      <c r="AO235" s="273"/>
      <c r="AP235" s="273"/>
      <c r="AQ235" s="273"/>
      <c r="AR235" s="273"/>
      <c r="AS235" s="273"/>
      <c r="AT235" s="273"/>
      <c r="AU235" s="273"/>
      <c r="AV235" s="273"/>
      <c r="AW235" s="273"/>
      <c r="AX235" s="273"/>
      <c r="AY235" s="273"/>
      <c r="AZ235" s="923"/>
      <c r="BA235" s="923"/>
    </row>
    <row r="236" spans="5:53">
      <c r="E236" s="277"/>
      <c r="F236" s="273"/>
      <c r="G236" s="273"/>
      <c r="H236" s="273"/>
      <c r="I236" s="273"/>
      <c r="J236" s="273"/>
      <c r="K236" s="273"/>
      <c r="L236" s="273"/>
      <c r="M236" s="273"/>
      <c r="N236" s="224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24"/>
      <c r="AB236" s="273"/>
      <c r="AC236" s="273"/>
      <c r="AD236" s="273"/>
      <c r="AE236" s="273"/>
      <c r="AF236" s="273"/>
      <c r="AG236" s="273"/>
      <c r="AH236" s="273"/>
      <c r="AI236" s="273"/>
      <c r="AJ236" s="273"/>
      <c r="AK236" s="273"/>
      <c r="AL236" s="273"/>
      <c r="AM236" s="273"/>
      <c r="AN236" s="224"/>
      <c r="AO236" s="273"/>
      <c r="AP236" s="273"/>
      <c r="AQ236" s="273"/>
      <c r="AR236" s="273"/>
      <c r="AS236" s="273"/>
      <c r="AT236" s="273"/>
      <c r="AU236" s="273"/>
      <c r="AV236" s="273"/>
      <c r="AW236" s="273"/>
      <c r="AX236" s="273"/>
      <c r="AY236" s="273"/>
      <c r="AZ236" s="923"/>
      <c r="BA236" s="923"/>
    </row>
    <row r="237" spans="5:53">
      <c r="E237" s="277"/>
      <c r="F237" s="273"/>
      <c r="G237" s="273"/>
      <c r="H237" s="273"/>
      <c r="I237" s="273"/>
      <c r="J237" s="273"/>
      <c r="K237" s="273"/>
      <c r="L237" s="273"/>
      <c r="M237" s="273"/>
      <c r="N237" s="224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24"/>
      <c r="AB237" s="273"/>
      <c r="AC237" s="273"/>
      <c r="AD237" s="273"/>
      <c r="AE237" s="273"/>
      <c r="AF237" s="273"/>
      <c r="AG237" s="273"/>
      <c r="AH237" s="273"/>
      <c r="AI237" s="273"/>
      <c r="AJ237" s="273"/>
      <c r="AK237" s="273"/>
      <c r="AL237" s="273"/>
      <c r="AM237" s="273"/>
      <c r="AN237" s="224"/>
      <c r="AO237" s="273"/>
      <c r="AP237" s="273"/>
      <c r="AQ237" s="273"/>
      <c r="AR237" s="273"/>
      <c r="AS237" s="273"/>
      <c r="AT237" s="273"/>
      <c r="AU237" s="273"/>
      <c r="AV237" s="273"/>
      <c r="AW237" s="273"/>
      <c r="AX237" s="273"/>
      <c r="AY237" s="273"/>
      <c r="AZ237" s="923"/>
      <c r="BA237" s="923"/>
    </row>
    <row r="238" spans="5:53">
      <c r="E238" s="277"/>
      <c r="F238" s="273"/>
      <c r="G238" s="273"/>
      <c r="H238" s="273"/>
      <c r="I238" s="273"/>
      <c r="J238" s="273"/>
      <c r="K238" s="273"/>
      <c r="L238" s="273"/>
      <c r="M238" s="273"/>
      <c r="N238" s="224"/>
      <c r="O238" s="273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24"/>
      <c r="AB238" s="273"/>
      <c r="AC238" s="273"/>
      <c r="AD238" s="273"/>
      <c r="AE238" s="273"/>
      <c r="AF238" s="273"/>
      <c r="AG238" s="273"/>
      <c r="AH238" s="273"/>
      <c r="AI238" s="273"/>
      <c r="AJ238" s="273"/>
      <c r="AK238" s="273"/>
      <c r="AL238" s="273"/>
      <c r="AM238" s="273"/>
      <c r="AN238" s="224"/>
      <c r="AO238" s="273"/>
      <c r="AP238" s="273"/>
      <c r="AQ238" s="273"/>
      <c r="AR238" s="273"/>
      <c r="AS238" s="273"/>
      <c r="AT238" s="273"/>
      <c r="AU238" s="273"/>
      <c r="AV238" s="273"/>
      <c r="AW238" s="273"/>
      <c r="AX238" s="273"/>
      <c r="AY238" s="273"/>
      <c r="AZ238" s="923"/>
      <c r="BA238" s="923"/>
    </row>
    <row r="239" spans="5:53">
      <c r="E239" s="277"/>
      <c r="F239" s="273"/>
      <c r="G239" s="273"/>
      <c r="H239" s="273"/>
      <c r="I239" s="273"/>
      <c r="J239" s="273"/>
      <c r="K239" s="273"/>
      <c r="L239" s="273"/>
      <c r="M239" s="273"/>
      <c r="N239" s="224"/>
      <c r="O239" s="273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24"/>
      <c r="AB239" s="273"/>
      <c r="AC239" s="273"/>
      <c r="AD239" s="273"/>
      <c r="AE239" s="273"/>
      <c r="AF239" s="273"/>
      <c r="AG239" s="273"/>
      <c r="AH239" s="273"/>
      <c r="AI239" s="273"/>
      <c r="AJ239" s="273"/>
      <c r="AK239" s="273"/>
      <c r="AL239" s="273"/>
      <c r="AM239" s="273"/>
      <c r="AN239" s="224"/>
      <c r="AO239" s="273"/>
      <c r="AP239" s="273"/>
      <c r="AQ239" s="273"/>
      <c r="AR239" s="273"/>
      <c r="AS239" s="273"/>
      <c r="AT239" s="273"/>
      <c r="AU239" s="273"/>
      <c r="AV239" s="273"/>
      <c r="AW239" s="273"/>
      <c r="AX239" s="273"/>
      <c r="AY239" s="273"/>
      <c r="AZ239" s="923"/>
      <c r="BA239" s="923"/>
    </row>
    <row r="240" spans="5:53">
      <c r="E240" s="277"/>
      <c r="F240" s="273"/>
      <c r="G240" s="273"/>
      <c r="H240" s="273"/>
      <c r="I240" s="273"/>
      <c r="J240" s="273"/>
      <c r="K240" s="273"/>
      <c r="L240" s="273"/>
      <c r="M240" s="273"/>
      <c r="N240" s="224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24"/>
      <c r="AB240" s="273"/>
      <c r="AC240" s="273"/>
      <c r="AD240" s="273"/>
      <c r="AE240" s="273"/>
      <c r="AF240" s="273"/>
      <c r="AG240" s="273"/>
      <c r="AH240" s="273"/>
      <c r="AI240" s="273"/>
      <c r="AJ240" s="273"/>
      <c r="AK240" s="273"/>
      <c r="AL240" s="273"/>
      <c r="AM240" s="273"/>
      <c r="AN240" s="224"/>
      <c r="AO240" s="273"/>
      <c r="AP240" s="273"/>
      <c r="AQ240" s="273"/>
      <c r="AR240" s="273"/>
      <c r="AS240" s="273"/>
      <c r="AT240" s="273"/>
      <c r="AU240" s="273"/>
      <c r="AV240" s="273"/>
      <c r="AW240" s="273"/>
      <c r="AX240" s="273"/>
      <c r="AY240" s="273"/>
      <c r="AZ240" s="923"/>
      <c r="BA240" s="923"/>
    </row>
    <row r="241" spans="5:53">
      <c r="E241" s="277"/>
      <c r="F241" s="273"/>
      <c r="G241" s="273"/>
      <c r="H241" s="273"/>
      <c r="I241" s="273"/>
      <c r="J241" s="273"/>
      <c r="K241" s="273"/>
      <c r="L241" s="273"/>
      <c r="M241" s="273"/>
      <c r="N241" s="224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24"/>
      <c r="AB241" s="273"/>
      <c r="AC241" s="273"/>
      <c r="AD241" s="273"/>
      <c r="AE241" s="273"/>
      <c r="AF241" s="273"/>
      <c r="AG241" s="273"/>
      <c r="AH241" s="273"/>
      <c r="AI241" s="273"/>
      <c r="AJ241" s="273"/>
      <c r="AK241" s="273"/>
      <c r="AL241" s="273"/>
      <c r="AM241" s="273"/>
      <c r="AN241" s="224"/>
      <c r="AO241" s="273"/>
      <c r="AP241" s="273"/>
      <c r="AQ241" s="273"/>
      <c r="AR241" s="273"/>
      <c r="AS241" s="273"/>
      <c r="AT241" s="273"/>
      <c r="AU241" s="273"/>
      <c r="AV241" s="273"/>
      <c r="AW241" s="273"/>
      <c r="AX241" s="273"/>
      <c r="AY241" s="273"/>
      <c r="AZ241" s="923"/>
      <c r="BA241" s="923"/>
    </row>
    <row r="242" spans="5:53">
      <c r="E242" s="277"/>
      <c r="F242" s="273"/>
      <c r="G242" s="273"/>
      <c r="H242" s="273"/>
      <c r="I242" s="273"/>
      <c r="J242" s="273"/>
      <c r="K242" s="273"/>
      <c r="L242" s="273"/>
      <c r="M242" s="273"/>
      <c r="N242" s="224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24"/>
      <c r="AB242" s="273"/>
      <c r="AC242" s="273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24"/>
      <c r="AO242" s="273"/>
      <c r="AP242" s="273"/>
      <c r="AQ242" s="273"/>
      <c r="AR242" s="273"/>
      <c r="AS242" s="273"/>
      <c r="AT242" s="273"/>
      <c r="AU242" s="273"/>
      <c r="AV242" s="273"/>
      <c r="AW242" s="273"/>
      <c r="AX242" s="273"/>
      <c r="AY242" s="273"/>
      <c r="AZ242" s="923"/>
      <c r="BA242" s="923"/>
    </row>
    <row r="243" spans="5:53">
      <c r="E243" s="277"/>
      <c r="F243" s="273"/>
      <c r="G243" s="273"/>
      <c r="H243" s="273"/>
      <c r="I243" s="273"/>
      <c r="J243" s="273"/>
      <c r="K243" s="273"/>
      <c r="L243" s="273"/>
      <c r="M243" s="273"/>
      <c r="N243" s="224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24"/>
      <c r="AB243" s="273"/>
      <c r="AC243" s="273"/>
      <c r="AD243" s="273"/>
      <c r="AE243" s="273"/>
      <c r="AF243" s="273"/>
      <c r="AG243" s="273"/>
      <c r="AH243" s="273"/>
      <c r="AI243" s="273"/>
      <c r="AJ243" s="273"/>
      <c r="AK243" s="273"/>
      <c r="AL243" s="273"/>
      <c r="AM243" s="273"/>
      <c r="AN243" s="224"/>
      <c r="AO243" s="273"/>
      <c r="AP243" s="273"/>
      <c r="AQ243" s="273"/>
      <c r="AR243" s="273"/>
      <c r="AS243" s="273"/>
      <c r="AT243" s="273"/>
      <c r="AU243" s="273"/>
      <c r="AV243" s="273"/>
      <c r="AW243" s="273"/>
      <c r="AX243" s="273"/>
      <c r="AY243" s="273"/>
      <c r="AZ243" s="923"/>
      <c r="BA243" s="923"/>
    </row>
    <row r="244" spans="5:53">
      <c r="E244" s="277"/>
      <c r="F244" s="273"/>
      <c r="G244" s="273"/>
      <c r="H244" s="273"/>
      <c r="I244" s="273"/>
      <c r="J244" s="273"/>
      <c r="K244" s="273"/>
      <c r="L244" s="273"/>
      <c r="M244" s="273"/>
      <c r="N244" s="224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24"/>
      <c r="AB244" s="273"/>
      <c r="AC244" s="273"/>
      <c r="AD244" s="273"/>
      <c r="AE244" s="273"/>
      <c r="AF244" s="273"/>
      <c r="AG244" s="273"/>
      <c r="AH244" s="273"/>
      <c r="AI244" s="273"/>
      <c r="AJ244" s="273"/>
      <c r="AK244" s="273"/>
      <c r="AL244" s="273"/>
      <c r="AM244" s="273"/>
      <c r="AN244" s="224"/>
      <c r="AO244" s="273"/>
      <c r="AP244" s="273"/>
      <c r="AQ244" s="273"/>
      <c r="AR244" s="273"/>
      <c r="AS244" s="273"/>
      <c r="AT244" s="273"/>
      <c r="AU244" s="273"/>
      <c r="AV244" s="273"/>
      <c r="AW244" s="273"/>
      <c r="AX244" s="273"/>
      <c r="AY244" s="273"/>
      <c r="AZ244" s="923"/>
      <c r="BA244" s="923"/>
    </row>
    <row r="245" spans="5:53">
      <c r="E245" s="277"/>
      <c r="F245" s="273"/>
      <c r="G245" s="273"/>
      <c r="H245" s="273"/>
      <c r="I245" s="273"/>
      <c r="J245" s="273"/>
      <c r="K245" s="273"/>
      <c r="L245" s="273"/>
      <c r="M245" s="273"/>
      <c r="N245" s="224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24"/>
      <c r="AB245" s="273"/>
      <c r="AC245" s="273"/>
      <c r="AD245" s="273"/>
      <c r="AE245" s="273"/>
      <c r="AF245" s="273"/>
      <c r="AG245" s="273"/>
      <c r="AH245" s="273"/>
      <c r="AI245" s="273"/>
      <c r="AJ245" s="273"/>
      <c r="AK245" s="273"/>
      <c r="AL245" s="273"/>
      <c r="AM245" s="273"/>
      <c r="AN245" s="224"/>
      <c r="AO245" s="273"/>
      <c r="AP245" s="273"/>
      <c r="AQ245" s="273"/>
      <c r="AR245" s="273"/>
      <c r="AS245" s="273"/>
      <c r="AT245" s="273"/>
      <c r="AU245" s="273"/>
      <c r="AV245" s="273"/>
      <c r="AW245" s="273"/>
      <c r="AX245" s="273"/>
      <c r="AY245" s="273"/>
      <c r="AZ245" s="923"/>
      <c r="BA245" s="923"/>
    </row>
    <row r="246" spans="5:53">
      <c r="E246" s="277"/>
      <c r="F246" s="273"/>
      <c r="G246" s="273"/>
      <c r="H246" s="273"/>
      <c r="I246" s="273"/>
      <c r="J246" s="273"/>
      <c r="K246" s="273"/>
      <c r="L246" s="273"/>
      <c r="M246" s="273"/>
      <c r="N246" s="224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24"/>
      <c r="AB246" s="273"/>
      <c r="AC246" s="273"/>
      <c r="AD246" s="273"/>
      <c r="AE246" s="273"/>
      <c r="AF246" s="273"/>
      <c r="AG246" s="273"/>
      <c r="AH246" s="273"/>
      <c r="AI246" s="273"/>
      <c r="AJ246" s="273"/>
      <c r="AK246" s="273"/>
      <c r="AL246" s="273"/>
      <c r="AM246" s="273"/>
      <c r="AN246" s="224"/>
      <c r="AO246" s="273"/>
      <c r="AP246" s="273"/>
      <c r="AQ246" s="273"/>
      <c r="AR246" s="273"/>
      <c r="AS246" s="273"/>
      <c r="AT246" s="273"/>
      <c r="AU246" s="273"/>
      <c r="AV246" s="273"/>
      <c r="AW246" s="273"/>
      <c r="AX246" s="273"/>
      <c r="AY246" s="273"/>
      <c r="AZ246" s="923"/>
      <c r="BA246" s="923"/>
    </row>
    <row r="247" spans="5:53">
      <c r="E247" s="277"/>
      <c r="F247" s="273"/>
      <c r="G247" s="273"/>
      <c r="H247" s="273"/>
      <c r="I247" s="273"/>
      <c r="J247" s="273"/>
      <c r="K247" s="273"/>
      <c r="L247" s="273"/>
      <c r="M247" s="273"/>
      <c r="N247" s="224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24"/>
      <c r="AB247" s="273"/>
      <c r="AC247" s="273"/>
      <c r="AD247" s="273"/>
      <c r="AE247" s="273"/>
      <c r="AF247" s="273"/>
      <c r="AG247" s="273"/>
      <c r="AH247" s="273"/>
      <c r="AI247" s="273"/>
      <c r="AJ247" s="273"/>
      <c r="AK247" s="273"/>
      <c r="AL247" s="273"/>
      <c r="AM247" s="273"/>
      <c r="AN247" s="224"/>
      <c r="AO247" s="273"/>
      <c r="AP247" s="273"/>
      <c r="AQ247" s="273"/>
      <c r="AR247" s="273"/>
      <c r="AS247" s="273"/>
      <c r="AT247" s="273"/>
      <c r="AU247" s="273"/>
      <c r="AV247" s="273"/>
      <c r="AW247" s="273"/>
      <c r="AX247" s="273"/>
      <c r="AY247" s="273"/>
      <c r="AZ247" s="923"/>
      <c r="BA247" s="923"/>
    </row>
    <row r="248" spans="5:53">
      <c r="E248" s="277"/>
      <c r="F248" s="273"/>
      <c r="G248" s="273"/>
      <c r="H248" s="273"/>
      <c r="I248" s="273"/>
      <c r="J248" s="273"/>
      <c r="K248" s="273"/>
      <c r="L248" s="273"/>
      <c r="M248" s="273"/>
      <c r="N248" s="224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24"/>
      <c r="AB248" s="273"/>
      <c r="AC248" s="273"/>
      <c r="AD248" s="273"/>
      <c r="AE248" s="273"/>
      <c r="AF248" s="273"/>
      <c r="AG248" s="273"/>
      <c r="AH248" s="273"/>
      <c r="AI248" s="273"/>
      <c r="AJ248" s="273"/>
      <c r="AK248" s="273"/>
      <c r="AL248" s="273"/>
      <c r="AM248" s="273"/>
      <c r="AN248" s="224"/>
      <c r="AO248" s="273"/>
      <c r="AP248" s="273"/>
      <c r="AQ248" s="273"/>
      <c r="AR248" s="273"/>
      <c r="AS248" s="273"/>
      <c r="AT248" s="273"/>
      <c r="AU248" s="273"/>
      <c r="AV248" s="273"/>
      <c r="AW248" s="273"/>
      <c r="AX248" s="273"/>
      <c r="AY248" s="273"/>
      <c r="AZ248" s="923"/>
      <c r="BA248" s="923"/>
    </row>
    <row r="249" spans="5:53">
      <c r="E249" s="277"/>
      <c r="F249" s="273"/>
      <c r="G249" s="273"/>
      <c r="H249" s="273"/>
      <c r="I249" s="273"/>
      <c r="J249" s="273"/>
      <c r="K249" s="273"/>
      <c r="L249" s="273"/>
      <c r="M249" s="273"/>
      <c r="N249" s="224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24"/>
      <c r="AB249" s="273"/>
      <c r="AC249" s="273"/>
      <c r="AD249" s="273"/>
      <c r="AE249" s="273"/>
      <c r="AF249" s="273"/>
      <c r="AG249" s="273"/>
      <c r="AH249" s="273"/>
      <c r="AI249" s="273"/>
      <c r="AJ249" s="273"/>
      <c r="AK249" s="273"/>
      <c r="AL249" s="273"/>
      <c r="AM249" s="273"/>
      <c r="AN249" s="224"/>
      <c r="AO249" s="273"/>
      <c r="AP249" s="273"/>
      <c r="AQ249" s="273"/>
      <c r="AR249" s="273"/>
      <c r="AS249" s="273"/>
      <c r="AT249" s="273"/>
      <c r="AU249" s="273"/>
      <c r="AV249" s="273"/>
      <c r="AW249" s="273"/>
      <c r="AX249" s="273"/>
      <c r="AY249" s="273"/>
      <c r="AZ249" s="923"/>
      <c r="BA249" s="923"/>
    </row>
    <row r="250" spans="5:53">
      <c r="E250" s="277"/>
      <c r="F250" s="273"/>
      <c r="G250" s="273"/>
      <c r="H250" s="273"/>
      <c r="I250" s="273"/>
      <c r="J250" s="273"/>
      <c r="K250" s="273"/>
      <c r="L250" s="273"/>
      <c r="M250" s="273"/>
      <c r="N250" s="224"/>
      <c r="O250" s="273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24"/>
      <c r="AB250" s="273"/>
      <c r="AC250" s="273"/>
      <c r="AD250" s="273"/>
      <c r="AE250" s="273"/>
      <c r="AF250" s="273"/>
      <c r="AG250" s="273"/>
      <c r="AH250" s="273"/>
      <c r="AI250" s="273"/>
      <c r="AJ250" s="273"/>
      <c r="AK250" s="273"/>
      <c r="AL250" s="273"/>
      <c r="AM250" s="273"/>
      <c r="AN250" s="224"/>
      <c r="AO250" s="273"/>
      <c r="AP250" s="273"/>
      <c r="AQ250" s="273"/>
      <c r="AR250" s="273"/>
      <c r="AS250" s="273"/>
      <c r="AT250" s="273"/>
      <c r="AU250" s="273"/>
      <c r="AV250" s="273"/>
      <c r="AW250" s="273"/>
      <c r="AX250" s="273"/>
      <c r="AY250" s="273"/>
      <c r="AZ250" s="923"/>
      <c r="BA250" s="923"/>
    </row>
    <row r="251" spans="5:53">
      <c r="E251" s="277"/>
      <c r="F251" s="273"/>
      <c r="G251" s="273"/>
      <c r="H251" s="273"/>
      <c r="I251" s="273"/>
      <c r="J251" s="273"/>
      <c r="K251" s="273"/>
      <c r="L251" s="273"/>
      <c r="M251" s="273"/>
      <c r="N251" s="224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24"/>
      <c r="AB251" s="273"/>
      <c r="AC251" s="273"/>
      <c r="AD251" s="273"/>
      <c r="AE251" s="273"/>
      <c r="AF251" s="273"/>
      <c r="AG251" s="273"/>
      <c r="AH251" s="273"/>
      <c r="AI251" s="273"/>
      <c r="AJ251" s="273"/>
      <c r="AK251" s="273"/>
      <c r="AL251" s="273"/>
      <c r="AM251" s="273"/>
      <c r="AN251" s="224"/>
      <c r="AO251" s="273"/>
      <c r="AP251" s="273"/>
      <c r="AQ251" s="273"/>
      <c r="AR251" s="273"/>
      <c r="AS251" s="273"/>
      <c r="AT251" s="273"/>
      <c r="AU251" s="273"/>
      <c r="AV251" s="273"/>
      <c r="AW251" s="273"/>
      <c r="AX251" s="273"/>
      <c r="AY251" s="273"/>
      <c r="AZ251" s="923"/>
      <c r="BA251" s="923"/>
    </row>
    <row r="252" spans="5:53">
      <c r="E252" s="277"/>
      <c r="F252" s="273"/>
      <c r="G252" s="273"/>
      <c r="H252" s="273"/>
      <c r="I252" s="273"/>
      <c r="J252" s="273"/>
      <c r="K252" s="273"/>
      <c r="L252" s="273"/>
      <c r="M252" s="273"/>
      <c r="N252" s="224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24"/>
      <c r="AB252" s="273"/>
      <c r="AC252" s="273"/>
      <c r="AD252" s="273"/>
      <c r="AE252" s="273"/>
      <c r="AF252" s="273"/>
      <c r="AG252" s="273"/>
      <c r="AH252" s="273"/>
      <c r="AI252" s="273"/>
      <c r="AJ252" s="273"/>
      <c r="AK252" s="273"/>
      <c r="AL252" s="273"/>
      <c r="AM252" s="273"/>
      <c r="AN252" s="224"/>
      <c r="AO252" s="273"/>
      <c r="AP252" s="273"/>
      <c r="AQ252" s="273"/>
      <c r="AR252" s="273"/>
      <c r="AS252" s="273"/>
      <c r="AT252" s="273"/>
      <c r="AU252" s="273"/>
      <c r="AV252" s="273"/>
      <c r="AW252" s="273"/>
      <c r="AX252" s="273"/>
      <c r="AY252" s="273"/>
      <c r="AZ252" s="923"/>
      <c r="BA252" s="923"/>
    </row>
    <row r="253" spans="5:53">
      <c r="E253" s="277"/>
      <c r="F253" s="273"/>
      <c r="G253" s="273"/>
      <c r="H253" s="273"/>
      <c r="I253" s="273"/>
      <c r="J253" s="273"/>
      <c r="K253" s="273"/>
      <c r="L253" s="273"/>
      <c r="M253" s="273"/>
      <c r="N253" s="224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24"/>
      <c r="AB253" s="273"/>
      <c r="AC253" s="273"/>
      <c r="AD253" s="273"/>
      <c r="AE253" s="273"/>
      <c r="AF253" s="273"/>
      <c r="AG253" s="273"/>
      <c r="AH253" s="273"/>
      <c r="AI253" s="273"/>
      <c r="AJ253" s="273"/>
      <c r="AK253" s="273"/>
      <c r="AL253" s="273"/>
      <c r="AM253" s="273"/>
      <c r="AN253" s="224"/>
      <c r="AO253" s="273"/>
      <c r="AP253" s="273"/>
      <c r="AQ253" s="273"/>
      <c r="AR253" s="273"/>
      <c r="AS253" s="273"/>
      <c r="AT253" s="273"/>
      <c r="AU253" s="273"/>
      <c r="AV253" s="273"/>
      <c r="AW253" s="273"/>
      <c r="AX253" s="273"/>
      <c r="AY253" s="273"/>
      <c r="AZ253" s="923"/>
      <c r="BA253" s="923"/>
    </row>
    <row r="254" spans="5:53">
      <c r="E254" s="277"/>
      <c r="F254" s="273"/>
      <c r="G254" s="273"/>
      <c r="H254" s="273"/>
      <c r="I254" s="273"/>
      <c r="J254" s="273"/>
      <c r="K254" s="273"/>
      <c r="L254" s="273"/>
      <c r="M254" s="273"/>
      <c r="N254" s="224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24"/>
      <c r="AB254" s="273"/>
      <c r="AC254" s="273"/>
      <c r="AD254" s="273"/>
      <c r="AE254" s="273"/>
      <c r="AF254" s="273"/>
      <c r="AG254" s="273"/>
      <c r="AH254" s="273"/>
      <c r="AI254" s="273"/>
      <c r="AJ254" s="273"/>
      <c r="AK254" s="273"/>
      <c r="AL254" s="273"/>
      <c r="AM254" s="273"/>
      <c r="AN254" s="224"/>
      <c r="AO254" s="273"/>
      <c r="AP254" s="273"/>
      <c r="AQ254" s="273"/>
      <c r="AR254" s="273"/>
      <c r="AS254" s="273"/>
      <c r="AT254" s="273"/>
      <c r="AU254" s="273"/>
      <c r="AV254" s="273"/>
      <c r="AW254" s="273"/>
      <c r="AX254" s="273"/>
      <c r="AY254" s="273"/>
      <c r="AZ254" s="923"/>
      <c r="BA254" s="923"/>
    </row>
    <row r="255" spans="5:53">
      <c r="E255" s="277"/>
      <c r="F255" s="273"/>
      <c r="G255" s="273"/>
      <c r="H255" s="273"/>
      <c r="I255" s="273"/>
      <c r="J255" s="273"/>
      <c r="K255" s="273"/>
      <c r="L255" s="273"/>
      <c r="M255" s="273"/>
      <c r="N255" s="224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24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24"/>
      <c r="AO255" s="273"/>
      <c r="AP255" s="273"/>
      <c r="AQ255" s="273"/>
      <c r="AR255" s="273"/>
      <c r="AS255" s="273"/>
      <c r="AT255" s="273"/>
      <c r="AU255" s="273"/>
      <c r="AV255" s="273"/>
      <c r="AW255" s="273"/>
      <c r="AX255" s="273"/>
      <c r="AY255" s="273"/>
      <c r="AZ255" s="923"/>
      <c r="BA255" s="923"/>
    </row>
    <row r="256" spans="5:53">
      <c r="E256" s="277"/>
      <c r="F256" s="273"/>
      <c r="G256" s="273"/>
      <c r="H256" s="273"/>
      <c r="I256" s="273"/>
      <c r="J256" s="273"/>
      <c r="K256" s="273"/>
      <c r="L256" s="273"/>
      <c r="M256" s="273"/>
      <c r="N256" s="224"/>
      <c r="O256" s="273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24"/>
      <c r="AB256" s="273"/>
      <c r="AC256" s="273"/>
      <c r="AD256" s="273"/>
      <c r="AE256" s="273"/>
      <c r="AF256" s="273"/>
      <c r="AG256" s="273"/>
      <c r="AH256" s="273"/>
      <c r="AI256" s="273"/>
      <c r="AJ256" s="273"/>
      <c r="AK256" s="273"/>
      <c r="AL256" s="273"/>
      <c r="AM256" s="273"/>
      <c r="AN256" s="224"/>
      <c r="AO256" s="273"/>
      <c r="AP256" s="273"/>
      <c r="AQ256" s="273"/>
      <c r="AR256" s="273"/>
      <c r="AS256" s="273"/>
      <c r="AT256" s="273"/>
      <c r="AU256" s="273"/>
      <c r="AV256" s="273"/>
      <c r="AW256" s="273"/>
      <c r="AX256" s="273"/>
      <c r="AY256" s="273"/>
      <c r="AZ256" s="923"/>
      <c r="BA256" s="923"/>
    </row>
    <row r="257" spans="5:53">
      <c r="E257" s="277"/>
      <c r="F257" s="273"/>
      <c r="G257" s="273"/>
      <c r="H257" s="273"/>
      <c r="I257" s="273"/>
      <c r="J257" s="273"/>
      <c r="K257" s="273"/>
      <c r="L257" s="273"/>
      <c r="M257" s="273"/>
      <c r="N257" s="224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24"/>
      <c r="AB257" s="273"/>
      <c r="AC257" s="273"/>
      <c r="AD257" s="273"/>
      <c r="AE257" s="273"/>
      <c r="AF257" s="273"/>
      <c r="AG257" s="273"/>
      <c r="AH257" s="273"/>
      <c r="AI257" s="273"/>
      <c r="AJ257" s="273"/>
      <c r="AK257" s="273"/>
      <c r="AL257" s="273"/>
      <c r="AM257" s="273"/>
      <c r="AN257" s="224"/>
      <c r="AO257" s="273"/>
      <c r="AP257" s="273"/>
      <c r="AQ257" s="273"/>
      <c r="AR257" s="273"/>
      <c r="AS257" s="273"/>
      <c r="AT257" s="273"/>
      <c r="AU257" s="273"/>
      <c r="AV257" s="273"/>
      <c r="AW257" s="273"/>
      <c r="AX257" s="273"/>
      <c r="AY257" s="273"/>
      <c r="AZ257" s="923"/>
      <c r="BA257" s="923"/>
    </row>
    <row r="258" spans="5:53">
      <c r="E258" s="277"/>
      <c r="F258" s="273"/>
      <c r="G258" s="273"/>
      <c r="H258" s="273"/>
      <c r="I258" s="273"/>
      <c r="J258" s="273"/>
      <c r="K258" s="273"/>
      <c r="L258" s="273"/>
      <c r="M258" s="273"/>
      <c r="N258" s="224"/>
      <c r="O258" s="273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24"/>
      <c r="AB258" s="273"/>
      <c r="AC258" s="273"/>
      <c r="AD258" s="273"/>
      <c r="AE258" s="273"/>
      <c r="AF258" s="273"/>
      <c r="AG258" s="273"/>
      <c r="AH258" s="273"/>
      <c r="AI258" s="273"/>
      <c r="AJ258" s="273"/>
      <c r="AK258" s="273"/>
      <c r="AL258" s="273"/>
      <c r="AM258" s="273"/>
      <c r="AN258" s="224"/>
      <c r="AO258" s="273"/>
      <c r="AP258" s="273"/>
      <c r="AQ258" s="273"/>
      <c r="AR258" s="273"/>
      <c r="AS258" s="273"/>
      <c r="AT258" s="273"/>
      <c r="AU258" s="273"/>
      <c r="AV258" s="273"/>
      <c r="AW258" s="273"/>
      <c r="AX258" s="273"/>
      <c r="AY258" s="273"/>
      <c r="AZ258" s="923"/>
      <c r="BA258" s="923"/>
    </row>
    <row r="259" spans="5:53">
      <c r="E259" s="277"/>
      <c r="F259" s="273"/>
      <c r="G259" s="273"/>
      <c r="H259" s="273"/>
      <c r="I259" s="273"/>
      <c r="J259" s="273"/>
      <c r="K259" s="273"/>
      <c r="L259" s="273"/>
      <c r="M259" s="273"/>
      <c r="N259" s="224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24"/>
      <c r="AB259" s="273"/>
      <c r="AC259" s="273"/>
      <c r="AD259" s="273"/>
      <c r="AE259" s="273"/>
      <c r="AF259" s="273"/>
      <c r="AG259" s="273"/>
      <c r="AH259" s="273"/>
      <c r="AI259" s="273"/>
      <c r="AJ259" s="273"/>
      <c r="AK259" s="273"/>
      <c r="AL259" s="273"/>
      <c r="AM259" s="273"/>
      <c r="AN259" s="224"/>
      <c r="AO259" s="273"/>
      <c r="AP259" s="273"/>
      <c r="AQ259" s="273"/>
      <c r="AR259" s="273"/>
      <c r="AS259" s="273"/>
      <c r="AT259" s="273"/>
      <c r="AU259" s="273"/>
      <c r="AV259" s="273"/>
      <c r="AW259" s="273"/>
      <c r="AX259" s="273"/>
      <c r="AY259" s="273"/>
      <c r="AZ259" s="923"/>
      <c r="BA259" s="923"/>
    </row>
    <row r="260" spans="5:53">
      <c r="E260" s="277"/>
      <c r="F260" s="273"/>
      <c r="G260" s="273"/>
      <c r="H260" s="273"/>
      <c r="I260" s="273"/>
      <c r="J260" s="273"/>
      <c r="K260" s="273"/>
      <c r="L260" s="273"/>
      <c r="M260" s="273"/>
      <c r="N260" s="224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24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24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  <c r="AZ260" s="923"/>
      <c r="BA260" s="923"/>
    </row>
    <row r="261" spans="5:53">
      <c r="E261" s="277"/>
      <c r="F261" s="273"/>
      <c r="G261" s="273"/>
      <c r="H261" s="273"/>
      <c r="I261" s="273"/>
      <c r="J261" s="273"/>
      <c r="K261" s="273"/>
      <c r="L261" s="273"/>
      <c r="M261" s="273"/>
      <c r="N261" s="224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24"/>
      <c r="AB261" s="273"/>
      <c r="AC261" s="273"/>
      <c r="AD261" s="273"/>
      <c r="AE261" s="273"/>
      <c r="AF261" s="273"/>
      <c r="AG261" s="273"/>
      <c r="AH261" s="273"/>
      <c r="AI261" s="273"/>
      <c r="AJ261" s="273"/>
      <c r="AK261" s="273"/>
      <c r="AL261" s="273"/>
      <c r="AM261" s="273"/>
      <c r="AN261" s="224"/>
      <c r="AO261" s="273"/>
      <c r="AP261" s="273"/>
      <c r="AQ261" s="273"/>
      <c r="AR261" s="273"/>
      <c r="AS261" s="273"/>
      <c r="AT261" s="273"/>
      <c r="AU261" s="273"/>
      <c r="AV261" s="273"/>
      <c r="AW261" s="273"/>
      <c r="AX261" s="273"/>
      <c r="AY261" s="273"/>
      <c r="AZ261" s="923"/>
      <c r="BA261" s="923"/>
    </row>
    <row r="262" spans="5:53">
      <c r="E262" s="277"/>
      <c r="F262" s="273"/>
      <c r="G262" s="273"/>
      <c r="H262" s="273"/>
      <c r="I262" s="273"/>
      <c r="J262" s="273"/>
      <c r="K262" s="273"/>
      <c r="L262" s="273"/>
      <c r="M262" s="273"/>
      <c r="N262" s="224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24"/>
      <c r="AB262" s="273"/>
      <c r="AC262" s="273"/>
      <c r="AD262" s="273"/>
      <c r="AE262" s="273"/>
      <c r="AF262" s="273"/>
      <c r="AG262" s="273"/>
      <c r="AH262" s="273"/>
      <c r="AI262" s="273"/>
      <c r="AJ262" s="273"/>
      <c r="AK262" s="273"/>
      <c r="AL262" s="273"/>
      <c r="AM262" s="273"/>
      <c r="AN262" s="224"/>
      <c r="AO262" s="273"/>
      <c r="AP262" s="273"/>
      <c r="AQ262" s="273"/>
      <c r="AR262" s="273"/>
      <c r="AS262" s="273"/>
      <c r="AT262" s="273"/>
      <c r="AU262" s="273"/>
      <c r="AV262" s="273"/>
      <c r="AW262" s="273"/>
      <c r="AX262" s="273"/>
      <c r="AY262" s="273"/>
      <c r="AZ262" s="923"/>
      <c r="BA262" s="923"/>
    </row>
    <row r="263" spans="5:53">
      <c r="E263" s="277"/>
      <c r="F263" s="273"/>
      <c r="G263" s="273"/>
      <c r="H263" s="273"/>
      <c r="I263" s="273"/>
      <c r="J263" s="273"/>
      <c r="K263" s="273"/>
      <c r="L263" s="273"/>
      <c r="M263" s="273"/>
      <c r="N263" s="224"/>
      <c r="O263" s="273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24"/>
      <c r="AB263" s="273"/>
      <c r="AC263" s="273"/>
      <c r="AD263" s="273"/>
      <c r="AE263" s="273"/>
      <c r="AF263" s="273"/>
      <c r="AG263" s="273"/>
      <c r="AH263" s="273"/>
      <c r="AI263" s="273"/>
      <c r="AJ263" s="273"/>
      <c r="AK263" s="273"/>
      <c r="AL263" s="273"/>
      <c r="AM263" s="273"/>
      <c r="AN263" s="224"/>
      <c r="AO263" s="273"/>
      <c r="AP263" s="273"/>
      <c r="AQ263" s="273"/>
      <c r="AR263" s="273"/>
      <c r="AS263" s="273"/>
      <c r="AT263" s="273"/>
      <c r="AU263" s="273"/>
      <c r="AV263" s="273"/>
      <c r="AW263" s="273"/>
      <c r="AX263" s="273"/>
      <c r="AY263" s="273"/>
      <c r="AZ263" s="923"/>
      <c r="BA263" s="923"/>
    </row>
    <row r="264" spans="5:53">
      <c r="E264" s="277"/>
      <c r="F264" s="273"/>
      <c r="G264" s="273"/>
      <c r="H264" s="273"/>
      <c r="I264" s="273"/>
      <c r="J264" s="273"/>
      <c r="K264" s="273"/>
      <c r="L264" s="273"/>
      <c r="M264" s="273"/>
      <c r="N264" s="224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24"/>
      <c r="AB264" s="273"/>
      <c r="AC264" s="273"/>
      <c r="AD264" s="273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24"/>
      <c r="AO264" s="273"/>
      <c r="AP264" s="273"/>
      <c r="AQ264" s="273"/>
      <c r="AR264" s="273"/>
      <c r="AS264" s="273"/>
      <c r="AT264" s="273"/>
      <c r="AU264" s="273"/>
      <c r="AV264" s="273"/>
      <c r="AW264" s="273"/>
      <c r="AX264" s="273"/>
      <c r="AY264" s="273"/>
      <c r="AZ264" s="923"/>
      <c r="BA264" s="923"/>
    </row>
    <row r="265" spans="5:53">
      <c r="E265" s="277"/>
      <c r="F265" s="273"/>
      <c r="G265" s="273"/>
      <c r="H265" s="273"/>
      <c r="I265" s="273"/>
      <c r="J265" s="273"/>
      <c r="K265" s="273"/>
      <c r="L265" s="273"/>
      <c r="M265" s="273"/>
      <c r="N265" s="224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24"/>
      <c r="AB265" s="273"/>
      <c r="AC265" s="273"/>
      <c r="AD265" s="273"/>
      <c r="AE265" s="273"/>
      <c r="AF265" s="273"/>
      <c r="AG265" s="273"/>
      <c r="AH265" s="273"/>
      <c r="AI265" s="273"/>
      <c r="AJ265" s="273"/>
      <c r="AK265" s="273"/>
      <c r="AL265" s="273"/>
      <c r="AM265" s="273"/>
      <c r="AN265" s="224"/>
      <c r="AO265" s="273"/>
      <c r="AP265" s="273"/>
      <c r="AQ265" s="273"/>
      <c r="AR265" s="273"/>
      <c r="AS265" s="273"/>
      <c r="AT265" s="273"/>
      <c r="AU265" s="273"/>
      <c r="AV265" s="273"/>
      <c r="AW265" s="273"/>
      <c r="AX265" s="273"/>
      <c r="AY265" s="273"/>
      <c r="AZ265" s="923"/>
      <c r="BA265" s="923"/>
    </row>
    <row r="266" spans="5:53">
      <c r="E266" s="277"/>
      <c r="F266" s="273"/>
      <c r="G266" s="273"/>
      <c r="H266" s="273"/>
      <c r="I266" s="273"/>
      <c r="J266" s="273"/>
      <c r="K266" s="273"/>
      <c r="L266" s="273"/>
      <c r="M266" s="273"/>
      <c r="N266" s="224"/>
      <c r="O266" s="273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24"/>
      <c r="AB266" s="273"/>
      <c r="AC266" s="273"/>
      <c r="AD266" s="273"/>
      <c r="AE266" s="273"/>
      <c r="AF266" s="273"/>
      <c r="AG266" s="273"/>
      <c r="AH266" s="273"/>
      <c r="AI266" s="273"/>
      <c r="AJ266" s="273"/>
      <c r="AK266" s="273"/>
      <c r="AL266" s="273"/>
      <c r="AM266" s="273"/>
      <c r="AN266" s="224"/>
      <c r="AO266" s="273"/>
      <c r="AP266" s="273"/>
      <c r="AQ266" s="273"/>
      <c r="AR266" s="273"/>
      <c r="AS266" s="273"/>
      <c r="AT266" s="273"/>
      <c r="AU266" s="273"/>
      <c r="AV266" s="273"/>
      <c r="AW266" s="273"/>
      <c r="AX266" s="273"/>
      <c r="AY266" s="273"/>
      <c r="AZ266" s="923"/>
      <c r="BA266" s="923"/>
    </row>
    <row r="267" spans="5:53">
      <c r="E267" s="277"/>
      <c r="F267" s="273"/>
      <c r="G267" s="273"/>
      <c r="H267" s="273"/>
      <c r="I267" s="273"/>
      <c r="J267" s="273"/>
      <c r="K267" s="273"/>
      <c r="L267" s="273"/>
      <c r="M267" s="273"/>
      <c r="N267" s="224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24"/>
      <c r="AB267" s="273"/>
      <c r="AC267" s="273"/>
      <c r="AD267" s="273"/>
      <c r="AE267" s="273"/>
      <c r="AF267" s="273"/>
      <c r="AG267" s="273"/>
      <c r="AH267" s="273"/>
      <c r="AI267" s="273"/>
      <c r="AJ267" s="273"/>
      <c r="AK267" s="273"/>
      <c r="AL267" s="273"/>
      <c r="AM267" s="273"/>
      <c r="AN267" s="224"/>
      <c r="AO267" s="273"/>
      <c r="AP267" s="273"/>
      <c r="AQ267" s="273"/>
      <c r="AR267" s="273"/>
      <c r="AS267" s="273"/>
      <c r="AT267" s="273"/>
      <c r="AU267" s="273"/>
      <c r="AV267" s="273"/>
      <c r="AW267" s="273"/>
      <c r="AX267" s="273"/>
      <c r="AY267" s="273"/>
      <c r="AZ267" s="923"/>
      <c r="BA267" s="923"/>
    </row>
    <row r="268" spans="5:53">
      <c r="E268" s="277"/>
      <c r="F268" s="273"/>
      <c r="G268" s="273"/>
      <c r="H268" s="273"/>
      <c r="I268" s="273"/>
      <c r="J268" s="273"/>
      <c r="K268" s="273"/>
      <c r="L268" s="273"/>
      <c r="M268" s="273"/>
      <c r="N268" s="224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24"/>
      <c r="AB268" s="273"/>
      <c r="AC268" s="273"/>
      <c r="AD268" s="273"/>
      <c r="AE268" s="273"/>
      <c r="AF268" s="273"/>
      <c r="AG268" s="273"/>
      <c r="AH268" s="273"/>
      <c r="AI268" s="273"/>
      <c r="AJ268" s="273"/>
      <c r="AK268" s="273"/>
      <c r="AL268" s="273"/>
      <c r="AM268" s="273"/>
      <c r="AN268" s="224"/>
      <c r="AO268" s="273"/>
      <c r="AP268" s="273"/>
      <c r="AQ268" s="273"/>
      <c r="AR268" s="273"/>
      <c r="AS268" s="273"/>
      <c r="AT268" s="273"/>
      <c r="AU268" s="273"/>
      <c r="AV268" s="273"/>
      <c r="AW268" s="273"/>
      <c r="AX268" s="273"/>
      <c r="AY268" s="273"/>
      <c r="AZ268" s="923"/>
      <c r="BA268" s="923"/>
    </row>
    <row r="269" spans="5:53">
      <c r="E269" s="277"/>
      <c r="F269" s="273"/>
      <c r="G269" s="273"/>
      <c r="H269" s="273"/>
      <c r="I269" s="273"/>
      <c r="J269" s="273"/>
      <c r="K269" s="273"/>
      <c r="L269" s="273"/>
      <c r="M269" s="273"/>
      <c r="N269" s="224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24"/>
      <c r="AB269" s="273"/>
      <c r="AC269" s="273"/>
      <c r="AD269" s="273"/>
      <c r="AE269" s="273"/>
      <c r="AF269" s="273"/>
      <c r="AG269" s="273"/>
      <c r="AH269" s="273"/>
      <c r="AI269" s="273"/>
      <c r="AJ269" s="273"/>
      <c r="AK269" s="273"/>
      <c r="AL269" s="273"/>
      <c r="AM269" s="273"/>
      <c r="AN269" s="224"/>
      <c r="AO269" s="273"/>
      <c r="AP269" s="273"/>
      <c r="AQ269" s="273"/>
      <c r="AR269" s="273"/>
      <c r="AS269" s="273"/>
      <c r="AT269" s="273"/>
      <c r="AU269" s="273"/>
      <c r="AV269" s="273"/>
      <c r="AW269" s="273"/>
      <c r="AX269" s="273"/>
      <c r="AY269" s="273"/>
      <c r="AZ269" s="923"/>
      <c r="BA269" s="923"/>
    </row>
    <row r="270" spans="5:53">
      <c r="E270" s="277"/>
      <c r="F270" s="273"/>
      <c r="G270" s="273"/>
      <c r="H270" s="273"/>
      <c r="I270" s="273"/>
      <c r="J270" s="273"/>
      <c r="K270" s="273"/>
      <c r="L270" s="273"/>
      <c r="M270" s="273"/>
      <c r="N270" s="224"/>
      <c r="O270" s="273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24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24"/>
      <c r="AO270" s="273"/>
      <c r="AP270" s="273"/>
      <c r="AQ270" s="273"/>
      <c r="AR270" s="273"/>
      <c r="AS270" s="273"/>
      <c r="AT270" s="273"/>
      <c r="AU270" s="273"/>
      <c r="AV270" s="273"/>
      <c r="AW270" s="273"/>
      <c r="AX270" s="273"/>
      <c r="AY270" s="273"/>
      <c r="AZ270" s="923"/>
      <c r="BA270" s="923"/>
    </row>
    <row r="271" spans="5:53">
      <c r="E271" s="277"/>
      <c r="F271" s="273"/>
      <c r="G271" s="273"/>
      <c r="H271" s="273"/>
      <c r="I271" s="273"/>
      <c r="J271" s="273"/>
      <c r="K271" s="273"/>
      <c r="L271" s="273"/>
      <c r="M271" s="273"/>
      <c r="N271" s="224"/>
      <c r="O271" s="273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24"/>
      <c r="AB271" s="273"/>
      <c r="AC271" s="273"/>
      <c r="AD271" s="273"/>
      <c r="AE271" s="273"/>
      <c r="AF271" s="273"/>
      <c r="AG271" s="273"/>
      <c r="AH271" s="273"/>
      <c r="AI271" s="273"/>
      <c r="AJ271" s="273"/>
      <c r="AK271" s="273"/>
      <c r="AL271" s="273"/>
      <c r="AM271" s="273"/>
      <c r="AN271" s="224"/>
      <c r="AO271" s="273"/>
      <c r="AP271" s="273"/>
      <c r="AQ271" s="273"/>
      <c r="AR271" s="273"/>
      <c r="AS271" s="273"/>
      <c r="AT271" s="273"/>
      <c r="AU271" s="273"/>
      <c r="AV271" s="273"/>
      <c r="AW271" s="273"/>
      <c r="AX271" s="273"/>
      <c r="AY271" s="273"/>
      <c r="AZ271" s="923"/>
      <c r="BA271" s="923"/>
    </row>
    <row r="272" spans="5:53">
      <c r="E272" s="277"/>
      <c r="F272" s="273"/>
      <c r="G272" s="273"/>
      <c r="H272" s="273"/>
      <c r="I272" s="273"/>
      <c r="J272" s="273"/>
      <c r="K272" s="273"/>
      <c r="L272" s="273"/>
      <c r="M272" s="273"/>
      <c r="N272" s="224"/>
      <c r="O272" s="273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24"/>
      <c r="AB272" s="273"/>
      <c r="AC272" s="273"/>
      <c r="AD272" s="273"/>
      <c r="AE272" s="273"/>
      <c r="AF272" s="273"/>
      <c r="AG272" s="273"/>
      <c r="AH272" s="273"/>
      <c r="AI272" s="273"/>
      <c r="AJ272" s="273"/>
      <c r="AK272" s="273"/>
      <c r="AL272" s="273"/>
      <c r="AM272" s="273"/>
      <c r="AN272" s="224"/>
      <c r="AO272" s="273"/>
      <c r="AP272" s="273"/>
      <c r="AQ272" s="273"/>
      <c r="AR272" s="273"/>
      <c r="AS272" s="273"/>
      <c r="AT272" s="273"/>
      <c r="AU272" s="273"/>
      <c r="AV272" s="273"/>
      <c r="AW272" s="273"/>
      <c r="AX272" s="273"/>
      <c r="AY272" s="273"/>
      <c r="AZ272" s="923"/>
      <c r="BA272" s="923"/>
    </row>
    <row r="273" spans="5:53">
      <c r="E273" s="277"/>
      <c r="F273" s="273"/>
      <c r="G273" s="273"/>
      <c r="H273" s="273"/>
      <c r="I273" s="273"/>
      <c r="J273" s="273"/>
      <c r="K273" s="273"/>
      <c r="L273" s="273"/>
      <c r="M273" s="273"/>
      <c r="N273" s="224"/>
      <c r="O273" s="273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24"/>
      <c r="AB273" s="273"/>
      <c r="AC273" s="273"/>
      <c r="AD273" s="273"/>
      <c r="AE273" s="273"/>
      <c r="AF273" s="273"/>
      <c r="AG273" s="273"/>
      <c r="AH273" s="273"/>
      <c r="AI273" s="273"/>
      <c r="AJ273" s="273"/>
      <c r="AK273" s="273"/>
      <c r="AL273" s="273"/>
      <c r="AM273" s="273"/>
      <c r="AN273" s="224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  <c r="AZ273" s="923"/>
      <c r="BA273" s="923"/>
    </row>
    <row r="274" spans="5:53">
      <c r="E274" s="277"/>
      <c r="F274" s="273"/>
      <c r="G274" s="273"/>
      <c r="H274" s="273"/>
      <c r="I274" s="273"/>
      <c r="J274" s="273"/>
      <c r="K274" s="273"/>
      <c r="L274" s="273"/>
      <c r="M274" s="273"/>
      <c r="N274" s="224"/>
      <c r="O274" s="273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24"/>
      <c r="AB274" s="273"/>
      <c r="AC274" s="273"/>
      <c r="AD274" s="273"/>
      <c r="AE274" s="273"/>
      <c r="AF274" s="273"/>
      <c r="AG274" s="273"/>
      <c r="AH274" s="273"/>
      <c r="AI274" s="273"/>
      <c r="AJ274" s="273"/>
      <c r="AK274" s="273"/>
      <c r="AL274" s="273"/>
      <c r="AM274" s="273"/>
      <c r="AN274" s="224"/>
      <c r="AO274" s="273"/>
      <c r="AP274" s="273"/>
      <c r="AQ274" s="273"/>
      <c r="AR274" s="273"/>
      <c r="AS274" s="273"/>
      <c r="AT274" s="273"/>
      <c r="AU274" s="273"/>
      <c r="AV274" s="273"/>
      <c r="AW274" s="273"/>
      <c r="AX274" s="273"/>
      <c r="AY274" s="273"/>
      <c r="AZ274" s="923"/>
      <c r="BA274" s="923"/>
    </row>
    <row r="275" spans="5:53">
      <c r="E275" s="277"/>
      <c r="F275" s="273"/>
      <c r="G275" s="273"/>
      <c r="H275" s="273"/>
      <c r="I275" s="273"/>
      <c r="J275" s="273"/>
      <c r="K275" s="273"/>
      <c r="L275" s="273"/>
      <c r="M275" s="273"/>
      <c r="N275" s="224"/>
      <c r="O275" s="273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24"/>
      <c r="AB275" s="273"/>
      <c r="AC275" s="273"/>
      <c r="AD275" s="273"/>
      <c r="AE275" s="273"/>
      <c r="AF275" s="273"/>
      <c r="AG275" s="273"/>
      <c r="AH275" s="273"/>
      <c r="AI275" s="273"/>
      <c r="AJ275" s="273"/>
      <c r="AK275" s="273"/>
      <c r="AL275" s="273"/>
      <c r="AM275" s="273"/>
      <c r="AN275" s="224"/>
      <c r="AO275" s="273"/>
      <c r="AP275" s="273"/>
      <c r="AQ275" s="273"/>
      <c r="AR275" s="273"/>
      <c r="AS275" s="273"/>
      <c r="AT275" s="273"/>
      <c r="AU275" s="273"/>
      <c r="AV275" s="273"/>
      <c r="AW275" s="273"/>
      <c r="AX275" s="273"/>
      <c r="AY275" s="273"/>
      <c r="AZ275" s="923"/>
      <c r="BA275" s="923"/>
    </row>
    <row r="276" spans="5:53">
      <c r="E276" s="277"/>
      <c r="F276" s="273"/>
      <c r="G276" s="273"/>
      <c r="H276" s="273"/>
      <c r="I276" s="273"/>
      <c r="J276" s="273"/>
      <c r="K276" s="273"/>
      <c r="L276" s="273"/>
      <c r="M276" s="273"/>
      <c r="N276" s="224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24"/>
      <c r="AB276" s="273"/>
      <c r="AC276" s="273"/>
      <c r="AD276" s="273"/>
      <c r="AE276" s="273"/>
      <c r="AF276" s="273"/>
      <c r="AG276" s="273"/>
      <c r="AH276" s="273"/>
      <c r="AI276" s="273"/>
      <c r="AJ276" s="273"/>
      <c r="AK276" s="273"/>
      <c r="AL276" s="273"/>
      <c r="AM276" s="273"/>
      <c r="AN276" s="224"/>
      <c r="AO276" s="273"/>
      <c r="AP276" s="273"/>
      <c r="AQ276" s="273"/>
      <c r="AR276" s="273"/>
      <c r="AS276" s="273"/>
      <c r="AT276" s="273"/>
      <c r="AU276" s="273"/>
      <c r="AV276" s="273"/>
      <c r="AW276" s="273"/>
      <c r="AX276" s="273"/>
      <c r="AY276" s="273"/>
      <c r="AZ276" s="923"/>
      <c r="BA276" s="923"/>
    </row>
    <row r="277" spans="5:53">
      <c r="E277" s="277"/>
      <c r="F277" s="273"/>
      <c r="G277" s="273"/>
      <c r="H277" s="273"/>
      <c r="I277" s="273"/>
      <c r="J277" s="273"/>
      <c r="K277" s="273"/>
      <c r="L277" s="273"/>
      <c r="M277" s="273"/>
      <c r="N277" s="224"/>
      <c r="O277" s="273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24"/>
      <c r="AB277" s="273"/>
      <c r="AC277" s="273"/>
      <c r="AD277" s="273"/>
      <c r="AE277" s="273"/>
      <c r="AF277" s="273"/>
      <c r="AG277" s="273"/>
      <c r="AH277" s="273"/>
      <c r="AI277" s="273"/>
      <c r="AJ277" s="273"/>
      <c r="AK277" s="273"/>
      <c r="AL277" s="273"/>
      <c r="AM277" s="273"/>
      <c r="AN277" s="224"/>
      <c r="AO277" s="273"/>
      <c r="AP277" s="273"/>
      <c r="AQ277" s="273"/>
      <c r="AR277" s="273"/>
      <c r="AS277" s="273"/>
      <c r="AT277" s="273"/>
      <c r="AU277" s="273"/>
      <c r="AV277" s="273"/>
      <c r="AW277" s="273"/>
      <c r="AX277" s="273"/>
      <c r="AY277" s="273"/>
      <c r="AZ277" s="923"/>
      <c r="BA277" s="923"/>
    </row>
    <row r="278" spans="5:53">
      <c r="E278" s="277"/>
      <c r="F278" s="273"/>
      <c r="G278" s="273"/>
      <c r="H278" s="273"/>
      <c r="I278" s="273"/>
      <c r="J278" s="273"/>
      <c r="K278" s="273"/>
      <c r="L278" s="273"/>
      <c r="M278" s="273"/>
      <c r="N278" s="224"/>
      <c r="O278" s="273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24"/>
      <c r="AB278" s="273"/>
      <c r="AC278" s="273"/>
      <c r="AD278" s="273"/>
      <c r="AE278" s="273"/>
      <c r="AF278" s="273"/>
      <c r="AG278" s="273"/>
      <c r="AH278" s="273"/>
      <c r="AI278" s="273"/>
      <c r="AJ278" s="273"/>
      <c r="AK278" s="273"/>
      <c r="AL278" s="273"/>
      <c r="AM278" s="273"/>
      <c r="AN278" s="224"/>
      <c r="AO278" s="273"/>
      <c r="AP278" s="273"/>
      <c r="AQ278" s="273"/>
      <c r="AR278" s="273"/>
      <c r="AS278" s="273"/>
      <c r="AT278" s="273"/>
      <c r="AU278" s="273"/>
      <c r="AV278" s="273"/>
      <c r="AW278" s="273"/>
      <c r="AX278" s="273"/>
      <c r="AY278" s="273"/>
      <c r="AZ278" s="923"/>
      <c r="BA278" s="923"/>
    </row>
    <row r="279" spans="5:53">
      <c r="E279" s="277"/>
      <c r="F279" s="273"/>
      <c r="G279" s="273"/>
      <c r="H279" s="273"/>
      <c r="I279" s="273"/>
      <c r="J279" s="273"/>
      <c r="K279" s="273"/>
      <c r="L279" s="273"/>
      <c r="M279" s="273"/>
      <c r="N279" s="224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24"/>
      <c r="AB279" s="273"/>
      <c r="AC279" s="273"/>
      <c r="AD279" s="273"/>
      <c r="AE279" s="273"/>
      <c r="AF279" s="273"/>
      <c r="AG279" s="273"/>
      <c r="AH279" s="273"/>
      <c r="AI279" s="273"/>
      <c r="AJ279" s="273"/>
      <c r="AK279" s="273"/>
      <c r="AL279" s="273"/>
      <c r="AM279" s="273"/>
      <c r="AN279" s="224"/>
      <c r="AO279" s="273"/>
      <c r="AP279" s="273"/>
      <c r="AQ279" s="273"/>
      <c r="AR279" s="273"/>
      <c r="AS279" s="273"/>
      <c r="AT279" s="273"/>
      <c r="AU279" s="273"/>
      <c r="AV279" s="273"/>
      <c r="AW279" s="273"/>
      <c r="AX279" s="273"/>
      <c r="AY279" s="273"/>
      <c r="AZ279" s="923"/>
      <c r="BA279" s="923"/>
    </row>
    <row r="280" spans="5:53">
      <c r="E280" s="277"/>
      <c r="F280" s="273"/>
      <c r="G280" s="273"/>
      <c r="H280" s="273"/>
      <c r="I280" s="273"/>
      <c r="J280" s="273"/>
      <c r="K280" s="273"/>
      <c r="L280" s="273"/>
      <c r="M280" s="273"/>
      <c r="N280" s="224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24"/>
      <c r="AB280" s="273"/>
      <c r="AC280" s="273"/>
      <c r="AD280" s="273"/>
      <c r="AE280" s="273"/>
      <c r="AF280" s="273"/>
      <c r="AG280" s="273"/>
      <c r="AH280" s="273"/>
      <c r="AI280" s="273"/>
      <c r="AJ280" s="273"/>
      <c r="AK280" s="273"/>
      <c r="AL280" s="273"/>
      <c r="AM280" s="273"/>
      <c r="AN280" s="224"/>
      <c r="AO280" s="273"/>
      <c r="AP280" s="273"/>
      <c r="AQ280" s="273"/>
      <c r="AR280" s="273"/>
      <c r="AS280" s="273"/>
      <c r="AT280" s="273"/>
      <c r="AU280" s="273"/>
      <c r="AV280" s="273"/>
      <c r="AW280" s="273"/>
      <c r="AX280" s="273"/>
      <c r="AY280" s="273"/>
      <c r="AZ280" s="923"/>
      <c r="BA280" s="923"/>
    </row>
    <row r="281" spans="5:53">
      <c r="E281" s="277"/>
      <c r="F281" s="273"/>
      <c r="G281" s="273"/>
      <c r="H281" s="273"/>
      <c r="I281" s="273"/>
      <c r="J281" s="273"/>
      <c r="K281" s="273"/>
      <c r="L281" s="273"/>
      <c r="M281" s="273"/>
      <c r="N281" s="224"/>
      <c r="O281" s="273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24"/>
      <c r="AB281" s="273"/>
      <c r="AC281" s="273"/>
      <c r="AD281" s="273"/>
      <c r="AE281" s="273"/>
      <c r="AF281" s="273"/>
      <c r="AG281" s="273"/>
      <c r="AH281" s="273"/>
      <c r="AI281" s="273"/>
      <c r="AJ281" s="273"/>
      <c r="AK281" s="273"/>
      <c r="AL281" s="273"/>
      <c r="AM281" s="273"/>
      <c r="AN281" s="224"/>
      <c r="AO281" s="273"/>
      <c r="AP281" s="273"/>
      <c r="AQ281" s="273"/>
      <c r="AR281" s="273"/>
      <c r="AS281" s="273"/>
      <c r="AT281" s="273"/>
      <c r="AU281" s="273"/>
      <c r="AV281" s="273"/>
      <c r="AW281" s="273"/>
      <c r="AX281" s="273"/>
      <c r="AY281" s="273"/>
      <c r="AZ281" s="923"/>
      <c r="BA281" s="923"/>
    </row>
    <row r="282" spans="5:53">
      <c r="E282" s="277"/>
      <c r="F282" s="273"/>
      <c r="G282" s="273"/>
      <c r="H282" s="273"/>
      <c r="I282" s="273"/>
      <c r="J282" s="273"/>
      <c r="K282" s="273"/>
      <c r="L282" s="273"/>
      <c r="M282" s="273"/>
      <c r="N282" s="224"/>
      <c r="O282" s="273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24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24"/>
      <c r="AO282" s="273"/>
      <c r="AP282" s="273"/>
      <c r="AQ282" s="273"/>
      <c r="AR282" s="273"/>
      <c r="AS282" s="273"/>
      <c r="AT282" s="273"/>
      <c r="AU282" s="273"/>
      <c r="AV282" s="273"/>
      <c r="AW282" s="273"/>
      <c r="AX282" s="273"/>
      <c r="AY282" s="273"/>
      <c r="AZ282" s="923"/>
      <c r="BA282" s="923"/>
    </row>
    <row r="283" spans="5:53">
      <c r="E283" s="277"/>
      <c r="F283" s="273"/>
      <c r="G283" s="273"/>
      <c r="H283" s="273"/>
      <c r="I283" s="273"/>
      <c r="J283" s="273"/>
      <c r="K283" s="273"/>
      <c r="L283" s="273"/>
      <c r="M283" s="273"/>
      <c r="N283" s="224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24"/>
      <c r="AB283" s="273"/>
      <c r="AC283" s="273"/>
      <c r="AD283" s="273"/>
      <c r="AE283" s="273"/>
      <c r="AF283" s="273"/>
      <c r="AG283" s="273"/>
      <c r="AH283" s="273"/>
      <c r="AI283" s="273"/>
      <c r="AJ283" s="273"/>
      <c r="AK283" s="273"/>
      <c r="AL283" s="273"/>
      <c r="AM283" s="273"/>
      <c r="AN283" s="224"/>
      <c r="AO283" s="273"/>
      <c r="AP283" s="273"/>
      <c r="AQ283" s="273"/>
      <c r="AR283" s="273"/>
      <c r="AS283" s="273"/>
      <c r="AT283" s="273"/>
      <c r="AU283" s="273"/>
      <c r="AV283" s="273"/>
      <c r="AW283" s="273"/>
      <c r="AX283" s="273"/>
      <c r="AY283" s="273"/>
      <c r="AZ283" s="923"/>
      <c r="BA283" s="923"/>
    </row>
    <row r="284" spans="5:53">
      <c r="E284" s="277"/>
      <c r="F284" s="273"/>
      <c r="G284" s="273"/>
      <c r="H284" s="273"/>
      <c r="I284" s="273"/>
      <c r="J284" s="273"/>
      <c r="K284" s="273"/>
      <c r="L284" s="273"/>
      <c r="M284" s="273"/>
      <c r="N284" s="224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24"/>
      <c r="AB284" s="273"/>
      <c r="AC284" s="273"/>
      <c r="AD284" s="273"/>
      <c r="AE284" s="273"/>
      <c r="AF284" s="273"/>
      <c r="AG284" s="273"/>
      <c r="AH284" s="273"/>
      <c r="AI284" s="273"/>
      <c r="AJ284" s="273"/>
      <c r="AK284" s="273"/>
      <c r="AL284" s="273"/>
      <c r="AM284" s="273"/>
      <c r="AN284" s="224"/>
      <c r="AO284" s="273"/>
      <c r="AP284" s="273"/>
      <c r="AQ284" s="273"/>
      <c r="AR284" s="273"/>
      <c r="AS284" s="273"/>
      <c r="AT284" s="273"/>
      <c r="AU284" s="273"/>
      <c r="AV284" s="273"/>
      <c r="AW284" s="273"/>
      <c r="AX284" s="273"/>
      <c r="AY284" s="273"/>
      <c r="AZ284" s="923"/>
      <c r="BA284" s="923"/>
    </row>
    <row r="285" spans="5:53">
      <c r="E285" s="277"/>
      <c r="F285" s="273"/>
      <c r="G285" s="273"/>
      <c r="H285" s="273"/>
      <c r="I285" s="273"/>
      <c r="J285" s="273"/>
      <c r="K285" s="273"/>
      <c r="L285" s="273"/>
      <c r="M285" s="273"/>
      <c r="N285" s="224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24"/>
      <c r="AB285" s="273"/>
      <c r="AC285" s="273"/>
      <c r="AD285" s="273"/>
      <c r="AE285" s="273"/>
      <c r="AF285" s="273"/>
      <c r="AG285" s="273"/>
      <c r="AH285" s="273"/>
      <c r="AI285" s="273"/>
      <c r="AJ285" s="273"/>
      <c r="AK285" s="273"/>
      <c r="AL285" s="273"/>
      <c r="AM285" s="273"/>
      <c r="AN285" s="224"/>
      <c r="AO285" s="273"/>
      <c r="AP285" s="273"/>
      <c r="AQ285" s="273"/>
      <c r="AR285" s="273"/>
      <c r="AS285" s="273"/>
      <c r="AT285" s="273"/>
      <c r="AU285" s="273"/>
      <c r="AV285" s="273"/>
      <c r="AW285" s="273"/>
      <c r="AX285" s="273"/>
      <c r="AY285" s="273"/>
      <c r="AZ285" s="923"/>
      <c r="BA285" s="923"/>
    </row>
    <row r="286" spans="5:53">
      <c r="E286" s="277"/>
      <c r="F286" s="273"/>
      <c r="G286" s="273"/>
      <c r="H286" s="273"/>
      <c r="I286" s="273"/>
      <c r="J286" s="273"/>
      <c r="K286" s="273"/>
      <c r="L286" s="273"/>
      <c r="M286" s="273"/>
      <c r="N286" s="224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24"/>
      <c r="AB286" s="273"/>
      <c r="AC286" s="273"/>
      <c r="AD286" s="273"/>
      <c r="AE286" s="273"/>
      <c r="AF286" s="273"/>
      <c r="AG286" s="273"/>
      <c r="AH286" s="273"/>
      <c r="AI286" s="273"/>
      <c r="AJ286" s="273"/>
      <c r="AK286" s="273"/>
      <c r="AL286" s="273"/>
      <c r="AM286" s="273"/>
      <c r="AN286" s="224"/>
      <c r="AO286" s="273"/>
      <c r="AP286" s="273"/>
      <c r="AQ286" s="273"/>
      <c r="AR286" s="273"/>
      <c r="AS286" s="273"/>
      <c r="AT286" s="273"/>
      <c r="AU286" s="273"/>
      <c r="AV286" s="273"/>
      <c r="AW286" s="273"/>
      <c r="AX286" s="273"/>
      <c r="AY286" s="273"/>
      <c r="AZ286" s="923"/>
      <c r="BA286" s="923"/>
    </row>
    <row r="287" spans="5:53">
      <c r="E287" s="277"/>
      <c r="F287" s="273"/>
      <c r="G287" s="273"/>
      <c r="H287" s="273"/>
      <c r="I287" s="273"/>
      <c r="J287" s="273"/>
      <c r="K287" s="273"/>
      <c r="L287" s="273"/>
      <c r="M287" s="273"/>
      <c r="N287" s="224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24"/>
      <c r="AB287" s="273"/>
      <c r="AC287" s="273"/>
      <c r="AD287" s="273"/>
      <c r="AE287" s="273"/>
      <c r="AF287" s="273"/>
      <c r="AG287" s="273"/>
      <c r="AH287" s="273"/>
      <c r="AI287" s="273"/>
      <c r="AJ287" s="273"/>
      <c r="AK287" s="273"/>
      <c r="AL287" s="273"/>
      <c r="AM287" s="273"/>
      <c r="AN287" s="224"/>
      <c r="AO287" s="273"/>
      <c r="AP287" s="273"/>
      <c r="AQ287" s="273"/>
      <c r="AR287" s="273"/>
      <c r="AS287" s="273"/>
      <c r="AT287" s="273"/>
      <c r="AU287" s="273"/>
      <c r="AV287" s="273"/>
      <c r="AW287" s="273"/>
      <c r="AX287" s="273"/>
      <c r="AY287" s="273"/>
      <c r="AZ287" s="923"/>
      <c r="BA287" s="923"/>
    </row>
    <row r="288" spans="5:53">
      <c r="E288" s="277"/>
      <c r="F288" s="273"/>
      <c r="G288" s="273"/>
      <c r="H288" s="273"/>
      <c r="I288" s="273"/>
      <c r="J288" s="273"/>
      <c r="K288" s="273"/>
      <c r="L288" s="273"/>
      <c r="M288" s="273"/>
      <c r="N288" s="224"/>
      <c r="O288" s="273"/>
      <c r="P288" s="273"/>
      <c r="Q288" s="273"/>
      <c r="R288" s="273"/>
      <c r="S288" s="273"/>
      <c r="T288" s="273"/>
      <c r="U288" s="273"/>
      <c r="V288" s="273"/>
      <c r="W288" s="273"/>
      <c r="X288" s="273"/>
      <c r="Y288" s="273"/>
      <c r="Z288" s="273"/>
      <c r="AA288" s="224"/>
      <c r="AB288" s="273"/>
      <c r="AC288" s="273"/>
      <c r="AD288" s="273"/>
      <c r="AE288" s="273"/>
      <c r="AF288" s="273"/>
      <c r="AG288" s="273"/>
      <c r="AH288" s="273"/>
      <c r="AI288" s="273"/>
      <c r="AJ288" s="273"/>
      <c r="AK288" s="273"/>
      <c r="AL288" s="273"/>
      <c r="AM288" s="273"/>
      <c r="AN288" s="224"/>
      <c r="AO288" s="273"/>
      <c r="AP288" s="273"/>
      <c r="AQ288" s="273"/>
      <c r="AR288" s="273"/>
      <c r="AS288" s="273"/>
      <c r="AT288" s="273"/>
      <c r="AU288" s="273"/>
      <c r="AV288" s="273"/>
      <c r="AW288" s="273"/>
      <c r="AX288" s="273"/>
      <c r="AY288" s="273"/>
      <c r="AZ288" s="923"/>
      <c r="BA288" s="923"/>
    </row>
    <row r="289" spans="5:53">
      <c r="E289" s="277"/>
      <c r="F289" s="273"/>
      <c r="G289" s="273"/>
      <c r="H289" s="273"/>
      <c r="I289" s="273"/>
      <c r="J289" s="273"/>
      <c r="K289" s="273"/>
      <c r="L289" s="273"/>
      <c r="M289" s="273"/>
      <c r="N289" s="224"/>
      <c r="O289" s="273"/>
      <c r="P289" s="273"/>
      <c r="Q289" s="273"/>
      <c r="R289" s="273"/>
      <c r="S289" s="273"/>
      <c r="T289" s="273"/>
      <c r="U289" s="273"/>
      <c r="V289" s="273"/>
      <c r="W289" s="273"/>
      <c r="X289" s="273"/>
      <c r="Y289" s="273"/>
      <c r="Z289" s="273"/>
      <c r="AA289" s="224"/>
      <c r="AB289" s="273"/>
      <c r="AC289" s="273"/>
      <c r="AD289" s="273"/>
      <c r="AE289" s="273"/>
      <c r="AF289" s="273"/>
      <c r="AG289" s="273"/>
      <c r="AH289" s="273"/>
      <c r="AI289" s="273"/>
      <c r="AJ289" s="273"/>
      <c r="AK289" s="273"/>
      <c r="AL289" s="273"/>
      <c r="AM289" s="273"/>
      <c r="AN289" s="224"/>
      <c r="AO289" s="273"/>
      <c r="AP289" s="273"/>
      <c r="AQ289" s="273"/>
      <c r="AR289" s="273"/>
      <c r="AS289" s="273"/>
      <c r="AT289" s="273"/>
      <c r="AU289" s="273"/>
      <c r="AV289" s="273"/>
      <c r="AW289" s="273"/>
      <c r="AX289" s="273"/>
      <c r="AY289" s="273"/>
      <c r="AZ289" s="923"/>
      <c r="BA289" s="923"/>
    </row>
    <row r="290" spans="5:53">
      <c r="E290" s="277"/>
      <c r="F290" s="273"/>
      <c r="G290" s="273"/>
      <c r="H290" s="273"/>
      <c r="I290" s="273"/>
      <c r="J290" s="273"/>
      <c r="K290" s="273"/>
      <c r="L290" s="273"/>
      <c r="M290" s="273"/>
      <c r="N290" s="224"/>
      <c r="O290" s="273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24"/>
      <c r="AB290" s="273"/>
      <c r="AC290" s="273"/>
      <c r="AD290" s="273"/>
      <c r="AE290" s="273"/>
      <c r="AF290" s="273"/>
      <c r="AG290" s="273"/>
      <c r="AH290" s="273"/>
      <c r="AI290" s="273"/>
      <c r="AJ290" s="273"/>
      <c r="AK290" s="273"/>
      <c r="AL290" s="273"/>
      <c r="AM290" s="273"/>
      <c r="AN290" s="224"/>
      <c r="AO290" s="273"/>
      <c r="AP290" s="273"/>
      <c r="AQ290" s="273"/>
      <c r="AR290" s="273"/>
      <c r="AS290" s="273"/>
      <c r="AT290" s="273"/>
      <c r="AU290" s="273"/>
      <c r="AV290" s="273"/>
      <c r="AW290" s="273"/>
      <c r="AX290" s="273"/>
      <c r="AY290" s="273"/>
      <c r="AZ290" s="923"/>
      <c r="BA290" s="923"/>
    </row>
    <row r="291" spans="5:53">
      <c r="E291" s="277"/>
      <c r="F291" s="273"/>
      <c r="G291" s="273"/>
      <c r="H291" s="273"/>
      <c r="I291" s="273"/>
      <c r="J291" s="273"/>
      <c r="K291" s="273"/>
      <c r="L291" s="273"/>
      <c r="M291" s="273"/>
      <c r="N291" s="224"/>
      <c r="O291" s="273"/>
      <c r="P291" s="273"/>
      <c r="Q291" s="273"/>
      <c r="R291" s="273"/>
      <c r="S291" s="273"/>
      <c r="T291" s="273"/>
      <c r="U291" s="273"/>
      <c r="V291" s="273"/>
      <c r="W291" s="273"/>
      <c r="X291" s="273"/>
      <c r="Y291" s="273"/>
      <c r="Z291" s="273"/>
      <c r="AA291" s="224"/>
      <c r="AB291" s="273"/>
      <c r="AC291" s="273"/>
      <c r="AD291" s="273"/>
      <c r="AE291" s="273"/>
      <c r="AF291" s="273"/>
      <c r="AG291" s="273"/>
      <c r="AH291" s="273"/>
      <c r="AI291" s="273"/>
      <c r="AJ291" s="273"/>
      <c r="AK291" s="273"/>
      <c r="AL291" s="273"/>
      <c r="AM291" s="273"/>
      <c r="AN291" s="224"/>
      <c r="AO291" s="273"/>
      <c r="AP291" s="273"/>
      <c r="AQ291" s="273"/>
      <c r="AR291" s="273"/>
      <c r="AS291" s="273"/>
      <c r="AT291" s="273"/>
      <c r="AU291" s="273"/>
      <c r="AV291" s="273"/>
      <c r="AW291" s="273"/>
      <c r="AX291" s="273"/>
      <c r="AY291" s="273"/>
      <c r="AZ291" s="923"/>
      <c r="BA291" s="923"/>
    </row>
    <row r="292" spans="5:53">
      <c r="E292" s="277"/>
      <c r="F292" s="273"/>
      <c r="G292" s="273"/>
      <c r="H292" s="273"/>
      <c r="I292" s="273"/>
      <c r="J292" s="273"/>
      <c r="K292" s="273"/>
      <c r="L292" s="273"/>
      <c r="M292" s="273"/>
      <c r="N292" s="224"/>
      <c r="O292" s="273"/>
      <c r="P292" s="273"/>
      <c r="Q292" s="273"/>
      <c r="R292" s="273"/>
      <c r="S292" s="273"/>
      <c r="T292" s="273"/>
      <c r="U292" s="273"/>
      <c r="V292" s="273"/>
      <c r="W292" s="273"/>
      <c r="X292" s="273"/>
      <c r="Y292" s="273"/>
      <c r="Z292" s="273"/>
      <c r="AA292" s="224"/>
      <c r="AB292" s="273"/>
      <c r="AC292" s="273"/>
      <c r="AD292" s="273"/>
      <c r="AE292" s="273"/>
      <c r="AF292" s="273"/>
      <c r="AG292" s="273"/>
      <c r="AH292" s="273"/>
      <c r="AI292" s="273"/>
      <c r="AJ292" s="273"/>
      <c r="AK292" s="273"/>
      <c r="AL292" s="273"/>
      <c r="AM292" s="273"/>
      <c r="AN292" s="224"/>
      <c r="AO292" s="273"/>
      <c r="AP292" s="273"/>
      <c r="AQ292" s="273"/>
      <c r="AR292" s="273"/>
      <c r="AS292" s="273"/>
      <c r="AT292" s="273"/>
      <c r="AU292" s="273"/>
      <c r="AV292" s="273"/>
      <c r="AW292" s="273"/>
      <c r="AX292" s="273"/>
      <c r="AY292" s="273"/>
      <c r="AZ292" s="923"/>
      <c r="BA292" s="923"/>
    </row>
    <row r="293" spans="5:53">
      <c r="E293" s="277"/>
      <c r="F293" s="273"/>
      <c r="G293" s="273"/>
      <c r="H293" s="273"/>
      <c r="I293" s="273"/>
      <c r="J293" s="273"/>
      <c r="K293" s="273"/>
      <c r="L293" s="273"/>
      <c r="M293" s="273"/>
      <c r="N293" s="224"/>
      <c r="O293" s="273"/>
      <c r="P293" s="273"/>
      <c r="Q293" s="273"/>
      <c r="R293" s="273"/>
      <c r="S293" s="273"/>
      <c r="T293" s="273"/>
      <c r="U293" s="273"/>
      <c r="V293" s="273"/>
      <c r="W293" s="273"/>
      <c r="X293" s="273"/>
      <c r="Y293" s="273"/>
      <c r="Z293" s="273"/>
      <c r="AA293" s="224"/>
      <c r="AB293" s="273"/>
      <c r="AC293" s="273"/>
      <c r="AD293" s="273"/>
      <c r="AE293" s="273"/>
      <c r="AF293" s="273"/>
      <c r="AG293" s="273"/>
      <c r="AH293" s="273"/>
      <c r="AI293" s="273"/>
      <c r="AJ293" s="273"/>
      <c r="AK293" s="273"/>
      <c r="AL293" s="273"/>
      <c r="AM293" s="273"/>
      <c r="AN293" s="224"/>
      <c r="AO293" s="273"/>
      <c r="AP293" s="273"/>
      <c r="AQ293" s="273"/>
      <c r="AR293" s="273"/>
      <c r="AS293" s="273"/>
      <c r="AT293" s="273"/>
      <c r="AU293" s="273"/>
      <c r="AV293" s="273"/>
      <c r="AW293" s="273"/>
      <c r="AX293" s="273"/>
      <c r="AY293" s="273"/>
      <c r="AZ293" s="923"/>
      <c r="BA293" s="923"/>
    </row>
    <row r="294" spans="5:53">
      <c r="E294" s="277"/>
      <c r="F294" s="273"/>
      <c r="G294" s="273"/>
      <c r="H294" s="273"/>
      <c r="I294" s="273"/>
      <c r="J294" s="273"/>
      <c r="K294" s="273"/>
      <c r="L294" s="273"/>
      <c r="M294" s="273"/>
      <c r="N294" s="224"/>
      <c r="O294" s="273"/>
      <c r="P294" s="273"/>
      <c r="Q294" s="273"/>
      <c r="R294" s="273"/>
      <c r="S294" s="273"/>
      <c r="T294" s="273"/>
      <c r="U294" s="273"/>
      <c r="V294" s="273"/>
      <c r="W294" s="273"/>
      <c r="X294" s="273"/>
      <c r="Y294" s="273"/>
      <c r="Z294" s="273"/>
      <c r="AA294" s="224"/>
      <c r="AB294" s="273"/>
      <c r="AC294" s="273"/>
      <c r="AD294" s="273"/>
      <c r="AE294" s="273"/>
      <c r="AF294" s="273"/>
      <c r="AG294" s="273"/>
      <c r="AH294" s="273"/>
      <c r="AI294" s="273"/>
      <c r="AJ294" s="273"/>
      <c r="AK294" s="273"/>
      <c r="AL294" s="273"/>
      <c r="AM294" s="273"/>
      <c r="AN294" s="224"/>
      <c r="AO294" s="273"/>
      <c r="AP294" s="273"/>
      <c r="AQ294" s="273"/>
      <c r="AR294" s="273"/>
      <c r="AS294" s="273"/>
      <c r="AT294" s="273"/>
      <c r="AU294" s="273"/>
      <c r="AV294" s="273"/>
      <c r="AW294" s="273"/>
      <c r="AX294" s="273"/>
      <c r="AY294" s="273"/>
      <c r="AZ294" s="923"/>
      <c r="BA294" s="923"/>
    </row>
    <row r="295" spans="5:53">
      <c r="E295" s="277"/>
      <c r="F295" s="273"/>
      <c r="G295" s="273"/>
      <c r="H295" s="273"/>
      <c r="I295" s="273"/>
      <c r="J295" s="273"/>
      <c r="K295" s="273"/>
      <c r="L295" s="273"/>
      <c r="M295" s="273"/>
      <c r="N295" s="224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73"/>
      <c r="AA295" s="224"/>
      <c r="AB295" s="273"/>
      <c r="AC295" s="273"/>
      <c r="AD295" s="273"/>
      <c r="AE295" s="273"/>
      <c r="AF295" s="273"/>
      <c r="AG295" s="273"/>
      <c r="AH295" s="273"/>
      <c r="AI295" s="273"/>
      <c r="AJ295" s="273"/>
      <c r="AK295" s="273"/>
      <c r="AL295" s="273"/>
      <c r="AM295" s="273"/>
      <c r="AN295" s="224"/>
      <c r="AO295" s="273"/>
      <c r="AP295" s="273"/>
      <c r="AQ295" s="273"/>
      <c r="AR295" s="273"/>
      <c r="AS295" s="273"/>
      <c r="AT295" s="273"/>
      <c r="AU295" s="273"/>
      <c r="AV295" s="273"/>
      <c r="AW295" s="273"/>
      <c r="AX295" s="273"/>
      <c r="AY295" s="273"/>
      <c r="AZ295" s="923"/>
      <c r="BA295" s="923"/>
    </row>
    <row r="296" spans="5:53">
      <c r="E296" s="277"/>
      <c r="F296" s="273"/>
      <c r="G296" s="273"/>
      <c r="H296" s="273"/>
      <c r="I296" s="273"/>
      <c r="J296" s="273"/>
      <c r="K296" s="273"/>
      <c r="L296" s="273"/>
      <c r="M296" s="273"/>
      <c r="N296" s="224"/>
      <c r="O296" s="273"/>
      <c r="P296" s="273"/>
      <c r="Q296" s="273"/>
      <c r="R296" s="273"/>
      <c r="S296" s="273"/>
      <c r="T296" s="273"/>
      <c r="U296" s="273"/>
      <c r="V296" s="273"/>
      <c r="W296" s="273"/>
      <c r="X296" s="273"/>
      <c r="Y296" s="273"/>
      <c r="Z296" s="273"/>
      <c r="AA296" s="224"/>
      <c r="AB296" s="273"/>
      <c r="AC296" s="273"/>
      <c r="AD296" s="273"/>
      <c r="AE296" s="273"/>
      <c r="AF296" s="273"/>
      <c r="AG296" s="273"/>
      <c r="AH296" s="273"/>
      <c r="AI296" s="273"/>
      <c r="AJ296" s="273"/>
      <c r="AK296" s="273"/>
      <c r="AL296" s="273"/>
      <c r="AM296" s="273"/>
      <c r="AN296" s="224"/>
      <c r="AO296" s="273"/>
      <c r="AP296" s="273"/>
      <c r="AQ296" s="273"/>
      <c r="AR296" s="273"/>
      <c r="AS296" s="273"/>
      <c r="AT296" s="273"/>
      <c r="AU296" s="273"/>
      <c r="AV296" s="273"/>
      <c r="AW296" s="273"/>
      <c r="AX296" s="273"/>
      <c r="AY296" s="273"/>
      <c r="AZ296" s="923"/>
      <c r="BA296" s="923"/>
    </row>
    <row r="297" spans="5:53">
      <c r="E297" s="277"/>
      <c r="F297" s="273"/>
      <c r="G297" s="273"/>
      <c r="H297" s="273"/>
      <c r="I297" s="273"/>
      <c r="J297" s="273"/>
      <c r="K297" s="273"/>
      <c r="L297" s="273"/>
      <c r="M297" s="273"/>
      <c r="N297" s="224"/>
      <c r="O297" s="273"/>
      <c r="P297" s="273"/>
      <c r="Q297" s="273"/>
      <c r="R297" s="273"/>
      <c r="S297" s="273"/>
      <c r="T297" s="273"/>
      <c r="U297" s="273"/>
      <c r="V297" s="273"/>
      <c r="W297" s="273"/>
      <c r="X297" s="273"/>
      <c r="Y297" s="273"/>
      <c r="Z297" s="273"/>
      <c r="AA297" s="224"/>
      <c r="AB297" s="273"/>
      <c r="AC297" s="273"/>
      <c r="AD297" s="273"/>
      <c r="AE297" s="273"/>
      <c r="AF297" s="273"/>
      <c r="AG297" s="273"/>
      <c r="AH297" s="273"/>
      <c r="AI297" s="273"/>
      <c r="AJ297" s="273"/>
      <c r="AK297" s="273"/>
      <c r="AL297" s="273"/>
      <c r="AM297" s="273"/>
      <c r="AN297" s="224"/>
      <c r="AO297" s="273"/>
      <c r="AP297" s="273"/>
      <c r="AQ297" s="273"/>
      <c r="AR297" s="273"/>
      <c r="AS297" s="273"/>
      <c r="AT297" s="273"/>
      <c r="AU297" s="273"/>
      <c r="AV297" s="273"/>
      <c r="AW297" s="273"/>
      <c r="AX297" s="273"/>
      <c r="AY297" s="273"/>
      <c r="AZ297" s="923"/>
      <c r="BA297" s="923"/>
    </row>
    <row r="298" spans="5:53">
      <c r="E298" s="277"/>
      <c r="F298" s="273"/>
      <c r="G298" s="273"/>
      <c r="H298" s="273"/>
      <c r="I298" s="273"/>
      <c r="J298" s="273"/>
      <c r="K298" s="273"/>
      <c r="L298" s="273"/>
      <c r="M298" s="273"/>
      <c r="N298" s="224"/>
      <c r="O298" s="273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24"/>
      <c r="AB298" s="273"/>
      <c r="AC298" s="273"/>
      <c r="AD298" s="273"/>
      <c r="AE298" s="273"/>
      <c r="AF298" s="273"/>
      <c r="AG298" s="273"/>
      <c r="AH298" s="273"/>
      <c r="AI298" s="273"/>
      <c r="AJ298" s="273"/>
      <c r="AK298" s="273"/>
      <c r="AL298" s="273"/>
      <c r="AM298" s="273"/>
      <c r="AN298" s="224"/>
      <c r="AO298" s="273"/>
      <c r="AP298" s="273"/>
      <c r="AQ298" s="273"/>
      <c r="AR298" s="273"/>
      <c r="AS298" s="273"/>
      <c r="AT298" s="273"/>
      <c r="AU298" s="273"/>
      <c r="AV298" s="273"/>
      <c r="AW298" s="273"/>
      <c r="AX298" s="273"/>
      <c r="AY298" s="273"/>
      <c r="AZ298" s="923"/>
      <c r="BA298" s="923"/>
    </row>
    <row r="299" spans="5:53">
      <c r="E299" s="277"/>
      <c r="F299" s="273"/>
      <c r="G299" s="273"/>
      <c r="H299" s="273"/>
      <c r="I299" s="273"/>
      <c r="J299" s="273"/>
      <c r="K299" s="273"/>
      <c r="L299" s="273"/>
      <c r="M299" s="273"/>
      <c r="N299" s="224"/>
      <c r="O299" s="273"/>
      <c r="P299" s="273"/>
      <c r="Q299" s="273"/>
      <c r="R299" s="273"/>
      <c r="S299" s="273"/>
      <c r="T299" s="273"/>
      <c r="U299" s="273"/>
      <c r="V299" s="273"/>
      <c r="W299" s="273"/>
      <c r="X299" s="273"/>
      <c r="Y299" s="273"/>
      <c r="Z299" s="273"/>
      <c r="AA299" s="224"/>
      <c r="AB299" s="273"/>
      <c r="AC299" s="273"/>
      <c r="AD299" s="273"/>
      <c r="AE299" s="273"/>
      <c r="AF299" s="273"/>
      <c r="AG299" s="273"/>
      <c r="AH299" s="273"/>
      <c r="AI299" s="273"/>
      <c r="AJ299" s="273"/>
      <c r="AK299" s="273"/>
      <c r="AL299" s="273"/>
      <c r="AM299" s="273"/>
      <c r="AN299" s="224"/>
      <c r="AO299" s="273"/>
      <c r="AP299" s="273"/>
      <c r="AQ299" s="273"/>
      <c r="AR299" s="273"/>
      <c r="AS299" s="273"/>
      <c r="AT299" s="273"/>
      <c r="AU299" s="273"/>
      <c r="AV299" s="273"/>
      <c r="AW299" s="273"/>
      <c r="AX299" s="273"/>
      <c r="AY299" s="273"/>
      <c r="AZ299" s="923"/>
      <c r="BA299" s="923"/>
    </row>
    <row r="300" spans="5:53">
      <c r="E300" s="277"/>
      <c r="F300" s="273"/>
      <c r="G300" s="273"/>
      <c r="H300" s="273"/>
      <c r="I300" s="273"/>
      <c r="J300" s="273"/>
      <c r="K300" s="273"/>
      <c r="L300" s="273"/>
      <c r="M300" s="273"/>
      <c r="N300" s="224"/>
      <c r="O300" s="273"/>
      <c r="P300" s="273"/>
      <c r="Q300" s="273"/>
      <c r="R300" s="273"/>
      <c r="S300" s="273"/>
      <c r="T300" s="273"/>
      <c r="U300" s="273"/>
      <c r="V300" s="273"/>
      <c r="W300" s="273"/>
      <c r="X300" s="273"/>
      <c r="Y300" s="273"/>
      <c r="Z300" s="273"/>
      <c r="AA300" s="224"/>
      <c r="AB300" s="273"/>
      <c r="AC300" s="273"/>
      <c r="AD300" s="273"/>
      <c r="AE300" s="273"/>
      <c r="AF300" s="273"/>
      <c r="AG300" s="273"/>
      <c r="AH300" s="273"/>
      <c r="AI300" s="273"/>
      <c r="AJ300" s="273"/>
      <c r="AK300" s="273"/>
      <c r="AL300" s="273"/>
      <c r="AM300" s="273"/>
      <c r="AN300" s="224"/>
      <c r="AO300" s="273"/>
      <c r="AP300" s="273"/>
      <c r="AQ300" s="273"/>
      <c r="AR300" s="273"/>
      <c r="AS300" s="273"/>
      <c r="AT300" s="273"/>
      <c r="AU300" s="273"/>
      <c r="AV300" s="273"/>
      <c r="AW300" s="273"/>
      <c r="AX300" s="273"/>
      <c r="AY300" s="273"/>
      <c r="AZ300" s="923"/>
      <c r="BA300" s="923"/>
    </row>
    <row r="301" spans="5:53">
      <c r="E301" s="277"/>
      <c r="F301" s="273"/>
      <c r="G301" s="273"/>
      <c r="H301" s="273"/>
      <c r="I301" s="273"/>
      <c r="J301" s="273"/>
      <c r="K301" s="273"/>
      <c r="L301" s="273"/>
      <c r="M301" s="273"/>
      <c r="N301" s="224"/>
      <c r="O301" s="273"/>
      <c r="P301" s="273"/>
      <c r="Q301" s="273"/>
      <c r="R301" s="273"/>
      <c r="S301" s="273"/>
      <c r="T301" s="273"/>
      <c r="U301" s="273"/>
      <c r="V301" s="273"/>
      <c r="W301" s="273"/>
      <c r="X301" s="273"/>
      <c r="Y301" s="273"/>
      <c r="Z301" s="273"/>
      <c r="AA301" s="224"/>
      <c r="AB301" s="273"/>
      <c r="AC301" s="273"/>
      <c r="AD301" s="273"/>
      <c r="AE301" s="273"/>
      <c r="AF301" s="273"/>
      <c r="AG301" s="273"/>
      <c r="AH301" s="273"/>
      <c r="AI301" s="273"/>
      <c r="AJ301" s="273"/>
      <c r="AK301" s="273"/>
      <c r="AL301" s="273"/>
      <c r="AM301" s="273"/>
      <c r="AN301" s="224"/>
      <c r="AO301" s="273"/>
      <c r="AP301" s="273"/>
      <c r="AQ301" s="273"/>
      <c r="AR301" s="273"/>
      <c r="AS301" s="273"/>
      <c r="AT301" s="273"/>
      <c r="AU301" s="273"/>
      <c r="AV301" s="273"/>
      <c r="AW301" s="273"/>
      <c r="AX301" s="273"/>
      <c r="AY301" s="273"/>
      <c r="AZ301" s="923"/>
      <c r="BA301" s="923"/>
    </row>
    <row r="302" spans="5:53">
      <c r="E302" s="277"/>
      <c r="F302" s="273"/>
      <c r="G302" s="273"/>
      <c r="H302" s="273"/>
      <c r="I302" s="273"/>
      <c r="J302" s="273"/>
      <c r="K302" s="273"/>
      <c r="L302" s="273"/>
      <c r="M302" s="273"/>
      <c r="N302" s="224"/>
      <c r="O302" s="273"/>
      <c r="P302" s="273"/>
      <c r="Q302" s="273"/>
      <c r="R302" s="273"/>
      <c r="S302" s="273"/>
      <c r="T302" s="273"/>
      <c r="U302" s="273"/>
      <c r="V302" s="273"/>
      <c r="W302" s="273"/>
      <c r="X302" s="273"/>
      <c r="Y302" s="273"/>
      <c r="Z302" s="273"/>
      <c r="AA302" s="224"/>
      <c r="AB302" s="273"/>
      <c r="AC302" s="273"/>
      <c r="AD302" s="273"/>
      <c r="AE302" s="273"/>
      <c r="AF302" s="273"/>
      <c r="AG302" s="273"/>
      <c r="AH302" s="273"/>
      <c r="AI302" s="273"/>
      <c r="AJ302" s="273"/>
      <c r="AK302" s="273"/>
      <c r="AL302" s="273"/>
      <c r="AM302" s="273"/>
      <c r="AN302" s="224"/>
      <c r="AO302" s="273"/>
      <c r="AP302" s="273"/>
      <c r="AQ302" s="273"/>
      <c r="AR302" s="273"/>
      <c r="AS302" s="273"/>
      <c r="AT302" s="273"/>
      <c r="AU302" s="273"/>
      <c r="AV302" s="273"/>
      <c r="AW302" s="273"/>
      <c r="AX302" s="273"/>
      <c r="AY302" s="273"/>
      <c r="AZ302" s="923"/>
      <c r="BA302" s="923"/>
    </row>
    <row r="303" spans="5:53">
      <c r="E303" s="277"/>
      <c r="F303" s="273"/>
      <c r="G303" s="273"/>
      <c r="H303" s="273"/>
      <c r="I303" s="273"/>
      <c r="J303" s="273"/>
      <c r="K303" s="273"/>
      <c r="L303" s="273"/>
      <c r="M303" s="273"/>
      <c r="N303" s="224"/>
      <c r="O303" s="273"/>
      <c r="P303" s="273"/>
      <c r="Q303" s="273"/>
      <c r="R303" s="273"/>
      <c r="S303" s="273"/>
      <c r="T303" s="273"/>
      <c r="U303" s="273"/>
      <c r="V303" s="273"/>
      <c r="W303" s="273"/>
      <c r="X303" s="273"/>
      <c r="Y303" s="273"/>
      <c r="Z303" s="273"/>
      <c r="AA303" s="224"/>
      <c r="AB303" s="273"/>
      <c r="AC303" s="273"/>
      <c r="AD303" s="273"/>
      <c r="AE303" s="273"/>
      <c r="AF303" s="273"/>
      <c r="AG303" s="273"/>
      <c r="AH303" s="273"/>
      <c r="AI303" s="273"/>
      <c r="AJ303" s="273"/>
      <c r="AK303" s="273"/>
      <c r="AL303" s="273"/>
      <c r="AM303" s="273"/>
      <c r="AN303" s="224"/>
      <c r="AO303" s="273"/>
      <c r="AP303" s="273"/>
      <c r="AQ303" s="273"/>
      <c r="AR303" s="273"/>
      <c r="AS303" s="273"/>
      <c r="AT303" s="273"/>
      <c r="AU303" s="273"/>
      <c r="AV303" s="273"/>
      <c r="AW303" s="273"/>
      <c r="AX303" s="273"/>
      <c r="AY303" s="273"/>
      <c r="AZ303" s="923"/>
      <c r="BA303" s="923"/>
    </row>
    <row r="304" spans="5:53">
      <c r="E304" s="277"/>
      <c r="F304" s="273"/>
      <c r="G304" s="273"/>
      <c r="H304" s="273"/>
      <c r="I304" s="273"/>
      <c r="J304" s="273"/>
      <c r="K304" s="273"/>
      <c r="L304" s="273"/>
      <c r="M304" s="273"/>
      <c r="N304" s="224"/>
      <c r="O304" s="273"/>
      <c r="P304" s="273"/>
      <c r="Q304" s="273"/>
      <c r="R304" s="273"/>
      <c r="S304" s="273"/>
      <c r="T304" s="273"/>
      <c r="U304" s="273"/>
      <c r="V304" s="273"/>
      <c r="W304" s="273"/>
      <c r="X304" s="273"/>
      <c r="Y304" s="273"/>
      <c r="Z304" s="273"/>
      <c r="AA304" s="224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24"/>
      <c r="AO304" s="273"/>
      <c r="AP304" s="273"/>
      <c r="AQ304" s="273"/>
      <c r="AR304" s="273"/>
      <c r="AS304" s="273"/>
      <c r="AT304" s="273"/>
      <c r="AU304" s="273"/>
      <c r="AV304" s="273"/>
      <c r="AW304" s="273"/>
      <c r="AX304" s="273"/>
      <c r="AY304" s="273"/>
      <c r="AZ304" s="923"/>
      <c r="BA304" s="923"/>
    </row>
    <row r="305" spans="5:53">
      <c r="E305" s="277"/>
      <c r="F305" s="273"/>
      <c r="G305" s="273"/>
      <c r="H305" s="273"/>
      <c r="I305" s="273"/>
      <c r="J305" s="273"/>
      <c r="K305" s="273"/>
      <c r="L305" s="273"/>
      <c r="M305" s="273"/>
      <c r="N305" s="224"/>
      <c r="O305" s="273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273"/>
      <c r="AA305" s="224"/>
      <c r="AB305" s="273"/>
      <c r="AC305" s="273"/>
      <c r="AD305" s="273"/>
      <c r="AE305" s="273"/>
      <c r="AF305" s="273"/>
      <c r="AG305" s="273"/>
      <c r="AH305" s="273"/>
      <c r="AI305" s="273"/>
      <c r="AJ305" s="273"/>
      <c r="AK305" s="273"/>
      <c r="AL305" s="273"/>
      <c r="AM305" s="273"/>
      <c r="AN305" s="224"/>
      <c r="AO305" s="273"/>
      <c r="AP305" s="273"/>
      <c r="AQ305" s="273"/>
      <c r="AR305" s="273"/>
      <c r="AS305" s="273"/>
      <c r="AT305" s="273"/>
      <c r="AU305" s="273"/>
      <c r="AV305" s="273"/>
      <c r="AW305" s="273"/>
      <c r="AX305" s="273"/>
      <c r="AY305" s="273"/>
      <c r="AZ305" s="923"/>
      <c r="BA305" s="923"/>
    </row>
    <row r="306" spans="5:53">
      <c r="E306" s="277"/>
      <c r="F306" s="273"/>
      <c r="G306" s="273"/>
      <c r="H306" s="273"/>
      <c r="I306" s="273"/>
      <c r="J306" s="273"/>
      <c r="K306" s="273"/>
      <c r="L306" s="273"/>
      <c r="M306" s="273"/>
      <c r="N306" s="224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24"/>
      <c r="AB306" s="273"/>
      <c r="AC306" s="273"/>
      <c r="AD306" s="273"/>
      <c r="AE306" s="273"/>
      <c r="AF306" s="273"/>
      <c r="AG306" s="273"/>
      <c r="AH306" s="273"/>
      <c r="AI306" s="273"/>
      <c r="AJ306" s="273"/>
      <c r="AK306" s="273"/>
      <c r="AL306" s="273"/>
      <c r="AM306" s="273"/>
      <c r="AN306" s="224"/>
      <c r="AO306" s="273"/>
      <c r="AP306" s="273"/>
      <c r="AQ306" s="273"/>
      <c r="AR306" s="273"/>
      <c r="AS306" s="273"/>
      <c r="AT306" s="273"/>
      <c r="AU306" s="273"/>
      <c r="AV306" s="273"/>
      <c r="AW306" s="273"/>
      <c r="AX306" s="273"/>
      <c r="AY306" s="273"/>
      <c r="AZ306" s="923"/>
      <c r="BA306" s="923"/>
    </row>
    <row r="307" spans="5:53">
      <c r="E307" s="277"/>
      <c r="F307" s="273"/>
      <c r="G307" s="273"/>
      <c r="H307" s="273"/>
      <c r="I307" s="273"/>
      <c r="J307" s="273"/>
      <c r="K307" s="273"/>
      <c r="L307" s="273"/>
      <c r="M307" s="273"/>
      <c r="N307" s="224"/>
      <c r="O307" s="273"/>
      <c r="P307" s="273"/>
      <c r="Q307" s="273"/>
      <c r="R307" s="273"/>
      <c r="S307" s="273"/>
      <c r="T307" s="273"/>
      <c r="U307" s="273"/>
      <c r="V307" s="273"/>
      <c r="W307" s="273"/>
      <c r="X307" s="273"/>
      <c r="Y307" s="273"/>
      <c r="Z307" s="273"/>
      <c r="AA307" s="224"/>
      <c r="AB307" s="273"/>
      <c r="AC307" s="273"/>
      <c r="AD307" s="273"/>
      <c r="AE307" s="273"/>
      <c r="AF307" s="273"/>
      <c r="AG307" s="273"/>
      <c r="AH307" s="273"/>
      <c r="AI307" s="273"/>
      <c r="AJ307" s="273"/>
      <c r="AK307" s="273"/>
      <c r="AL307" s="273"/>
      <c r="AM307" s="273"/>
      <c r="AN307" s="224"/>
      <c r="AO307" s="273"/>
      <c r="AP307" s="273"/>
      <c r="AQ307" s="273"/>
      <c r="AR307" s="273"/>
      <c r="AS307" s="273"/>
      <c r="AT307" s="273"/>
      <c r="AU307" s="273"/>
      <c r="AV307" s="273"/>
      <c r="AW307" s="273"/>
      <c r="AX307" s="273"/>
      <c r="AY307" s="273"/>
      <c r="AZ307" s="923"/>
      <c r="BA307" s="923"/>
    </row>
    <row r="308" spans="5:53">
      <c r="E308" s="277"/>
      <c r="F308" s="273"/>
      <c r="G308" s="273"/>
      <c r="H308" s="273"/>
      <c r="I308" s="273"/>
      <c r="J308" s="273"/>
      <c r="K308" s="273"/>
      <c r="L308" s="273"/>
      <c r="M308" s="273"/>
      <c r="N308" s="224"/>
      <c r="O308" s="273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24"/>
      <c r="AB308" s="273"/>
      <c r="AC308" s="273"/>
      <c r="AD308" s="273"/>
      <c r="AE308" s="273"/>
      <c r="AF308" s="273"/>
      <c r="AG308" s="273"/>
      <c r="AH308" s="273"/>
      <c r="AI308" s="273"/>
      <c r="AJ308" s="273"/>
      <c r="AK308" s="273"/>
      <c r="AL308" s="273"/>
      <c r="AM308" s="273"/>
      <c r="AN308" s="224"/>
      <c r="AO308" s="273"/>
      <c r="AP308" s="273"/>
      <c r="AQ308" s="273"/>
      <c r="AR308" s="273"/>
      <c r="AS308" s="273"/>
      <c r="AT308" s="273"/>
      <c r="AU308" s="273"/>
      <c r="AV308" s="273"/>
      <c r="AW308" s="273"/>
      <c r="AX308" s="273"/>
      <c r="AY308" s="273"/>
      <c r="AZ308" s="923"/>
      <c r="BA308" s="923"/>
    </row>
    <row r="309" spans="5:53">
      <c r="E309" s="277"/>
      <c r="F309" s="273"/>
      <c r="G309" s="273"/>
      <c r="H309" s="273"/>
      <c r="I309" s="273"/>
      <c r="J309" s="273"/>
      <c r="K309" s="273"/>
      <c r="L309" s="273"/>
      <c r="M309" s="273"/>
      <c r="N309" s="224"/>
      <c r="O309" s="273"/>
      <c r="P309" s="273"/>
      <c r="Q309" s="273"/>
      <c r="R309" s="273"/>
      <c r="S309" s="273"/>
      <c r="T309" s="273"/>
      <c r="U309" s="273"/>
      <c r="V309" s="273"/>
      <c r="W309" s="273"/>
      <c r="X309" s="273"/>
      <c r="Y309" s="273"/>
      <c r="Z309" s="273"/>
      <c r="AA309" s="224"/>
      <c r="AB309" s="273"/>
      <c r="AC309" s="273"/>
      <c r="AD309" s="273"/>
      <c r="AE309" s="273"/>
      <c r="AF309" s="273"/>
      <c r="AG309" s="273"/>
      <c r="AH309" s="273"/>
      <c r="AI309" s="273"/>
      <c r="AJ309" s="273"/>
      <c r="AK309" s="273"/>
      <c r="AL309" s="273"/>
      <c r="AM309" s="273"/>
      <c r="AN309" s="224"/>
      <c r="AO309" s="273"/>
      <c r="AP309" s="273"/>
      <c r="AQ309" s="273"/>
      <c r="AR309" s="273"/>
      <c r="AS309" s="273"/>
      <c r="AT309" s="273"/>
      <c r="AU309" s="273"/>
      <c r="AV309" s="273"/>
      <c r="AW309" s="273"/>
      <c r="AX309" s="273"/>
      <c r="AY309" s="273"/>
      <c r="AZ309" s="923"/>
      <c r="BA309" s="923"/>
    </row>
    <row r="310" spans="5:53">
      <c r="E310" s="277"/>
      <c r="F310" s="273"/>
      <c r="G310" s="273"/>
      <c r="H310" s="273"/>
      <c r="I310" s="273"/>
      <c r="J310" s="273"/>
      <c r="K310" s="273"/>
      <c r="L310" s="273"/>
      <c r="M310" s="273"/>
      <c r="N310" s="224"/>
      <c r="O310" s="273"/>
      <c r="P310" s="273"/>
      <c r="Q310" s="273"/>
      <c r="R310" s="273"/>
      <c r="S310" s="273"/>
      <c r="T310" s="273"/>
      <c r="U310" s="273"/>
      <c r="V310" s="273"/>
      <c r="W310" s="273"/>
      <c r="X310" s="273"/>
      <c r="Y310" s="273"/>
      <c r="Z310" s="273"/>
      <c r="AA310" s="224"/>
      <c r="AB310" s="273"/>
      <c r="AC310" s="273"/>
      <c r="AD310" s="273"/>
      <c r="AE310" s="273"/>
      <c r="AF310" s="273"/>
      <c r="AG310" s="273"/>
      <c r="AH310" s="273"/>
      <c r="AI310" s="273"/>
      <c r="AJ310" s="273"/>
      <c r="AK310" s="273"/>
      <c r="AL310" s="273"/>
      <c r="AM310" s="273"/>
      <c r="AN310" s="224"/>
      <c r="AO310" s="273"/>
      <c r="AP310" s="273"/>
      <c r="AQ310" s="273"/>
      <c r="AR310" s="273"/>
      <c r="AS310" s="273"/>
      <c r="AT310" s="273"/>
      <c r="AU310" s="273"/>
      <c r="AV310" s="273"/>
      <c r="AW310" s="273"/>
      <c r="AX310" s="273"/>
      <c r="AY310" s="273"/>
      <c r="AZ310" s="923"/>
      <c r="BA310" s="923"/>
    </row>
    <row r="311" spans="5:53">
      <c r="E311" s="277"/>
      <c r="F311" s="273"/>
      <c r="G311" s="273"/>
      <c r="H311" s="273"/>
      <c r="I311" s="273"/>
      <c r="J311" s="273"/>
      <c r="K311" s="273"/>
      <c r="L311" s="273"/>
      <c r="M311" s="273"/>
      <c r="N311" s="224"/>
      <c r="O311" s="273"/>
      <c r="P311" s="273"/>
      <c r="Q311" s="273"/>
      <c r="R311" s="273"/>
      <c r="S311" s="273"/>
      <c r="T311" s="273"/>
      <c r="U311" s="273"/>
      <c r="V311" s="273"/>
      <c r="W311" s="273"/>
      <c r="X311" s="273"/>
      <c r="Y311" s="273"/>
      <c r="Z311" s="273"/>
      <c r="AA311" s="224"/>
      <c r="AB311" s="273"/>
      <c r="AC311" s="273"/>
      <c r="AD311" s="273"/>
      <c r="AE311" s="273"/>
      <c r="AF311" s="273"/>
      <c r="AG311" s="273"/>
      <c r="AH311" s="273"/>
      <c r="AI311" s="273"/>
      <c r="AJ311" s="273"/>
      <c r="AK311" s="273"/>
      <c r="AL311" s="273"/>
      <c r="AM311" s="273"/>
      <c r="AN311" s="224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923"/>
      <c r="BA311" s="923"/>
    </row>
    <row r="312" spans="5:53">
      <c r="E312" s="277"/>
      <c r="F312" s="273"/>
      <c r="G312" s="273"/>
      <c r="H312" s="273"/>
      <c r="I312" s="273"/>
      <c r="J312" s="273"/>
      <c r="K312" s="273"/>
      <c r="L312" s="273"/>
      <c r="M312" s="273"/>
      <c r="N312" s="224"/>
      <c r="O312" s="273"/>
      <c r="P312" s="273"/>
      <c r="Q312" s="273"/>
      <c r="R312" s="273"/>
      <c r="S312" s="273"/>
      <c r="T312" s="273"/>
      <c r="U312" s="273"/>
      <c r="V312" s="273"/>
      <c r="W312" s="273"/>
      <c r="X312" s="273"/>
      <c r="Y312" s="273"/>
      <c r="Z312" s="273"/>
      <c r="AA312" s="224"/>
      <c r="AB312" s="273"/>
      <c r="AC312" s="273"/>
      <c r="AD312" s="273"/>
      <c r="AE312" s="273"/>
      <c r="AF312" s="273"/>
      <c r="AG312" s="273"/>
      <c r="AH312" s="273"/>
      <c r="AI312" s="273"/>
      <c r="AJ312" s="273"/>
      <c r="AK312" s="273"/>
      <c r="AL312" s="273"/>
      <c r="AM312" s="273"/>
      <c r="AN312" s="224"/>
      <c r="AO312" s="273"/>
      <c r="AP312" s="273"/>
      <c r="AQ312" s="273"/>
      <c r="AR312" s="273"/>
      <c r="AS312" s="273"/>
      <c r="AT312" s="273"/>
      <c r="AU312" s="273"/>
      <c r="AV312" s="273"/>
      <c r="AW312" s="273"/>
      <c r="AX312" s="273"/>
      <c r="AY312" s="273"/>
      <c r="AZ312" s="923"/>
      <c r="BA312" s="923"/>
    </row>
    <row r="313" spans="5:53">
      <c r="E313" s="277"/>
      <c r="F313" s="273"/>
      <c r="G313" s="273"/>
      <c r="H313" s="273"/>
      <c r="I313" s="273"/>
      <c r="J313" s="273"/>
      <c r="K313" s="273"/>
      <c r="L313" s="273"/>
      <c r="M313" s="273"/>
      <c r="N313" s="224"/>
      <c r="O313" s="273"/>
      <c r="P313" s="273"/>
      <c r="Q313" s="273"/>
      <c r="R313" s="273"/>
      <c r="S313" s="273"/>
      <c r="T313" s="273"/>
      <c r="U313" s="273"/>
      <c r="V313" s="273"/>
      <c r="W313" s="273"/>
      <c r="X313" s="273"/>
      <c r="Y313" s="273"/>
      <c r="Z313" s="273"/>
      <c r="AA313" s="224"/>
      <c r="AB313" s="273"/>
      <c r="AC313" s="273"/>
      <c r="AD313" s="273"/>
      <c r="AE313" s="273"/>
      <c r="AF313" s="273"/>
      <c r="AG313" s="273"/>
      <c r="AH313" s="273"/>
      <c r="AI313" s="273"/>
      <c r="AJ313" s="273"/>
      <c r="AK313" s="273"/>
      <c r="AL313" s="273"/>
      <c r="AM313" s="273"/>
      <c r="AN313" s="224"/>
      <c r="AO313" s="273"/>
      <c r="AP313" s="273"/>
      <c r="AQ313" s="273"/>
      <c r="AR313" s="273"/>
      <c r="AS313" s="273"/>
      <c r="AT313" s="273"/>
      <c r="AU313" s="273"/>
      <c r="AV313" s="273"/>
      <c r="AW313" s="273"/>
      <c r="AX313" s="273"/>
      <c r="AY313" s="273"/>
      <c r="AZ313" s="923"/>
      <c r="BA313" s="923"/>
    </row>
    <row r="314" spans="5:53">
      <c r="E314" s="277"/>
      <c r="F314" s="273"/>
      <c r="G314" s="273"/>
      <c r="H314" s="273"/>
      <c r="I314" s="273"/>
      <c r="J314" s="273"/>
      <c r="K314" s="273"/>
      <c r="L314" s="273"/>
      <c r="M314" s="273"/>
      <c r="N314" s="224"/>
      <c r="O314" s="273"/>
      <c r="P314" s="273"/>
      <c r="Q314" s="273"/>
      <c r="R314" s="273"/>
      <c r="S314" s="273"/>
      <c r="T314" s="273"/>
      <c r="U314" s="273"/>
      <c r="V314" s="273"/>
      <c r="W314" s="273"/>
      <c r="X314" s="273"/>
      <c r="Y314" s="273"/>
      <c r="Z314" s="273"/>
      <c r="AA314" s="224"/>
      <c r="AB314" s="273"/>
      <c r="AC314" s="273"/>
      <c r="AD314" s="273"/>
      <c r="AE314" s="273"/>
      <c r="AF314" s="273"/>
      <c r="AG314" s="273"/>
      <c r="AH314" s="273"/>
      <c r="AI314" s="273"/>
      <c r="AJ314" s="273"/>
      <c r="AK314" s="273"/>
      <c r="AL314" s="273"/>
      <c r="AM314" s="273"/>
      <c r="AN314" s="224"/>
      <c r="AO314" s="273"/>
      <c r="AP314" s="273"/>
      <c r="AQ314" s="273"/>
      <c r="AR314" s="273"/>
      <c r="AS314" s="273"/>
      <c r="AT314" s="273"/>
      <c r="AU314" s="273"/>
      <c r="AV314" s="273"/>
      <c r="AW314" s="273"/>
      <c r="AX314" s="273"/>
      <c r="AY314" s="273"/>
      <c r="AZ314" s="923"/>
      <c r="BA314" s="923"/>
    </row>
    <row r="315" spans="5:53">
      <c r="E315" s="277"/>
      <c r="F315" s="273"/>
      <c r="G315" s="273"/>
      <c r="H315" s="273"/>
      <c r="I315" s="273"/>
      <c r="J315" s="273"/>
      <c r="K315" s="273"/>
      <c r="L315" s="273"/>
      <c r="M315" s="273"/>
      <c r="N315" s="224"/>
      <c r="O315" s="273"/>
      <c r="P315" s="273"/>
      <c r="Q315" s="273"/>
      <c r="R315" s="273"/>
      <c r="S315" s="273"/>
      <c r="T315" s="273"/>
      <c r="U315" s="273"/>
      <c r="V315" s="273"/>
      <c r="W315" s="273"/>
      <c r="X315" s="273"/>
      <c r="Y315" s="273"/>
      <c r="Z315" s="273"/>
      <c r="AA315" s="224"/>
      <c r="AB315" s="273"/>
      <c r="AC315" s="273"/>
      <c r="AD315" s="273"/>
      <c r="AE315" s="273"/>
      <c r="AF315" s="273"/>
      <c r="AG315" s="273"/>
      <c r="AH315" s="273"/>
      <c r="AI315" s="273"/>
      <c r="AJ315" s="273"/>
      <c r="AK315" s="273"/>
      <c r="AL315" s="273"/>
      <c r="AM315" s="273"/>
      <c r="AN315" s="224"/>
      <c r="AO315" s="273"/>
      <c r="AP315" s="273"/>
      <c r="AQ315" s="273"/>
      <c r="AR315" s="273"/>
      <c r="AS315" s="273"/>
      <c r="AT315" s="273"/>
      <c r="AU315" s="273"/>
      <c r="AV315" s="273"/>
      <c r="AW315" s="273"/>
      <c r="AX315" s="273"/>
      <c r="AY315" s="273"/>
      <c r="AZ315" s="923"/>
      <c r="BA315" s="923"/>
    </row>
    <row r="316" spans="5:53">
      <c r="E316" s="277"/>
      <c r="F316" s="273"/>
      <c r="G316" s="273"/>
      <c r="H316" s="273"/>
      <c r="I316" s="273"/>
      <c r="J316" s="273"/>
      <c r="K316" s="273"/>
      <c r="L316" s="273"/>
      <c r="M316" s="273"/>
      <c r="N316" s="224"/>
      <c r="O316" s="273"/>
      <c r="P316" s="273"/>
      <c r="Q316" s="273"/>
      <c r="R316" s="273"/>
      <c r="S316" s="273"/>
      <c r="T316" s="273"/>
      <c r="U316" s="273"/>
      <c r="V316" s="273"/>
      <c r="W316" s="273"/>
      <c r="X316" s="273"/>
      <c r="Y316" s="273"/>
      <c r="Z316" s="273"/>
      <c r="AA316" s="224"/>
      <c r="AB316" s="273"/>
      <c r="AC316" s="273"/>
      <c r="AD316" s="273"/>
      <c r="AE316" s="273"/>
      <c r="AF316" s="273"/>
      <c r="AG316" s="273"/>
      <c r="AH316" s="273"/>
      <c r="AI316" s="273"/>
      <c r="AJ316" s="273"/>
      <c r="AK316" s="273"/>
      <c r="AL316" s="273"/>
      <c r="AM316" s="273"/>
      <c r="AN316" s="224"/>
      <c r="AO316" s="273"/>
      <c r="AP316" s="273"/>
      <c r="AQ316" s="273"/>
      <c r="AR316" s="273"/>
      <c r="AS316" s="273"/>
      <c r="AT316" s="273"/>
      <c r="AU316" s="273"/>
      <c r="AV316" s="273"/>
      <c r="AW316" s="273"/>
      <c r="AX316" s="273"/>
      <c r="AY316" s="273"/>
      <c r="AZ316" s="923"/>
      <c r="BA316" s="923"/>
    </row>
    <row r="317" spans="5:53">
      <c r="E317" s="277"/>
      <c r="F317" s="273"/>
      <c r="G317" s="273"/>
      <c r="H317" s="273"/>
      <c r="I317" s="273"/>
      <c r="J317" s="273"/>
      <c r="K317" s="273"/>
      <c r="L317" s="273"/>
      <c r="M317" s="273"/>
      <c r="N317" s="224"/>
      <c r="O317" s="273"/>
      <c r="P317" s="273"/>
      <c r="Q317" s="273"/>
      <c r="R317" s="273"/>
      <c r="S317" s="273"/>
      <c r="T317" s="273"/>
      <c r="U317" s="273"/>
      <c r="V317" s="273"/>
      <c r="W317" s="273"/>
      <c r="X317" s="273"/>
      <c r="Y317" s="273"/>
      <c r="Z317" s="273"/>
      <c r="AA317" s="224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24"/>
      <c r="AO317" s="273"/>
      <c r="AP317" s="273"/>
      <c r="AQ317" s="273"/>
      <c r="AR317" s="273"/>
      <c r="AS317" s="273"/>
      <c r="AT317" s="273"/>
      <c r="AU317" s="273"/>
      <c r="AV317" s="273"/>
      <c r="AW317" s="273"/>
      <c r="AX317" s="273"/>
      <c r="AY317" s="273"/>
      <c r="AZ317" s="923"/>
      <c r="BA317" s="923"/>
    </row>
    <row r="318" spans="5:53">
      <c r="E318" s="277"/>
      <c r="F318" s="273"/>
      <c r="G318" s="273"/>
      <c r="H318" s="273"/>
      <c r="I318" s="273"/>
      <c r="J318" s="273"/>
      <c r="K318" s="273"/>
      <c r="L318" s="273"/>
      <c r="M318" s="273"/>
      <c r="N318" s="224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24"/>
      <c r="AB318" s="273"/>
      <c r="AC318" s="273"/>
      <c r="AD318" s="273"/>
      <c r="AE318" s="273"/>
      <c r="AF318" s="273"/>
      <c r="AG318" s="273"/>
      <c r="AH318" s="273"/>
      <c r="AI318" s="273"/>
      <c r="AJ318" s="273"/>
      <c r="AK318" s="273"/>
      <c r="AL318" s="273"/>
      <c r="AM318" s="273"/>
      <c r="AN318" s="224"/>
      <c r="AO318" s="273"/>
      <c r="AP318" s="273"/>
      <c r="AQ318" s="273"/>
      <c r="AR318" s="273"/>
      <c r="AS318" s="273"/>
      <c r="AT318" s="273"/>
      <c r="AU318" s="273"/>
      <c r="AV318" s="273"/>
      <c r="AW318" s="273"/>
      <c r="AX318" s="273"/>
      <c r="AY318" s="273"/>
      <c r="AZ318" s="923"/>
      <c r="BA318" s="923"/>
    </row>
    <row r="319" spans="5:53">
      <c r="E319" s="277"/>
      <c r="F319" s="273"/>
      <c r="G319" s="273"/>
      <c r="H319" s="273"/>
      <c r="I319" s="273"/>
      <c r="J319" s="273"/>
      <c r="K319" s="273"/>
      <c r="L319" s="273"/>
      <c r="M319" s="273"/>
      <c r="N319" s="224"/>
      <c r="O319" s="273"/>
      <c r="P319" s="273"/>
      <c r="Q319" s="273"/>
      <c r="R319" s="273"/>
      <c r="S319" s="273"/>
      <c r="T319" s="273"/>
      <c r="U319" s="273"/>
      <c r="V319" s="273"/>
      <c r="W319" s="273"/>
      <c r="X319" s="273"/>
      <c r="Y319" s="273"/>
      <c r="Z319" s="273"/>
      <c r="AA319" s="224"/>
      <c r="AB319" s="273"/>
      <c r="AC319" s="273"/>
      <c r="AD319" s="273"/>
      <c r="AE319" s="273"/>
      <c r="AF319" s="273"/>
      <c r="AG319" s="273"/>
      <c r="AH319" s="273"/>
      <c r="AI319" s="273"/>
      <c r="AJ319" s="273"/>
      <c r="AK319" s="273"/>
      <c r="AL319" s="273"/>
      <c r="AM319" s="273"/>
      <c r="AN319" s="224"/>
      <c r="AO319" s="273"/>
      <c r="AP319" s="273"/>
      <c r="AQ319" s="273"/>
      <c r="AR319" s="273"/>
      <c r="AS319" s="273"/>
      <c r="AT319" s="273"/>
      <c r="AU319" s="273"/>
      <c r="AV319" s="273"/>
      <c r="AW319" s="273"/>
      <c r="AX319" s="273"/>
      <c r="AY319" s="273"/>
      <c r="AZ319" s="923"/>
      <c r="BA319" s="923"/>
    </row>
    <row r="320" spans="5:53">
      <c r="E320" s="277"/>
      <c r="F320" s="273"/>
      <c r="G320" s="273"/>
      <c r="H320" s="273"/>
      <c r="I320" s="273"/>
      <c r="J320" s="273"/>
      <c r="K320" s="273"/>
      <c r="L320" s="273"/>
      <c r="M320" s="273"/>
      <c r="N320" s="224"/>
      <c r="O320" s="273"/>
      <c r="P320" s="273"/>
      <c r="Q320" s="273"/>
      <c r="R320" s="273"/>
      <c r="S320" s="273"/>
      <c r="T320" s="273"/>
      <c r="U320" s="273"/>
      <c r="V320" s="273"/>
      <c r="W320" s="273"/>
      <c r="X320" s="273"/>
      <c r="Y320" s="273"/>
      <c r="Z320" s="273"/>
      <c r="AA320" s="224"/>
      <c r="AB320" s="273"/>
      <c r="AC320" s="273"/>
      <c r="AD320" s="273"/>
      <c r="AE320" s="273"/>
      <c r="AF320" s="273"/>
      <c r="AG320" s="273"/>
      <c r="AH320" s="273"/>
      <c r="AI320" s="273"/>
      <c r="AJ320" s="273"/>
      <c r="AK320" s="273"/>
      <c r="AL320" s="273"/>
      <c r="AM320" s="273"/>
      <c r="AN320" s="224"/>
      <c r="AO320" s="273"/>
      <c r="AP320" s="273"/>
      <c r="AQ320" s="273"/>
      <c r="AR320" s="273"/>
      <c r="AS320" s="273"/>
      <c r="AT320" s="273"/>
      <c r="AU320" s="273"/>
      <c r="AV320" s="273"/>
      <c r="AW320" s="273"/>
      <c r="AX320" s="273"/>
      <c r="AY320" s="273"/>
      <c r="AZ320" s="923"/>
      <c r="BA320" s="923"/>
    </row>
    <row r="321" spans="5:53">
      <c r="E321" s="277"/>
      <c r="F321" s="273"/>
      <c r="G321" s="273"/>
      <c r="H321" s="273"/>
      <c r="I321" s="273"/>
      <c r="J321" s="273"/>
      <c r="K321" s="273"/>
      <c r="L321" s="273"/>
      <c r="M321" s="273"/>
      <c r="N321" s="224"/>
      <c r="O321" s="273"/>
      <c r="P321" s="273"/>
      <c r="Q321" s="273"/>
      <c r="R321" s="273"/>
      <c r="S321" s="273"/>
      <c r="T321" s="273"/>
      <c r="U321" s="273"/>
      <c r="V321" s="273"/>
      <c r="W321" s="273"/>
      <c r="X321" s="273"/>
      <c r="Y321" s="273"/>
      <c r="Z321" s="273"/>
      <c r="AA321" s="224"/>
      <c r="AB321" s="273"/>
      <c r="AC321" s="273"/>
      <c r="AD321" s="273"/>
      <c r="AE321" s="273"/>
      <c r="AF321" s="273"/>
      <c r="AG321" s="273"/>
      <c r="AH321" s="273"/>
      <c r="AI321" s="273"/>
      <c r="AJ321" s="273"/>
      <c r="AK321" s="273"/>
      <c r="AL321" s="273"/>
      <c r="AM321" s="273"/>
      <c r="AN321" s="224"/>
      <c r="AO321" s="273"/>
      <c r="AP321" s="273"/>
      <c r="AQ321" s="273"/>
      <c r="AR321" s="273"/>
      <c r="AS321" s="273"/>
      <c r="AT321" s="273"/>
      <c r="AU321" s="273"/>
      <c r="AV321" s="273"/>
      <c r="AW321" s="273"/>
      <c r="AX321" s="273"/>
      <c r="AY321" s="273"/>
      <c r="AZ321" s="923"/>
      <c r="BA321" s="923"/>
    </row>
    <row r="322" spans="5:53">
      <c r="E322" s="277"/>
      <c r="F322" s="273"/>
      <c r="G322" s="273"/>
      <c r="H322" s="273"/>
      <c r="I322" s="273"/>
      <c r="J322" s="273"/>
      <c r="K322" s="273"/>
      <c r="L322" s="273"/>
      <c r="M322" s="273"/>
      <c r="N322" s="224"/>
      <c r="O322" s="273"/>
      <c r="P322" s="273"/>
      <c r="Q322" s="273"/>
      <c r="R322" s="273"/>
      <c r="S322" s="273"/>
      <c r="T322" s="273"/>
      <c r="U322" s="273"/>
      <c r="V322" s="273"/>
      <c r="W322" s="273"/>
      <c r="X322" s="273"/>
      <c r="Y322" s="273"/>
      <c r="Z322" s="273"/>
      <c r="AA322" s="224"/>
      <c r="AB322" s="273"/>
      <c r="AC322" s="273"/>
      <c r="AD322" s="273"/>
      <c r="AE322" s="273"/>
      <c r="AF322" s="273"/>
      <c r="AG322" s="273"/>
      <c r="AH322" s="273"/>
      <c r="AI322" s="273"/>
      <c r="AJ322" s="273"/>
      <c r="AK322" s="273"/>
      <c r="AL322" s="273"/>
      <c r="AM322" s="273"/>
      <c r="AN322" s="224"/>
      <c r="AO322" s="273"/>
      <c r="AP322" s="273"/>
      <c r="AQ322" s="273"/>
      <c r="AR322" s="273"/>
      <c r="AS322" s="273"/>
      <c r="AT322" s="273"/>
      <c r="AU322" s="273"/>
      <c r="AV322" s="273"/>
      <c r="AW322" s="273"/>
      <c r="AX322" s="273"/>
      <c r="AY322" s="273"/>
      <c r="AZ322" s="923"/>
      <c r="BA322" s="923"/>
    </row>
    <row r="323" spans="5:53">
      <c r="E323" s="277"/>
      <c r="F323" s="273"/>
      <c r="G323" s="273"/>
      <c r="H323" s="273"/>
      <c r="I323" s="273"/>
      <c r="J323" s="273"/>
      <c r="K323" s="273"/>
      <c r="L323" s="273"/>
      <c r="M323" s="273"/>
      <c r="N323" s="224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A323" s="224"/>
      <c r="AB323" s="273"/>
      <c r="AC323" s="273"/>
      <c r="AD323" s="273"/>
      <c r="AE323" s="273"/>
      <c r="AF323" s="273"/>
      <c r="AG323" s="273"/>
      <c r="AH323" s="273"/>
      <c r="AI323" s="273"/>
      <c r="AJ323" s="273"/>
      <c r="AK323" s="273"/>
      <c r="AL323" s="273"/>
      <c r="AM323" s="273"/>
      <c r="AN323" s="224"/>
      <c r="AO323" s="273"/>
      <c r="AP323" s="273"/>
      <c r="AQ323" s="273"/>
      <c r="AR323" s="273"/>
      <c r="AS323" s="273"/>
      <c r="AT323" s="273"/>
      <c r="AU323" s="273"/>
      <c r="AV323" s="273"/>
      <c r="AW323" s="273"/>
      <c r="AX323" s="273"/>
      <c r="AY323" s="273"/>
      <c r="AZ323" s="923"/>
      <c r="BA323" s="923"/>
    </row>
    <row r="324" spans="5:53">
      <c r="E324" s="277"/>
      <c r="F324" s="273"/>
      <c r="G324" s="273"/>
      <c r="H324" s="273"/>
      <c r="I324" s="273"/>
      <c r="J324" s="273"/>
      <c r="K324" s="273"/>
      <c r="L324" s="273"/>
      <c r="M324" s="273"/>
      <c r="N324" s="224"/>
      <c r="O324" s="273"/>
      <c r="P324" s="273"/>
      <c r="Q324" s="273"/>
      <c r="R324" s="273"/>
      <c r="S324" s="273"/>
      <c r="T324" s="273"/>
      <c r="U324" s="273"/>
      <c r="V324" s="273"/>
      <c r="W324" s="273"/>
      <c r="X324" s="273"/>
      <c r="Y324" s="273"/>
      <c r="Z324" s="273"/>
      <c r="AA324" s="224"/>
      <c r="AB324" s="273"/>
      <c r="AC324" s="273"/>
      <c r="AD324" s="273"/>
      <c r="AE324" s="273"/>
      <c r="AF324" s="273"/>
      <c r="AG324" s="273"/>
      <c r="AH324" s="273"/>
      <c r="AI324" s="273"/>
      <c r="AJ324" s="273"/>
      <c r="AK324" s="273"/>
      <c r="AL324" s="273"/>
      <c r="AM324" s="273"/>
      <c r="AN324" s="224"/>
      <c r="AO324" s="273"/>
      <c r="AP324" s="273"/>
      <c r="AQ324" s="273"/>
      <c r="AR324" s="273"/>
      <c r="AS324" s="273"/>
      <c r="AT324" s="273"/>
      <c r="AU324" s="273"/>
      <c r="AV324" s="273"/>
      <c r="AW324" s="273"/>
      <c r="AX324" s="273"/>
      <c r="AY324" s="273"/>
      <c r="AZ324" s="923"/>
      <c r="BA324" s="923"/>
    </row>
    <row r="325" spans="5:53">
      <c r="E325" s="277"/>
      <c r="F325" s="273"/>
      <c r="G325" s="273"/>
      <c r="H325" s="273"/>
      <c r="I325" s="273"/>
      <c r="J325" s="273"/>
      <c r="K325" s="273"/>
      <c r="L325" s="273"/>
      <c r="M325" s="273"/>
      <c r="N325" s="224"/>
      <c r="O325" s="273"/>
      <c r="P325" s="273"/>
      <c r="Q325" s="273"/>
      <c r="R325" s="273"/>
      <c r="S325" s="273"/>
      <c r="T325" s="273"/>
      <c r="U325" s="273"/>
      <c r="V325" s="273"/>
      <c r="W325" s="273"/>
      <c r="X325" s="273"/>
      <c r="Y325" s="273"/>
      <c r="Z325" s="273"/>
      <c r="AA325" s="224"/>
      <c r="AB325" s="273"/>
      <c r="AC325" s="273"/>
      <c r="AD325" s="273"/>
      <c r="AE325" s="273"/>
      <c r="AF325" s="273"/>
      <c r="AG325" s="273"/>
      <c r="AH325" s="273"/>
      <c r="AI325" s="273"/>
      <c r="AJ325" s="273"/>
      <c r="AK325" s="273"/>
      <c r="AL325" s="273"/>
      <c r="AM325" s="273"/>
      <c r="AN325" s="224"/>
      <c r="AO325" s="273"/>
      <c r="AP325" s="273"/>
      <c r="AQ325" s="273"/>
      <c r="AR325" s="273"/>
      <c r="AS325" s="273"/>
      <c r="AT325" s="273"/>
      <c r="AU325" s="273"/>
      <c r="AV325" s="273"/>
      <c r="AW325" s="273"/>
      <c r="AX325" s="273"/>
      <c r="AY325" s="273"/>
      <c r="AZ325" s="923"/>
      <c r="BA325" s="923"/>
    </row>
    <row r="326" spans="5:53">
      <c r="E326" s="277"/>
      <c r="F326" s="273"/>
      <c r="G326" s="273"/>
      <c r="H326" s="273"/>
      <c r="I326" s="273"/>
      <c r="J326" s="273"/>
      <c r="K326" s="273"/>
      <c r="L326" s="273"/>
      <c r="M326" s="273"/>
      <c r="N326" s="224"/>
      <c r="O326" s="273"/>
      <c r="P326" s="273"/>
      <c r="Q326" s="273"/>
      <c r="R326" s="273"/>
      <c r="S326" s="273"/>
      <c r="T326" s="273"/>
      <c r="U326" s="273"/>
      <c r="V326" s="273"/>
      <c r="W326" s="273"/>
      <c r="X326" s="273"/>
      <c r="Y326" s="273"/>
      <c r="Z326" s="273"/>
      <c r="AA326" s="224"/>
      <c r="AB326" s="273"/>
      <c r="AC326" s="273"/>
      <c r="AD326" s="273"/>
      <c r="AE326" s="273"/>
      <c r="AF326" s="273"/>
      <c r="AG326" s="273"/>
      <c r="AH326" s="273"/>
      <c r="AI326" s="273"/>
      <c r="AJ326" s="273"/>
      <c r="AK326" s="273"/>
      <c r="AL326" s="273"/>
      <c r="AM326" s="273"/>
      <c r="AN326" s="224"/>
      <c r="AO326" s="273"/>
      <c r="AP326" s="273"/>
      <c r="AQ326" s="273"/>
      <c r="AR326" s="273"/>
      <c r="AS326" s="273"/>
      <c r="AT326" s="273"/>
      <c r="AU326" s="273"/>
      <c r="AV326" s="273"/>
      <c r="AW326" s="273"/>
      <c r="AX326" s="273"/>
      <c r="AY326" s="273"/>
      <c r="AZ326" s="923"/>
      <c r="BA326" s="923"/>
    </row>
    <row r="327" spans="5:53">
      <c r="E327" s="277"/>
      <c r="F327" s="273"/>
      <c r="G327" s="273"/>
      <c r="H327" s="273"/>
      <c r="I327" s="273"/>
      <c r="J327" s="273"/>
      <c r="K327" s="273"/>
      <c r="L327" s="273"/>
      <c r="M327" s="273"/>
      <c r="N327" s="224"/>
      <c r="O327" s="273"/>
      <c r="P327" s="273"/>
      <c r="Q327" s="273"/>
      <c r="R327" s="273"/>
      <c r="S327" s="273"/>
      <c r="T327" s="273"/>
      <c r="U327" s="273"/>
      <c r="V327" s="273"/>
      <c r="W327" s="273"/>
      <c r="X327" s="273"/>
      <c r="Y327" s="273"/>
      <c r="Z327" s="273"/>
      <c r="AA327" s="224"/>
      <c r="AB327" s="273"/>
      <c r="AC327" s="273"/>
      <c r="AD327" s="273"/>
      <c r="AE327" s="273"/>
      <c r="AF327" s="273"/>
      <c r="AG327" s="273"/>
      <c r="AH327" s="273"/>
      <c r="AI327" s="273"/>
      <c r="AJ327" s="273"/>
      <c r="AK327" s="273"/>
      <c r="AL327" s="273"/>
      <c r="AM327" s="273"/>
      <c r="AN327" s="224"/>
      <c r="AO327" s="273"/>
      <c r="AP327" s="273"/>
      <c r="AQ327" s="273"/>
      <c r="AR327" s="273"/>
      <c r="AS327" s="273"/>
      <c r="AT327" s="273"/>
      <c r="AU327" s="273"/>
      <c r="AV327" s="273"/>
      <c r="AW327" s="273"/>
      <c r="AX327" s="273"/>
      <c r="AY327" s="273"/>
      <c r="AZ327" s="923"/>
      <c r="BA327" s="923"/>
    </row>
    <row r="328" spans="5:53">
      <c r="E328" s="277"/>
      <c r="F328" s="273"/>
      <c r="G328" s="273"/>
      <c r="H328" s="273"/>
      <c r="I328" s="273"/>
      <c r="J328" s="273"/>
      <c r="K328" s="273"/>
      <c r="L328" s="273"/>
      <c r="M328" s="273"/>
      <c r="N328" s="224"/>
      <c r="O328" s="273"/>
      <c r="P328" s="273"/>
      <c r="Q328" s="273"/>
      <c r="R328" s="273"/>
      <c r="S328" s="273"/>
      <c r="T328" s="273"/>
      <c r="U328" s="273"/>
      <c r="V328" s="273"/>
      <c r="W328" s="273"/>
      <c r="X328" s="273"/>
      <c r="Y328" s="273"/>
      <c r="Z328" s="273"/>
      <c r="AA328" s="224"/>
      <c r="AB328" s="273"/>
      <c r="AC328" s="273"/>
      <c r="AD328" s="273"/>
      <c r="AE328" s="273"/>
      <c r="AF328" s="273"/>
      <c r="AG328" s="273"/>
      <c r="AH328" s="273"/>
      <c r="AI328" s="273"/>
      <c r="AJ328" s="273"/>
      <c r="AK328" s="273"/>
      <c r="AL328" s="273"/>
      <c r="AM328" s="273"/>
      <c r="AN328" s="224"/>
      <c r="AO328" s="273"/>
      <c r="AP328" s="273"/>
      <c r="AQ328" s="273"/>
      <c r="AR328" s="273"/>
      <c r="AS328" s="273"/>
      <c r="AT328" s="273"/>
      <c r="AU328" s="273"/>
      <c r="AV328" s="273"/>
      <c r="AW328" s="273"/>
      <c r="AX328" s="273"/>
      <c r="AY328" s="273"/>
      <c r="AZ328" s="923"/>
      <c r="BA328" s="923"/>
    </row>
    <row r="329" spans="5:53">
      <c r="E329" s="277"/>
      <c r="F329" s="273"/>
      <c r="G329" s="273"/>
      <c r="H329" s="273"/>
      <c r="I329" s="273"/>
      <c r="J329" s="273"/>
      <c r="K329" s="273"/>
      <c r="L329" s="273"/>
      <c r="M329" s="273"/>
      <c r="N329" s="224"/>
      <c r="O329" s="273"/>
      <c r="P329" s="273"/>
      <c r="Q329" s="273"/>
      <c r="R329" s="273"/>
      <c r="S329" s="273"/>
      <c r="T329" s="273"/>
      <c r="U329" s="273"/>
      <c r="V329" s="273"/>
      <c r="W329" s="273"/>
      <c r="X329" s="273"/>
      <c r="Y329" s="273"/>
      <c r="Z329" s="273"/>
      <c r="AA329" s="224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24"/>
      <c r="AO329" s="273"/>
      <c r="AP329" s="273"/>
      <c r="AQ329" s="273"/>
      <c r="AR329" s="273"/>
      <c r="AS329" s="273"/>
      <c r="AT329" s="273"/>
      <c r="AU329" s="273"/>
      <c r="AV329" s="273"/>
      <c r="AW329" s="273"/>
      <c r="AX329" s="273"/>
      <c r="AY329" s="273"/>
      <c r="AZ329" s="923"/>
      <c r="BA329" s="923"/>
    </row>
    <row r="330" spans="5:53">
      <c r="E330" s="277"/>
      <c r="F330" s="273"/>
      <c r="G330" s="273"/>
      <c r="H330" s="273"/>
      <c r="I330" s="273"/>
      <c r="J330" s="273"/>
      <c r="K330" s="273"/>
      <c r="L330" s="273"/>
      <c r="M330" s="273"/>
      <c r="N330" s="224"/>
      <c r="O330" s="273"/>
      <c r="P330" s="273"/>
      <c r="Q330" s="273"/>
      <c r="R330" s="273"/>
      <c r="S330" s="273"/>
      <c r="T330" s="273"/>
      <c r="U330" s="273"/>
      <c r="V330" s="273"/>
      <c r="W330" s="273"/>
      <c r="X330" s="273"/>
      <c r="Y330" s="273"/>
      <c r="Z330" s="273"/>
      <c r="AA330" s="224"/>
      <c r="AB330" s="273"/>
      <c r="AC330" s="273"/>
      <c r="AD330" s="273"/>
      <c r="AE330" s="273"/>
      <c r="AF330" s="273"/>
      <c r="AG330" s="273"/>
      <c r="AH330" s="273"/>
      <c r="AI330" s="273"/>
      <c r="AJ330" s="273"/>
      <c r="AK330" s="273"/>
      <c r="AL330" s="273"/>
      <c r="AM330" s="273"/>
      <c r="AN330" s="224"/>
      <c r="AO330" s="273"/>
      <c r="AP330" s="273"/>
      <c r="AQ330" s="273"/>
      <c r="AR330" s="273"/>
      <c r="AS330" s="273"/>
      <c r="AT330" s="273"/>
      <c r="AU330" s="273"/>
      <c r="AV330" s="273"/>
      <c r="AW330" s="273"/>
      <c r="AX330" s="273"/>
      <c r="AY330" s="273"/>
      <c r="AZ330" s="923"/>
      <c r="BA330" s="923"/>
    </row>
    <row r="331" spans="5:53">
      <c r="E331" s="277"/>
      <c r="F331" s="273"/>
      <c r="G331" s="273"/>
      <c r="H331" s="273"/>
      <c r="I331" s="273"/>
      <c r="J331" s="273"/>
      <c r="K331" s="273"/>
      <c r="L331" s="273"/>
      <c r="M331" s="273"/>
      <c r="N331" s="224"/>
      <c r="O331" s="273"/>
      <c r="P331" s="273"/>
      <c r="Q331" s="273"/>
      <c r="R331" s="273"/>
      <c r="S331" s="273"/>
      <c r="T331" s="273"/>
      <c r="U331" s="273"/>
      <c r="V331" s="273"/>
      <c r="W331" s="273"/>
      <c r="X331" s="273"/>
      <c r="Y331" s="273"/>
      <c r="Z331" s="273"/>
      <c r="AA331" s="224"/>
      <c r="AB331" s="273"/>
      <c r="AC331" s="273"/>
      <c r="AD331" s="273"/>
      <c r="AE331" s="273"/>
      <c r="AF331" s="273"/>
      <c r="AG331" s="273"/>
      <c r="AH331" s="273"/>
      <c r="AI331" s="273"/>
      <c r="AJ331" s="273"/>
      <c r="AK331" s="273"/>
      <c r="AL331" s="273"/>
      <c r="AM331" s="273"/>
      <c r="AN331" s="224"/>
      <c r="AO331" s="273"/>
      <c r="AP331" s="273"/>
      <c r="AQ331" s="273"/>
      <c r="AR331" s="273"/>
      <c r="AS331" s="273"/>
      <c r="AT331" s="273"/>
      <c r="AU331" s="273"/>
      <c r="AV331" s="273"/>
      <c r="AW331" s="273"/>
      <c r="AX331" s="273"/>
      <c r="AY331" s="273"/>
      <c r="AZ331" s="923"/>
      <c r="BA331" s="923"/>
    </row>
    <row r="332" spans="5:53">
      <c r="E332" s="277"/>
      <c r="F332" s="273"/>
      <c r="G332" s="273"/>
      <c r="H332" s="273"/>
      <c r="I332" s="273"/>
      <c r="J332" s="273"/>
      <c r="K332" s="273"/>
      <c r="L332" s="273"/>
      <c r="M332" s="273"/>
      <c r="N332" s="224"/>
      <c r="O332" s="273"/>
      <c r="P332" s="273"/>
      <c r="Q332" s="273"/>
      <c r="R332" s="273"/>
      <c r="S332" s="273"/>
      <c r="T332" s="273"/>
      <c r="U332" s="273"/>
      <c r="V332" s="273"/>
      <c r="W332" s="273"/>
      <c r="X332" s="273"/>
      <c r="Y332" s="273"/>
      <c r="Z332" s="273"/>
      <c r="AA332" s="224"/>
      <c r="AB332" s="273"/>
      <c r="AC332" s="273"/>
      <c r="AD332" s="273"/>
      <c r="AE332" s="273"/>
      <c r="AF332" s="273"/>
      <c r="AG332" s="273"/>
      <c r="AH332" s="273"/>
      <c r="AI332" s="273"/>
      <c r="AJ332" s="273"/>
      <c r="AK332" s="273"/>
      <c r="AL332" s="273"/>
      <c r="AM332" s="273"/>
      <c r="AN332" s="224"/>
      <c r="AO332" s="273"/>
      <c r="AP332" s="273"/>
      <c r="AQ332" s="273"/>
      <c r="AR332" s="273"/>
      <c r="AS332" s="273"/>
      <c r="AT332" s="273"/>
      <c r="AU332" s="273"/>
      <c r="AV332" s="273"/>
      <c r="AW332" s="273"/>
      <c r="AX332" s="273"/>
      <c r="AY332" s="273"/>
      <c r="AZ332" s="923"/>
      <c r="BA332" s="923"/>
    </row>
    <row r="333" spans="5:53">
      <c r="E333" s="277"/>
      <c r="F333" s="273"/>
      <c r="G333" s="273"/>
      <c r="H333" s="273"/>
      <c r="I333" s="273"/>
      <c r="J333" s="273"/>
      <c r="K333" s="273"/>
      <c r="L333" s="273"/>
      <c r="M333" s="273"/>
      <c r="N333" s="224"/>
      <c r="O333" s="273"/>
      <c r="P333" s="273"/>
      <c r="Q333" s="273"/>
      <c r="R333" s="273"/>
      <c r="S333" s="273"/>
      <c r="T333" s="273"/>
      <c r="U333" s="273"/>
      <c r="V333" s="273"/>
      <c r="W333" s="273"/>
      <c r="X333" s="273"/>
      <c r="Y333" s="273"/>
      <c r="Z333" s="273"/>
      <c r="AA333" s="224"/>
      <c r="AB333" s="273"/>
      <c r="AC333" s="273"/>
      <c r="AD333" s="273"/>
      <c r="AE333" s="273"/>
      <c r="AF333" s="273"/>
      <c r="AG333" s="273"/>
      <c r="AH333" s="273"/>
      <c r="AI333" s="273"/>
      <c r="AJ333" s="273"/>
      <c r="AK333" s="273"/>
      <c r="AL333" s="273"/>
      <c r="AM333" s="273"/>
      <c r="AN333" s="224"/>
      <c r="AO333" s="273"/>
      <c r="AP333" s="273"/>
      <c r="AQ333" s="273"/>
      <c r="AR333" s="273"/>
      <c r="AS333" s="273"/>
      <c r="AT333" s="273"/>
      <c r="AU333" s="273"/>
      <c r="AV333" s="273"/>
      <c r="AW333" s="273"/>
      <c r="AX333" s="273"/>
      <c r="AY333" s="273"/>
      <c r="AZ333" s="923"/>
      <c r="BA333" s="923"/>
    </row>
    <row r="334" spans="5:53">
      <c r="E334" s="277"/>
      <c r="F334" s="273"/>
      <c r="G334" s="273"/>
      <c r="H334" s="273"/>
      <c r="I334" s="273"/>
      <c r="J334" s="273"/>
      <c r="K334" s="273"/>
      <c r="L334" s="273"/>
      <c r="M334" s="273"/>
      <c r="N334" s="224"/>
      <c r="O334" s="273"/>
      <c r="P334" s="273"/>
      <c r="Q334" s="273"/>
      <c r="R334" s="273"/>
      <c r="S334" s="273"/>
      <c r="T334" s="273"/>
      <c r="U334" s="273"/>
      <c r="V334" s="273"/>
      <c r="W334" s="273"/>
      <c r="X334" s="273"/>
      <c r="Y334" s="273"/>
      <c r="Z334" s="273"/>
      <c r="AA334" s="224"/>
      <c r="AB334" s="273"/>
      <c r="AC334" s="273"/>
      <c r="AD334" s="273"/>
      <c r="AE334" s="273"/>
      <c r="AF334" s="273"/>
      <c r="AG334" s="273"/>
      <c r="AH334" s="273"/>
      <c r="AI334" s="273"/>
      <c r="AJ334" s="273"/>
      <c r="AK334" s="273"/>
      <c r="AL334" s="273"/>
      <c r="AM334" s="273"/>
      <c r="AN334" s="224"/>
      <c r="AO334" s="273"/>
      <c r="AP334" s="273"/>
      <c r="AQ334" s="273"/>
      <c r="AR334" s="273"/>
      <c r="AS334" s="273"/>
      <c r="AT334" s="273"/>
      <c r="AU334" s="273"/>
      <c r="AV334" s="273"/>
      <c r="AW334" s="273"/>
      <c r="AX334" s="273"/>
      <c r="AY334" s="273"/>
      <c r="AZ334" s="923"/>
      <c r="BA334" s="923"/>
    </row>
    <row r="335" spans="5:53">
      <c r="E335" s="277"/>
      <c r="F335" s="273"/>
      <c r="G335" s="273"/>
      <c r="H335" s="273"/>
      <c r="I335" s="273"/>
      <c r="J335" s="273"/>
      <c r="K335" s="273"/>
      <c r="L335" s="273"/>
      <c r="M335" s="273"/>
      <c r="N335" s="224"/>
      <c r="O335" s="273"/>
      <c r="P335" s="273"/>
      <c r="Q335" s="273"/>
      <c r="R335" s="273"/>
      <c r="S335" s="273"/>
      <c r="T335" s="273"/>
      <c r="U335" s="273"/>
      <c r="V335" s="273"/>
      <c r="W335" s="273"/>
      <c r="X335" s="273"/>
      <c r="Y335" s="273"/>
      <c r="Z335" s="273"/>
      <c r="AA335" s="224"/>
      <c r="AB335" s="273"/>
      <c r="AC335" s="273"/>
      <c r="AD335" s="273"/>
      <c r="AE335" s="273"/>
      <c r="AF335" s="273"/>
      <c r="AG335" s="273"/>
      <c r="AH335" s="273"/>
      <c r="AI335" s="273"/>
      <c r="AJ335" s="273"/>
      <c r="AK335" s="273"/>
      <c r="AL335" s="273"/>
      <c r="AM335" s="273"/>
      <c r="AN335" s="224"/>
      <c r="AO335" s="273"/>
      <c r="AP335" s="273"/>
      <c r="AQ335" s="273"/>
      <c r="AR335" s="273"/>
      <c r="AS335" s="273"/>
      <c r="AT335" s="273"/>
      <c r="AU335" s="273"/>
      <c r="AV335" s="273"/>
      <c r="AW335" s="273"/>
      <c r="AX335" s="273"/>
      <c r="AY335" s="273"/>
      <c r="AZ335" s="923"/>
      <c r="BA335" s="923"/>
    </row>
    <row r="336" spans="5:53">
      <c r="E336" s="277"/>
      <c r="F336" s="273"/>
      <c r="G336" s="273"/>
      <c r="H336" s="273"/>
      <c r="I336" s="273"/>
      <c r="J336" s="273"/>
      <c r="K336" s="273"/>
      <c r="L336" s="273"/>
      <c r="M336" s="273"/>
      <c r="N336" s="224"/>
      <c r="O336" s="273"/>
      <c r="P336" s="273"/>
      <c r="Q336" s="273"/>
      <c r="R336" s="273"/>
      <c r="S336" s="273"/>
      <c r="T336" s="273"/>
      <c r="U336" s="273"/>
      <c r="V336" s="273"/>
      <c r="W336" s="273"/>
      <c r="X336" s="273"/>
      <c r="Y336" s="273"/>
      <c r="Z336" s="273"/>
      <c r="AA336" s="224"/>
      <c r="AB336" s="273"/>
      <c r="AC336" s="273"/>
      <c r="AD336" s="273"/>
      <c r="AE336" s="273"/>
      <c r="AF336" s="273"/>
      <c r="AG336" s="273"/>
      <c r="AH336" s="273"/>
      <c r="AI336" s="273"/>
      <c r="AJ336" s="273"/>
      <c r="AK336" s="273"/>
      <c r="AL336" s="273"/>
      <c r="AM336" s="273"/>
      <c r="AN336" s="224"/>
      <c r="AO336" s="273"/>
      <c r="AP336" s="273"/>
      <c r="AQ336" s="273"/>
      <c r="AR336" s="273"/>
      <c r="AS336" s="273"/>
      <c r="AT336" s="273"/>
      <c r="AU336" s="273"/>
      <c r="AV336" s="273"/>
      <c r="AW336" s="273"/>
      <c r="AX336" s="273"/>
      <c r="AY336" s="273"/>
      <c r="AZ336" s="923"/>
      <c r="BA336" s="923"/>
    </row>
    <row r="337" spans="5:53">
      <c r="E337" s="277"/>
      <c r="F337" s="273"/>
      <c r="G337" s="273"/>
      <c r="H337" s="273"/>
      <c r="I337" s="273"/>
      <c r="J337" s="273"/>
      <c r="K337" s="273"/>
      <c r="L337" s="273"/>
      <c r="M337" s="273"/>
      <c r="N337" s="224"/>
      <c r="O337" s="273"/>
      <c r="P337" s="273"/>
      <c r="Q337" s="273"/>
      <c r="R337" s="273"/>
      <c r="S337" s="273"/>
      <c r="T337" s="273"/>
      <c r="U337" s="273"/>
      <c r="V337" s="273"/>
      <c r="W337" s="273"/>
      <c r="X337" s="273"/>
      <c r="Y337" s="273"/>
      <c r="Z337" s="273"/>
      <c r="AA337" s="224"/>
      <c r="AB337" s="273"/>
      <c r="AC337" s="273"/>
      <c r="AD337" s="273"/>
      <c r="AE337" s="273"/>
      <c r="AF337" s="273"/>
      <c r="AG337" s="273"/>
      <c r="AH337" s="273"/>
      <c r="AI337" s="273"/>
      <c r="AJ337" s="273"/>
      <c r="AK337" s="273"/>
      <c r="AL337" s="273"/>
      <c r="AM337" s="273"/>
      <c r="AN337" s="224"/>
      <c r="AO337" s="273"/>
      <c r="AP337" s="273"/>
      <c r="AQ337" s="273"/>
      <c r="AR337" s="273"/>
      <c r="AS337" s="273"/>
      <c r="AT337" s="273"/>
      <c r="AU337" s="273"/>
      <c r="AV337" s="273"/>
      <c r="AW337" s="273"/>
      <c r="AX337" s="273"/>
      <c r="AY337" s="273"/>
      <c r="AZ337" s="923"/>
      <c r="BA337" s="923"/>
    </row>
    <row r="338" spans="5:53">
      <c r="E338" s="277"/>
      <c r="F338" s="273"/>
      <c r="G338" s="273"/>
      <c r="H338" s="273"/>
      <c r="I338" s="273"/>
      <c r="J338" s="273"/>
      <c r="K338" s="273"/>
      <c r="L338" s="273"/>
      <c r="M338" s="273"/>
      <c r="N338" s="224"/>
      <c r="O338" s="273"/>
      <c r="P338" s="273"/>
      <c r="Q338" s="273"/>
      <c r="R338" s="273"/>
      <c r="S338" s="273"/>
      <c r="T338" s="273"/>
      <c r="U338" s="273"/>
      <c r="V338" s="273"/>
      <c r="W338" s="273"/>
      <c r="X338" s="273"/>
      <c r="Y338" s="273"/>
      <c r="Z338" s="273"/>
      <c r="AA338" s="224"/>
      <c r="AB338" s="273"/>
      <c r="AC338" s="273"/>
      <c r="AD338" s="273"/>
      <c r="AE338" s="273"/>
      <c r="AF338" s="273"/>
      <c r="AG338" s="273"/>
      <c r="AH338" s="273"/>
      <c r="AI338" s="273"/>
      <c r="AJ338" s="273"/>
      <c r="AK338" s="273"/>
      <c r="AL338" s="273"/>
      <c r="AM338" s="273"/>
      <c r="AN338" s="224"/>
      <c r="AO338" s="273"/>
      <c r="AP338" s="273"/>
      <c r="AQ338" s="273"/>
      <c r="AR338" s="273"/>
      <c r="AS338" s="273"/>
      <c r="AT338" s="273"/>
      <c r="AU338" s="273"/>
      <c r="AV338" s="273"/>
      <c r="AW338" s="273"/>
      <c r="AX338" s="273"/>
      <c r="AY338" s="273"/>
      <c r="AZ338" s="923"/>
      <c r="BA338" s="923"/>
    </row>
    <row r="339" spans="5:53">
      <c r="E339" s="277"/>
      <c r="F339" s="273"/>
      <c r="G339" s="273"/>
      <c r="H339" s="273"/>
      <c r="I339" s="273"/>
      <c r="J339" s="273"/>
      <c r="K339" s="273"/>
      <c r="L339" s="273"/>
      <c r="M339" s="273"/>
      <c r="N339" s="224"/>
      <c r="O339" s="273"/>
      <c r="P339" s="273"/>
      <c r="Q339" s="273"/>
      <c r="R339" s="273"/>
      <c r="S339" s="273"/>
      <c r="T339" s="273"/>
      <c r="U339" s="273"/>
      <c r="V339" s="273"/>
      <c r="W339" s="273"/>
      <c r="X339" s="273"/>
      <c r="Y339" s="273"/>
      <c r="Z339" s="273"/>
      <c r="AA339" s="224"/>
      <c r="AB339" s="273"/>
      <c r="AC339" s="273"/>
      <c r="AD339" s="273"/>
      <c r="AE339" s="273"/>
      <c r="AF339" s="273"/>
      <c r="AG339" s="273"/>
      <c r="AH339" s="273"/>
      <c r="AI339" s="273"/>
      <c r="AJ339" s="273"/>
      <c r="AK339" s="273"/>
      <c r="AL339" s="273"/>
      <c r="AM339" s="273"/>
      <c r="AN339" s="224"/>
      <c r="AO339" s="273"/>
      <c r="AP339" s="273"/>
      <c r="AQ339" s="273"/>
      <c r="AR339" s="273"/>
      <c r="AS339" s="273"/>
      <c r="AT339" s="273"/>
      <c r="AU339" s="273"/>
      <c r="AV339" s="273"/>
      <c r="AW339" s="273"/>
      <c r="AX339" s="273"/>
      <c r="AY339" s="273"/>
      <c r="AZ339" s="923"/>
      <c r="BA339" s="923"/>
    </row>
    <row r="340" spans="5:53">
      <c r="E340" s="277"/>
      <c r="F340" s="273"/>
      <c r="G340" s="273"/>
      <c r="H340" s="273"/>
      <c r="I340" s="273"/>
      <c r="J340" s="273"/>
      <c r="K340" s="273"/>
      <c r="L340" s="273"/>
      <c r="M340" s="273"/>
      <c r="N340" s="224"/>
      <c r="O340" s="273"/>
      <c r="P340" s="273"/>
      <c r="Q340" s="273"/>
      <c r="R340" s="273"/>
      <c r="S340" s="273"/>
      <c r="T340" s="273"/>
      <c r="U340" s="273"/>
      <c r="V340" s="273"/>
      <c r="W340" s="273"/>
      <c r="X340" s="273"/>
      <c r="Y340" s="273"/>
      <c r="Z340" s="273"/>
      <c r="AA340" s="224"/>
      <c r="AB340" s="273"/>
      <c r="AC340" s="273"/>
      <c r="AD340" s="273"/>
      <c r="AE340" s="273"/>
      <c r="AF340" s="273"/>
      <c r="AG340" s="273"/>
      <c r="AH340" s="273"/>
      <c r="AI340" s="273"/>
      <c r="AJ340" s="273"/>
      <c r="AK340" s="273"/>
      <c r="AL340" s="273"/>
      <c r="AM340" s="273"/>
      <c r="AN340" s="224"/>
      <c r="AO340" s="273"/>
      <c r="AP340" s="273"/>
      <c r="AQ340" s="273"/>
      <c r="AR340" s="273"/>
      <c r="AS340" s="273"/>
      <c r="AT340" s="273"/>
      <c r="AU340" s="273"/>
      <c r="AV340" s="273"/>
      <c r="AW340" s="273"/>
      <c r="AX340" s="273"/>
      <c r="AY340" s="273"/>
      <c r="AZ340" s="923"/>
      <c r="BA340" s="923"/>
    </row>
    <row r="341" spans="5:53">
      <c r="E341" s="277"/>
      <c r="F341" s="273"/>
      <c r="G341" s="273"/>
      <c r="H341" s="273"/>
      <c r="I341" s="273"/>
      <c r="J341" s="273"/>
      <c r="K341" s="273"/>
      <c r="L341" s="273"/>
      <c r="M341" s="273"/>
      <c r="N341" s="224"/>
      <c r="O341" s="273"/>
      <c r="P341" s="273"/>
      <c r="Q341" s="273"/>
      <c r="R341" s="273"/>
      <c r="S341" s="273"/>
      <c r="T341" s="273"/>
      <c r="U341" s="273"/>
      <c r="V341" s="273"/>
      <c r="W341" s="273"/>
      <c r="X341" s="273"/>
      <c r="Y341" s="273"/>
      <c r="Z341" s="273"/>
      <c r="AA341" s="224"/>
      <c r="AB341" s="273"/>
      <c r="AC341" s="273"/>
      <c r="AD341" s="273"/>
      <c r="AE341" s="273"/>
      <c r="AF341" s="273"/>
      <c r="AG341" s="273"/>
      <c r="AH341" s="273"/>
      <c r="AI341" s="273"/>
      <c r="AJ341" s="273"/>
      <c r="AK341" s="273"/>
      <c r="AL341" s="273"/>
      <c r="AM341" s="273"/>
      <c r="AN341" s="224"/>
      <c r="AO341" s="273"/>
      <c r="AP341" s="273"/>
      <c r="AQ341" s="273"/>
      <c r="AR341" s="273"/>
      <c r="AS341" s="273"/>
      <c r="AT341" s="273"/>
      <c r="AU341" s="273"/>
      <c r="AV341" s="273"/>
      <c r="AW341" s="273"/>
      <c r="AX341" s="273"/>
      <c r="AY341" s="273"/>
      <c r="AZ341" s="923"/>
      <c r="BA341" s="923"/>
    </row>
    <row r="342" spans="5:53">
      <c r="E342" s="277"/>
      <c r="F342" s="273"/>
      <c r="G342" s="273"/>
      <c r="H342" s="273"/>
      <c r="I342" s="273"/>
      <c r="J342" s="273"/>
      <c r="K342" s="273"/>
      <c r="L342" s="273"/>
      <c r="M342" s="273"/>
      <c r="N342" s="224"/>
      <c r="O342" s="273"/>
      <c r="P342" s="273"/>
      <c r="Q342" s="273"/>
      <c r="R342" s="273"/>
      <c r="S342" s="273"/>
      <c r="T342" s="273"/>
      <c r="U342" s="273"/>
      <c r="V342" s="273"/>
      <c r="W342" s="273"/>
      <c r="X342" s="273"/>
      <c r="Y342" s="273"/>
      <c r="Z342" s="273"/>
      <c r="AA342" s="224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24"/>
      <c r="AO342" s="273"/>
      <c r="AP342" s="273"/>
      <c r="AQ342" s="273"/>
      <c r="AR342" s="273"/>
      <c r="AS342" s="273"/>
      <c r="AT342" s="273"/>
      <c r="AU342" s="273"/>
      <c r="AV342" s="273"/>
      <c r="AW342" s="273"/>
      <c r="AX342" s="273"/>
      <c r="AY342" s="273"/>
      <c r="AZ342" s="923"/>
      <c r="BA342" s="923"/>
    </row>
    <row r="343" spans="5:53">
      <c r="E343" s="277"/>
      <c r="F343" s="273"/>
      <c r="G343" s="273"/>
      <c r="H343" s="273"/>
      <c r="I343" s="273"/>
      <c r="J343" s="273"/>
      <c r="K343" s="273"/>
      <c r="L343" s="273"/>
      <c r="M343" s="273"/>
      <c r="N343" s="224"/>
      <c r="O343" s="273"/>
      <c r="P343" s="273"/>
      <c r="Q343" s="273"/>
      <c r="R343" s="273"/>
      <c r="S343" s="273"/>
      <c r="T343" s="273"/>
      <c r="U343" s="273"/>
      <c r="V343" s="273"/>
      <c r="W343" s="273"/>
      <c r="X343" s="273"/>
      <c r="Y343" s="273"/>
      <c r="Z343" s="273"/>
      <c r="AA343" s="224"/>
      <c r="AB343" s="273"/>
      <c r="AC343" s="273"/>
      <c r="AD343" s="273"/>
      <c r="AE343" s="273"/>
      <c r="AF343" s="273"/>
      <c r="AG343" s="273"/>
      <c r="AH343" s="273"/>
      <c r="AI343" s="273"/>
      <c r="AJ343" s="273"/>
      <c r="AK343" s="273"/>
      <c r="AL343" s="273"/>
      <c r="AM343" s="273"/>
      <c r="AN343" s="224"/>
      <c r="AO343" s="273"/>
      <c r="AP343" s="273"/>
      <c r="AQ343" s="273"/>
      <c r="AR343" s="273"/>
      <c r="AS343" s="273"/>
      <c r="AT343" s="273"/>
      <c r="AU343" s="273"/>
      <c r="AV343" s="273"/>
      <c r="AW343" s="273"/>
      <c r="AX343" s="273"/>
      <c r="AY343" s="273"/>
      <c r="AZ343" s="923"/>
      <c r="BA343" s="923"/>
    </row>
    <row r="344" spans="5:53">
      <c r="E344" s="277"/>
      <c r="F344" s="273"/>
      <c r="G344" s="273"/>
      <c r="H344" s="273"/>
      <c r="I344" s="273"/>
      <c r="J344" s="273"/>
      <c r="K344" s="273"/>
      <c r="L344" s="273"/>
      <c r="M344" s="273"/>
      <c r="N344" s="224"/>
      <c r="O344" s="273"/>
      <c r="P344" s="273"/>
      <c r="Q344" s="273"/>
      <c r="R344" s="273"/>
      <c r="S344" s="273"/>
      <c r="T344" s="273"/>
      <c r="U344" s="273"/>
      <c r="V344" s="273"/>
      <c r="W344" s="273"/>
      <c r="X344" s="273"/>
      <c r="Y344" s="273"/>
      <c r="Z344" s="273"/>
      <c r="AA344" s="224"/>
      <c r="AB344" s="273"/>
      <c r="AC344" s="273"/>
      <c r="AD344" s="273"/>
      <c r="AE344" s="273"/>
      <c r="AF344" s="273"/>
      <c r="AG344" s="273"/>
      <c r="AH344" s="273"/>
      <c r="AI344" s="273"/>
      <c r="AJ344" s="273"/>
      <c r="AK344" s="273"/>
      <c r="AL344" s="273"/>
      <c r="AM344" s="273"/>
      <c r="AN344" s="224"/>
      <c r="AO344" s="273"/>
      <c r="AP344" s="273"/>
      <c r="AQ344" s="273"/>
      <c r="AR344" s="273"/>
      <c r="AS344" s="273"/>
      <c r="AT344" s="273"/>
      <c r="AU344" s="273"/>
      <c r="AV344" s="273"/>
      <c r="AW344" s="273"/>
      <c r="AX344" s="273"/>
      <c r="AY344" s="273"/>
      <c r="AZ344" s="923"/>
      <c r="BA344" s="923"/>
    </row>
    <row r="345" spans="5:53">
      <c r="E345" s="277"/>
      <c r="F345" s="273"/>
      <c r="G345" s="273"/>
      <c r="H345" s="273"/>
      <c r="I345" s="273"/>
      <c r="J345" s="273"/>
      <c r="K345" s="273"/>
      <c r="L345" s="273"/>
      <c r="M345" s="273"/>
      <c r="N345" s="224"/>
      <c r="O345" s="273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  <c r="AA345" s="224"/>
      <c r="AB345" s="273"/>
      <c r="AC345" s="273"/>
      <c r="AD345" s="273"/>
      <c r="AE345" s="273"/>
      <c r="AF345" s="273"/>
      <c r="AG345" s="273"/>
      <c r="AH345" s="273"/>
      <c r="AI345" s="273"/>
      <c r="AJ345" s="273"/>
      <c r="AK345" s="273"/>
      <c r="AL345" s="273"/>
      <c r="AM345" s="273"/>
      <c r="AN345" s="224"/>
      <c r="AO345" s="273"/>
      <c r="AP345" s="273"/>
      <c r="AQ345" s="273"/>
      <c r="AR345" s="273"/>
      <c r="AS345" s="273"/>
      <c r="AT345" s="273"/>
      <c r="AU345" s="273"/>
      <c r="AV345" s="273"/>
      <c r="AW345" s="273"/>
      <c r="AX345" s="273"/>
      <c r="AY345" s="273"/>
      <c r="AZ345" s="923"/>
      <c r="BA345" s="923"/>
    </row>
    <row r="346" spans="5:53">
      <c r="E346" s="277"/>
      <c r="F346" s="273"/>
      <c r="G346" s="273"/>
      <c r="H346" s="273"/>
      <c r="I346" s="273"/>
      <c r="J346" s="273"/>
      <c r="K346" s="273"/>
      <c r="L346" s="273"/>
      <c r="M346" s="273"/>
      <c r="N346" s="224"/>
      <c r="O346" s="273"/>
      <c r="P346" s="273"/>
      <c r="Q346" s="273"/>
      <c r="R346" s="273"/>
      <c r="S346" s="273"/>
      <c r="T346" s="273"/>
      <c r="U346" s="273"/>
      <c r="V346" s="273"/>
      <c r="W346" s="273"/>
      <c r="X346" s="273"/>
      <c r="Y346" s="273"/>
      <c r="Z346" s="273"/>
      <c r="AA346" s="224"/>
      <c r="AB346" s="273"/>
      <c r="AC346" s="273"/>
      <c r="AD346" s="273"/>
      <c r="AE346" s="273"/>
      <c r="AF346" s="273"/>
      <c r="AG346" s="273"/>
      <c r="AH346" s="273"/>
      <c r="AI346" s="273"/>
      <c r="AJ346" s="273"/>
      <c r="AK346" s="273"/>
      <c r="AL346" s="273"/>
      <c r="AM346" s="273"/>
      <c r="AN346" s="224"/>
      <c r="AO346" s="273"/>
      <c r="AP346" s="273"/>
      <c r="AQ346" s="273"/>
      <c r="AR346" s="273"/>
      <c r="AS346" s="273"/>
      <c r="AT346" s="273"/>
      <c r="AU346" s="273"/>
      <c r="AV346" s="273"/>
      <c r="AW346" s="273"/>
      <c r="AX346" s="273"/>
      <c r="AY346" s="273"/>
      <c r="AZ346" s="923"/>
      <c r="BA346" s="923"/>
    </row>
    <row r="347" spans="5:53">
      <c r="E347" s="277"/>
      <c r="F347" s="273"/>
      <c r="G347" s="273"/>
      <c r="H347" s="273"/>
      <c r="I347" s="273"/>
      <c r="J347" s="273"/>
      <c r="K347" s="273"/>
      <c r="L347" s="273"/>
      <c r="M347" s="273"/>
      <c r="N347" s="224"/>
      <c r="O347" s="273"/>
      <c r="P347" s="273"/>
      <c r="Q347" s="273"/>
      <c r="R347" s="273"/>
      <c r="S347" s="273"/>
      <c r="T347" s="273"/>
      <c r="U347" s="273"/>
      <c r="V347" s="273"/>
      <c r="W347" s="273"/>
      <c r="X347" s="273"/>
      <c r="Y347" s="273"/>
      <c r="Z347" s="273"/>
      <c r="AA347" s="224"/>
      <c r="AB347" s="273"/>
      <c r="AC347" s="273"/>
      <c r="AD347" s="273"/>
      <c r="AE347" s="273"/>
      <c r="AF347" s="273"/>
      <c r="AG347" s="273"/>
      <c r="AH347" s="273"/>
      <c r="AI347" s="273"/>
      <c r="AJ347" s="273"/>
      <c r="AK347" s="273"/>
      <c r="AL347" s="273"/>
      <c r="AM347" s="273"/>
      <c r="AN347" s="224"/>
      <c r="AO347" s="273"/>
      <c r="AP347" s="273"/>
      <c r="AQ347" s="273"/>
      <c r="AR347" s="273"/>
      <c r="AS347" s="273"/>
      <c r="AT347" s="273"/>
      <c r="AU347" s="273"/>
      <c r="AV347" s="273"/>
      <c r="AW347" s="273"/>
      <c r="AX347" s="273"/>
      <c r="AY347" s="273"/>
      <c r="AZ347" s="923"/>
      <c r="BA347" s="923"/>
    </row>
    <row r="348" spans="5:53">
      <c r="E348" s="277"/>
      <c r="F348" s="273"/>
      <c r="G348" s="273"/>
      <c r="H348" s="273"/>
      <c r="I348" s="273"/>
      <c r="J348" s="273"/>
      <c r="K348" s="273"/>
      <c r="L348" s="273"/>
      <c r="M348" s="273"/>
      <c r="N348" s="224"/>
      <c r="O348" s="273"/>
      <c r="P348" s="273"/>
      <c r="Q348" s="273"/>
      <c r="R348" s="273"/>
      <c r="S348" s="273"/>
      <c r="T348" s="273"/>
      <c r="U348" s="273"/>
      <c r="V348" s="273"/>
      <c r="W348" s="273"/>
      <c r="X348" s="273"/>
      <c r="Y348" s="273"/>
      <c r="Z348" s="273"/>
      <c r="AA348" s="224"/>
      <c r="AB348" s="273"/>
      <c r="AC348" s="273"/>
      <c r="AD348" s="273"/>
      <c r="AE348" s="273"/>
      <c r="AF348" s="273"/>
      <c r="AG348" s="273"/>
      <c r="AH348" s="273"/>
      <c r="AI348" s="273"/>
      <c r="AJ348" s="273"/>
      <c r="AK348" s="273"/>
      <c r="AL348" s="273"/>
      <c r="AM348" s="273"/>
      <c r="AN348" s="224"/>
      <c r="AO348" s="273"/>
      <c r="AP348" s="273"/>
      <c r="AQ348" s="273"/>
      <c r="AR348" s="273"/>
      <c r="AS348" s="273"/>
      <c r="AT348" s="273"/>
      <c r="AU348" s="273"/>
      <c r="AV348" s="273"/>
      <c r="AW348" s="273"/>
      <c r="AX348" s="273"/>
      <c r="AY348" s="273"/>
      <c r="AZ348" s="923"/>
      <c r="BA348" s="923"/>
    </row>
    <row r="349" spans="5:53">
      <c r="E349" s="277"/>
      <c r="F349" s="273"/>
      <c r="G349" s="273"/>
      <c r="H349" s="273"/>
      <c r="I349" s="273"/>
      <c r="J349" s="273"/>
      <c r="K349" s="273"/>
      <c r="L349" s="273"/>
      <c r="M349" s="273"/>
      <c r="N349" s="224"/>
      <c r="O349" s="273"/>
      <c r="P349" s="273"/>
      <c r="Q349" s="273"/>
      <c r="R349" s="273"/>
      <c r="S349" s="273"/>
      <c r="T349" s="273"/>
      <c r="U349" s="273"/>
      <c r="V349" s="273"/>
      <c r="W349" s="273"/>
      <c r="X349" s="273"/>
      <c r="Y349" s="273"/>
      <c r="Z349" s="273"/>
      <c r="AA349" s="224"/>
      <c r="AB349" s="273"/>
      <c r="AC349" s="273"/>
      <c r="AD349" s="273"/>
      <c r="AE349" s="273"/>
      <c r="AF349" s="273"/>
      <c r="AG349" s="273"/>
      <c r="AH349" s="273"/>
      <c r="AI349" s="273"/>
      <c r="AJ349" s="273"/>
      <c r="AK349" s="273"/>
      <c r="AL349" s="273"/>
      <c r="AM349" s="273"/>
      <c r="AN349" s="224"/>
      <c r="AO349" s="273"/>
      <c r="AP349" s="273"/>
      <c r="AQ349" s="273"/>
      <c r="AR349" s="273"/>
      <c r="AS349" s="273"/>
      <c r="AT349" s="273"/>
      <c r="AU349" s="273"/>
      <c r="AV349" s="273"/>
      <c r="AW349" s="273"/>
      <c r="AX349" s="273"/>
      <c r="AY349" s="273"/>
      <c r="AZ349" s="923"/>
      <c r="BA349" s="923"/>
    </row>
    <row r="350" spans="5:53">
      <c r="E350" s="277"/>
      <c r="F350" s="273"/>
      <c r="G350" s="273"/>
      <c r="H350" s="273"/>
      <c r="I350" s="273"/>
      <c r="J350" s="273"/>
      <c r="K350" s="273"/>
      <c r="L350" s="273"/>
      <c r="M350" s="273"/>
      <c r="N350" s="224"/>
      <c r="O350" s="273"/>
      <c r="P350" s="273"/>
      <c r="Q350" s="273"/>
      <c r="R350" s="273"/>
      <c r="S350" s="273"/>
      <c r="T350" s="273"/>
      <c r="U350" s="273"/>
      <c r="V350" s="273"/>
      <c r="W350" s="273"/>
      <c r="X350" s="273"/>
      <c r="Y350" s="273"/>
      <c r="Z350" s="273"/>
      <c r="AA350" s="224"/>
      <c r="AB350" s="273"/>
      <c r="AC350" s="273"/>
      <c r="AD350" s="273"/>
      <c r="AE350" s="273"/>
      <c r="AF350" s="273"/>
      <c r="AG350" s="273"/>
      <c r="AH350" s="273"/>
      <c r="AI350" s="273"/>
      <c r="AJ350" s="273"/>
      <c r="AK350" s="273"/>
      <c r="AL350" s="273"/>
      <c r="AM350" s="273"/>
      <c r="AN350" s="224"/>
      <c r="AO350" s="273"/>
      <c r="AP350" s="273"/>
      <c r="AQ350" s="273"/>
      <c r="AR350" s="273"/>
      <c r="AS350" s="273"/>
      <c r="AT350" s="273"/>
      <c r="AU350" s="273"/>
      <c r="AV350" s="273"/>
      <c r="AW350" s="273"/>
      <c r="AX350" s="273"/>
      <c r="AY350" s="273"/>
      <c r="AZ350" s="923"/>
      <c r="BA350" s="923"/>
    </row>
    <row r="351" spans="5:53">
      <c r="E351" s="277"/>
      <c r="F351" s="273"/>
      <c r="G351" s="273"/>
      <c r="H351" s="273"/>
      <c r="I351" s="273"/>
      <c r="J351" s="273"/>
      <c r="K351" s="273"/>
      <c r="L351" s="273"/>
      <c r="M351" s="273"/>
      <c r="N351" s="224"/>
      <c r="O351" s="273"/>
      <c r="P351" s="273"/>
      <c r="Q351" s="273"/>
      <c r="R351" s="273"/>
      <c r="S351" s="273"/>
      <c r="T351" s="273"/>
      <c r="U351" s="273"/>
      <c r="V351" s="273"/>
      <c r="W351" s="273"/>
      <c r="X351" s="273"/>
      <c r="Y351" s="273"/>
      <c r="Z351" s="273"/>
      <c r="AA351" s="224"/>
      <c r="AB351" s="273"/>
      <c r="AC351" s="273"/>
      <c r="AD351" s="273"/>
      <c r="AE351" s="273"/>
      <c r="AF351" s="273"/>
      <c r="AG351" s="273"/>
      <c r="AH351" s="273"/>
      <c r="AI351" s="273"/>
      <c r="AJ351" s="273"/>
      <c r="AK351" s="273"/>
      <c r="AL351" s="273"/>
      <c r="AM351" s="273"/>
      <c r="AN351" s="224"/>
      <c r="AO351" s="273"/>
      <c r="AP351" s="273"/>
      <c r="AQ351" s="273"/>
      <c r="AR351" s="273"/>
      <c r="AS351" s="273"/>
      <c r="AT351" s="273"/>
      <c r="AU351" s="273"/>
      <c r="AV351" s="273"/>
      <c r="AW351" s="273"/>
      <c r="AX351" s="273"/>
      <c r="AY351" s="273"/>
      <c r="AZ351" s="923"/>
      <c r="BA351" s="923"/>
    </row>
    <row r="352" spans="5:53">
      <c r="E352" s="277"/>
      <c r="F352" s="273"/>
      <c r="G352" s="273"/>
      <c r="H352" s="273"/>
      <c r="I352" s="273"/>
      <c r="J352" s="273"/>
      <c r="K352" s="273"/>
      <c r="L352" s="273"/>
      <c r="M352" s="273"/>
      <c r="N352" s="224"/>
      <c r="O352" s="273"/>
      <c r="P352" s="273"/>
      <c r="Q352" s="273"/>
      <c r="R352" s="273"/>
      <c r="S352" s="273"/>
      <c r="T352" s="273"/>
      <c r="U352" s="273"/>
      <c r="V352" s="273"/>
      <c r="W352" s="273"/>
      <c r="X352" s="273"/>
      <c r="Y352" s="273"/>
      <c r="Z352" s="273"/>
      <c r="AA352" s="224"/>
      <c r="AB352" s="273"/>
      <c r="AC352" s="273"/>
      <c r="AD352" s="273"/>
      <c r="AE352" s="273"/>
      <c r="AF352" s="273"/>
      <c r="AG352" s="273"/>
      <c r="AH352" s="273"/>
      <c r="AI352" s="273"/>
      <c r="AJ352" s="273"/>
      <c r="AK352" s="273"/>
      <c r="AL352" s="273"/>
      <c r="AM352" s="273"/>
      <c r="AN352" s="224"/>
      <c r="AO352" s="273"/>
      <c r="AP352" s="273"/>
      <c r="AQ352" s="273"/>
      <c r="AR352" s="273"/>
      <c r="AS352" s="273"/>
      <c r="AT352" s="273"/>
      <c r="AU352" s="273"/>
      <c r="AV352" s="273"/>
      <c r="AW352" s="273"/>
      <c r="AX352" s="273"/>
      <c r="AY352" s="273"/>
      <c r="AZ352" s="923"/>
      <c r="BA352" s="923"/>
    </row>
    <row r="353" spans="5:53">
      <c r="E353" s="277"/>
      <c r="F353" s="273"/>
      <c r="G353" s="273"/>
      <c r="H353" s="273"/>
      <c r="I353" s="273"/>
      <c r="J353" s="273"/>
      <c r="K353" s="273"/>
      <c r="L353" s="273"/>
      <c r="M353" s="273"/>
      <c r="N353" s="224"/>
      <c r="O353" s="273"/>
      <c r="P353" s="273"/>
      <c r="Q353" s="273"/>
      <c r="R353" s="273"/>
      <c r="S353" s="273"/>
      <c r="T353" s="273"/>
      <c r="U353" s="273"/>
      <c r="V353" s="273"/>
      <c r="W353" s="273"/>
      <c r="X353" s="273"/>
      <c r="Y353" s="273"/>
      <c r="Z353" s="273"/>
      <c r="AA353" s="224"/>
      <c r="AB353" s="273"/>
      <c r="AC353" s="273"/>
      <c r="AD353" s="273"/>
      <c r="AE353" s="273"/>
      <c r="AF353" s="273"/>
      <c r="AG353" s="273"/>
      <c r="AH353" s="273"/>
      <c r="AI353" s="273"/>
      <c r="AJ353" s="273"/>
      <c r="AK353" s="273"/>
      <c r="AL353" s="273"/>
      <c r="AM353" s="273"/>
      <c r="AN353" s="224"/>
      <c r="AO353" s="273"/>
      <c r="AP353" s="273"/>
      <c r="AQ353" s="273"/>
      <c r="AR353" s="273"/>
      <c r="AS353" s="273"/>
      <c r="AT353" s="273"/>
      <c r="AU353" s="273"/>
      <c r="AV353" s="273"/>
      <c r="AW353" s="273"/>
      <c r="AX353" s="273"/>
      <c r="AY353" s="273"/>
      <c r="AZ353" s="923"/>
      <c r="BA353" s="923"/>
    </row>
    <row r="354" spans="5:53">
      <c r="E354" s="277"/>
      <c r="F354" s="273"/>
      <c r="G354" s="273"/>
      <c r="H354" s="273"/>
      <c r="I354" s="273"/>
      <c r="J354" s="273"/>
      <c r="K354" s="273"/>
      <c r="L354" s="273"/>
      <c r="M354" s="273"/>
      <c r="N354" s="224"/>
      <c r="O354" s="273"/>
      <c r="P354" s="273"/>
      <c r="Q354" s="273"/>
      <c r="R354" s="273"/>
      <c r="S354" s="273"/>
      <c r="T354" s="273"/>
      <c r="U354" s="273"/>
      <c r="V354" s="273"/>
      <c r="W354" s="273"/>
      <c r="X354" s="273"/>
      <c r="Y354" s="273"/>
      <c r="Z354" s="273"/>
      <c r="AA354" s="224"/>
      <c r="AB354" s="273"/>
      <c r="AC354" s="273"/>
      <c r="AD354" s="273"/>
      <c r="AE354" s="273"/>
      <c r="AF354" s="273"/>
      <c r="AG354" s="273"/>
      <c r="AH354" s="273"/>
      <c r="AI354" s="273"/>
      <c r="AJ354" s="273"/>
      <c r="AK354" s="273"/>
      <c r="AL354" s="273"/>
      <c r="AM354" s="273"/>
      <c r="AN354" s="224"/>
      <c r="AO354" s="273"/>
      <c r="AP354" s="273"/>
      <c r="AQ354" s="273"/>
      <c r="AR354" s="273"/>
      <c r="AS354" s="273"/>
      <c r="AT354" s="273"/>
      <c r="AU354" s="273"/>
      <c r="AV354" s="273"/>
      <c r="AW354" s="273"/>
      <c r="AX354" s="273"/>
      <c r="AY354" s="273"/>
      <c r="AZ354" s="923"/>
      <c r="BA354" s="923"/>
    </row>
    <row r="355" spans="5:53">
      <c r="E355" s="277"/>
      <c r="F355" s="273"/>
      <c r="G355" s="273"/>
      <c r="H355" s="273"/>
      <c r="I355" s="273"/>
      <c r="J355" s="273"/>
      <c r="K355" s="273"/>
      <c r="L355" s="273"/>
      <c r="M355" s="273"/>
      <c r="N355" s="224"/>
      <c r="O355" s="273"/>
      <c r="P355" s="273"/>
      <c r="Q355" s="273"/>
      <c r="R355" s="273"/>
      <c r="S355" s="273"/>
      <c r="T355" s="273"/>
      <c r="U355" s="273"/>
      <c r="V355" s="273"/>
      <c r="W355" s="273"/>
      <c r="X355" s="273"/>
      <c r="Y355" s="273"/>
      <c r="Z355" s="273"/>
      <c r="AA355" s="224"/>
      <c r="AB355" s="273"/>
      <c r="AC355" s="273"/>
      <c r="AD355" s="273"/>
      <c r="AE355" s="273"/>
      <c r="AF355" s="273"/>
      <c r="AG355" s="273"/>
      <c r="AH355" s="273"/>
      <c r="AI355" s="273"/>
      <c r="AJ355" s="273"/>
      <c r="AK355" s="273"/>
      <c r="AL355" s="273"/>
      <c r="AM355" s="273"/>
      <c r="AN355" s="224"/>
      <c r="AO355" s="273"/>
      <c r="AP355" s="273"/>
      <c r="AQ355" s="273"/>
      <c r="AR355" s="273"/>
      <c r="AS355" s="273"/>
      <c r="AT355" s="273"/>
      <c r="AU355" s="273"/>
      <c r="AV355" s="273"/>
      <c r="AW355" s="273"/>
      <c r="AX355" s="273"/>
      <c r="AY355" s="273"/>
      <c r="AZ355" s="923"/>
      <c r="BA355" s="923"/>
    </row>
    <row r="356" spans="5:53">
      <c r="E356" s="277"/>
      <c r="F356" s="273"/>
      <c r="G356" s="273"/>
      <c r="H356" s="273"/>
      <c r="I356" s="273"/>
      <c r="J356" s="273"/>
      <c r="K356" s="273"/>
      <c r="L356" s="273"/>
      <c r="M356" s="273"/>
      <c r="N356" s="224"/>
      <c r="O356" s="273"/>
      <c r="P356" s="273"/>
      <c r="Q356" s="273"/>
      <c r="R356" s="273"/>
      <c r="S356" s="273"/>
      <c r="T356" s="273"/>
      <c r="U356" s="273"/>
      <c r="V356" s="273"/>
      <c r="W356" s="273"/>
      <c r="X356" s="273"/>
      <c r="Y356" s="273"/>
      <c r="Z356" s="273"/>
      <c r="AA356" s="224"/>
      <c r="AB356" s="273"/>
      <c r="AC356" s="273"/>
      <c r="AD356" s="273"/>
      <c r="AE356" s="273"/>
      <c r="AF356" s="273"/>
      <c r="AG356" s="273"/>
      <c r="AH356" s="273"/>
      <c r="AI356" s="273"/>
      <c r="AJ356" s="273"/>
      <c r="AK356" s="273"/>
      <c r="AL356" s="273"/>
      <c r="AM356" s="273"/>
      <c r="AN356" s="224"/>
      <c r="AO356" s="273"/>
      <c r="AP356" s="273"/>
      <c r="AQ356" s="273"/>
      <c r="AR356" s="273"/>
      <c r="AS356" s="273"/>
      <c r="AT356" s="273"/>
      <c r="AU356" s="273"/>
      <c r="AV356" s="273"/>
      <c r="AW356" s="273"/>
      <c r="AX356" s="273"/>
      <c r="AY356" s="273"/>
      <c r="AZ356" s="923"/>
      <c r="BA356" s="923"/>
    </row>
    <row r="357" spans="5:53">
      <c r="E357" s="277"/>
      <c r="F357" s="273"/>
      <c r="G357" s="273"/>
      <c r="H357" s="273"/>
      <c r="I357" s="273"/>
      <c r="J357" s="273"/>
      <c r="K357" s="273"/>
      <c r="L357" s="273"/>
      <c r="M357" s="273"/>
      <c r="N357" s="224"/>
      <c r="O357" s="273"/>
      <c r="P357" s="273"/>
      <c r="Q357" s="273"/>
      <c r="R357" s="273"/>
      <c r="S357" s="273"/>
      <c r="T357" s="273"/>
      <c r="U357" s="273"/>
      <c r="V357" s="273"/>
      <c r="W357" s="273"/>
      <c r="X357" s="273"/>
      <c r="Y357" s="273"/>
      <c r="Z357" s="273"/>
      <c r="AA357" s="224"/>
      <c r="AB357" s="273"/>
      <c r="AC357" s="273"/>
      <c r="AD357" s="273"/>
      <c r="AE357" s="273"/>
      <c r="AF357" s="273"/>
      <c r="AG357" s="273"/>
      <c r="AH357" s="273"/>
      <c r="AI357" s="273"/>
      <c r="AJ357" s="273"/>
      <c r="AK357" s="273"/>
      <c r="AL357" s="273"/>
      <c r="AM357" s="273"/>
      <c r="AN357" s="224"/>
      <c r="AO357" s="273"/>
      <c r="AP357" s="273"/>
      <c r="AQ357" s="273"/>
      <c r="AR357" s="273"/>
      <c r="AS357" s="273"/>
      <c r="AT357" s="273"/>
      <c r="AU357" s="273"/>
      <c r="AV357" s="273"/>
      <c r="AW357" s="273"/>
      <c r="AX357" s="273"/>
      <c r="AY357" s="273"/>
      <c r="AZ357" s="923"/>
      <c r="BA357" s="923"/>
    </row>
    <row r="358" spans="5:53">
      <c r="E358" s="277"/>
      <c r="F358" s="273"/>
      <c r="G358" s="273"/>
      <c r="H358" s="273"/>
      <c r="I358" s="273"/>
      <c r="J358" s="273"/>
      <c r="K358" s="273"/>
      <c r="L358" s="273"/>
      <c r="M358" s="273"/>
      <c r="N358" s="224"/>
      <c r="O358" s="273"/>
      <c r="P358" s="273"/>
      <c r="Q358" s="273"/>
      <c r="R358" s="273"/>
      <c r="S358" s="273"/>
      <c r="T358" s="273"/>
      <c r="U358" s="273"/>
      <c r="V358" s="273"/>
      <c r="W358" s="273"/>
      <c r="X358" s="273"/>
      <c r="Y358" s="273"/>
      <c r="Z358" s="273"/>
      <c r="AA358" s="224"/>
      <c r="AB358" s="273"/>
      <c r="AC358" s="273"/>
      <c r="AD358" s="273"/>
      <c r="AE358" s="273"/>
      <c r="AF358" s="273"/>
      <c r="AG358" s="273"/>
      <c r="AH358" s="273"/>
      <c r="AI358" s="273"/>
      <c r="AJ358" s="273"/>
      <c r="AK358" s="273"/>
      <c r="AL358" s="273"/>
      <c r="AM358" s="273"/>
      <c r="AN358" s="224"/>
      <c r="AO358" s="273"/>
      <c r="AP358" s="273"/>
      <c r="AQ358" s="273"/>
      <c r="AR358" s="273"/>
      <c r="AS358" s="273"/>
      <c r="AT358" s="273"/>
      <c r="AU358" s="273"/>
      <c r="AV358" s="273"/>
      <c r="AW358" s="273"/>
      <c r="AX358" s="273"/>
      <c r="AY358" s="273"/>
      <c r="AZ358" s="923"/>
      <c r="BA358" s="923"/>
    </row>
    <row r="359" spans="5:53">
      <c r="E359" s="277"/>
      <c r="F359" s="273"/>
      <c r="G359" s="273"/>
      <c r="H359" s="273"/>
      <c r="I359" s="273"/>
      <c r="J359" s="273"/>
      <c r="K359" s="273"/>
      <c r="L359" s="273"/>
      <c r="M359" s="273"/>
      <c r="N359" s="224"/>
      <c r="O359" s="273"/>
      <c r="P359" s="273"/>
      <c r="Q359" s="273"/>
      <c r="R359" s="273"/>
      <c r="S359" s="273"/>
      <c r="T359" s="273"/>
      <c r="U359" s="273"/>
      <c r="V359" s="273"/>
      <c r="W359" s="273"/>
      <c r="X359" s="273"/>
      <c r="Y359" s="273"/>
      <c r="Z359" s="273"/>
      <c r="AA359" s="224"/>
      <c r="AB359" s="273"/>
      <c r="AC359" s="273"/>
      <c r="AD359" s="273"/>
      <c r="AE359" s="273"/>
      <c r="AF359" s="273"/>
      <c r="AG359" s="273"/>
      <c r="AH359" s="273"/>
      <c r="AI359" s="273"/>
      <c r="AJ359" s="273"/>
      <c r="AK359" s="273"/>
      <c r="AL359" s="273"/>
      <c r="AM359" s="273"/>
      <c r="AN359" s="224"/>
      <c r="AO359" s="273"/>
      <c r="AP359" s="273"/>
      <c r="AQ359" s="273"/>
      <c r="AR359" s="273"/>
      <c r="AS359" s="273"/>
      <c r="AT359" s="273"/>
      <c r="AU359" s="273"/>
      <c r="AV359" s="273"/>
      <c r="AW359" s="273"/>
      <c r="AX359" s="273"/>
      <c r="AY359" s="273"/>
      <c r="AZ359" s="923"/>
      <c r="BA359" s="923"/>
    </row>
    <row r="360" spans="5:53">
      <c r="E360" s="277"/>
      <c r="F360" s="273"/>
      <c r="G360" s="273"/>
      <c r="H360" s="273"/>
      <c r="I360" s="273"/>
      <c r="J360" s="273"/>
      <c r="K360" s="273"/>
      <c r="L360" s="273"/>
      <c r="M360" s="273"/>
      <c r="N360" s="224"/>
      <c r="O360" s="273"/>
      <c r="P360" s="273"/>
      <c r="Q360" s="273"/>
      <c r="R360" s="273"/>
      <c r="S360" s="273"/>
      <c r="T360" s="273"/>
      <c r="U360" s="273"/>
      <c r="V360" s="273"/>
      <c r="W360" s="273"/>
      <c r="X360" s="273"/>
      <c r="Y360" s="273"/>
      <c r="Z360" s="273"/>
      <c r="AA360" s="224"/>
      <c r="AB360" s="273"/>
      <c r="AC360" s="273"/>
      <c r="AD360" s="273"/>
      <c r="AE360" s="273"/>
      <c r="AF360" s="273"/>
      <c r="AG360" s="273"/>
      <c r="AH360" s="273"/>
      <c r="AI360" s="273"/>
      <c r="AJ360" s="273"/>
      <c r="AK360" s="273"/>
      <c r="AL360" s="273"/>
      <c r="AM360" s="273"/>
      <c r="AN360" s="224"/>
      <c r="AO360" s="273"/>
      <c r="AP360" s="273"/>
      <c r="AQ360" s="273"/>
      <c r="AR360" s="273"/>
      <c r="AS360" s="273"/>
      <c r="AT360" s="273"/>
      <c r="AU360" s="273"/>
      <c r="AV360" s="273"/>
      <c r="AW360" s="273"/>
      <c r="AX360" s="273"/>
      <c r="AY360" s="273"/>
      <c r="AZ360" s="923"/>
      <c r="BA360" s="923"/>
    </row>
    <row r="361" spans="5:53">
      <c r="E361" s="277"/>
      <c r="F361" s="273"/>
      <c r="G361" s="273"/>
      <c r="H361" s="273"/>
      <c r="I361" s="273"/>
      <c r="J361" s="273"/>
      <c r="K361" s="273"/>
      <c r="L361" s="273"/>
      <c r="M361" s="273"/>
      <c r="N361" s="224"/>
      <c r="O361" s="273"/>
      <c r="P361" s="273"/>
      <c r="Q361" s="273"/>
      <c r="R361" s="273"/>
      <c r="S361" s="273"/>
      <c r="T361" s="273"/>
      <c r="U361" s="273"/>
      <c r="V361" s="273"/>
      <c r="W361" s="273"/>
      <c r="X361" s="273"/>
      <c r="Y361" s="273"/>
      <c r="Z361" s="273"/>
      <c r="AA361" s="224"/>
      <c r="AB361" s="273"/>
      <c r="AC361" s="273"/>
      <c r="AD361" s="273"/>
      <c r="AE361" s="273"/>
      <c r="AF361" s="273"/>
      <c r="AG361" s="273"/>
      <c r="AH361" s="273"/>
      <c r="AI361" s="273"/>
      <c r="AJ361" s="273"/>
      <c r="AK361" s="273"/>
      <c r="AL361" s="273"/>
      <c r="AM361" s="273"/>
      <c r="AN361" s="224"/>
      <c r="AO361" s="273"/>
      <c r="AP361" s="273"/>
      <c r="AQ361" s="273"/>
      <c r="AR361" s="273"/>
      <c r="AS361" s="273"/>
      <c r="AT361" s="273"/>
      <c r="AU361" s="273"/>
      <c r="AV361" s="273"/>
      <c r="AW361" s="273"/>
      <c r="AX361" s="273"/>
      <c r="AY361" s="273"/>
      <c r="AZ361" s="923"/>
      <c r="BA361" s="923"/>
    </row>
    <row r="362" spans="5:53">
      <c r="E362" s="277"/>
      <c r="F362" s="273"/>
      <c r="G362" s="273"/>
      <c r="H362" s="273"/>
      <c r="I362" s="273"/>
      <c r="J362" s="273"/>
      <c r="K362" s="273"/>
      <c r="L362" s="273"/>
      <c r="M362" s="273"/>
      <c r="N362" s="224"/>
      <c r="O362" s="273"/>
      <c r="P362" s="273"/>
      <c r="Q362" s="273"/>
      <c r="R362" s="273"/>
      <c r="S362" s="273"/>
      <c r="T362" s="273"/>
      <c r="U362" s="273"/>
      <c r="V362" s="273"/>
      <c r="W362" s="273"/>
      <c r="X362" s="273"/>
      <c r="Y362" s="273"/>
      <c r="Z362" s="273"/>
      <c r="AA362" s="224"/>
      <c r="AB362" s="273"/>
      <c r="AC362" s="273"/>
      <c r="AD362" s="273"/>
      <c r="AE362" s="273"/>
      <c r="AF362" s="273"/>
      <c r="AG362" s="273"/>
      <c r="AH362" s="273"/>
      <c r="AI362" s="273"/>
      <c r="AJ362" s="273"/>
      <c r="AK362" s="273"/>
      <c r="AL362" s="273"/>
      <c r="AM362" s="273"/>
      <c r="AN362" s="224"/>
      <c r="AO362" s="273"/>
      <c r="AP362" s="273"/>
      <c r="AQ362" s="273"/>
      <c r="AR362" s="273"/>
      <c r="AS362" s="273"/>
      <c r="AT362" s="273"/>
      <c r="AU362" s="273"/>
      <c r="AV362" s="273"/>
      <c r="AW362" s="273"/>
      <c r="AX362" s="273"/>
      <c r="AY362" s="273"/>
      <c r="AZ362" s="923"/>
      <c r="BA362" s="923"/>
    </row>
    <row r="363" spans="5:53">
      <c r="E363" s="277"/>
      <c r="F363" s="273"/>
      <c r="G363" s="273"/>
      <c r="H363" s="273"/>
      <c r="I363" s="273"/>
      <c r="J363" s="273"/>
      <c r="K363" s="273"/>
      <c r="L363" s="273"/>
      <c r="M363" s="273"/>
      <c r="N363" s="224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A363" s="224"/>
      <c r="AB363" s="273"/>
      <c r="AC363" s="273"/>
      <c r="AD363" s="273"/>
      <c r="AE363" s="273"/>
      <c r="AF363" s="273"/>
      <c r="AG363" s="273"/>
      <c r="AH363" s="273"/>
      <c r="AI363" s="273"/>
      <c r="AJ363" s="273"/>
      <c r="AK363" s="273"/>
      <c r="AL363" s="273"/>
      <c r="AM363" s="273"/>
      <c r="AN363" s="224"/>
      <c r="AO363" s="273"/>
      <c r="AP363" s="273"/>
      <c r="AQ363" s="273"/>
      <c r="AR363" s="273"/>
      <c r="AS363" s="273"/>
      <c r="AT363" s="273"/>
      <c r="AU363" s="273"/>
      <c r="AV363" s="273"/>
      <c r="AW363" s="273"/>
      <c r="AX363" s="273"/>
      <c r="AY363" s="273"/>
      <c r="AZ363" s="923"/>
      <c r="BA363" s="923"/>
    </row>
    <row r="364" spans="5:53">
      <c r="E364" s="277"/>
      <c r="F364" s="273"/>
      <c r="G364" s="273"/>
      <c r="H364" s="273"/>
      <c r="I364" s="273"/>
      <c r="J364" s="273"/>
      <c r="K364" s="273"/>
      <c r="L364" s="273"/>
      <c r="M364" s="273"/>
      <c r="N364" s="224"/>
      <c r="O364" s="273"/>
      <c r="P364" s="273"/>
      <c r="Q364" s="273"/>
      <c r="R364" s="273"/>
      <c r="S364" s="273"/>
      <c r="T364" s="273"/>
      <c r="U364" s="273"/>
      <c r="V364" s="273"/>
      <c r="W364" s="273"/>
      <c r="X364" s="273"/>
      <c r="Y364" s="273"/>
      <c r="Z364" s="273"/>
      <c r="AA364" s="224"/>
      <c r="AB364" s="273"/>
      <c r="AC364" s="273"/>
      <c r="AD364" s="273"/>
      <c r="AE364" s="273"/>
      <c r="AF364" s="273"/>
      <c r="AG364" s="273"/>
      <c r="AH364" s="273"/>
      <c r="AI364" s="273"/>
      <c r="AJ364" s="273"/>
      <c r="AK364" s="273"/>
      <c r="AL364" s="273"/>
      <c r="AM364" s="273"/>
      <c r="AN364" s="224"/>
      <c r="AO364" s="273"/>
      <c r="AP364" s="273"/>
      <c r="AQ364" s="273"/>
      <c r="AR364" s="273"/>
      <c r="AS364" s="273"/>
      <c r="AT364" s="273"/>
      <c r="AU364" s="273"/>
      <c r="AV364" s="273"/>
      <c r="AW364" s="273"/>
      <c r="AX364" s="273"/>
      <c r="AY364" s="273"/>
      <c r="AZ364" s="923"/>
      <c r="BA364" s="923"/>
    </row>
    <row r="365" spans="5:53">
      <c r="E365" s="277"/>
      <c r="F365" s="273"/>
      <c r="G365" s="273"/>
      <c r="H365" s="273"/>
      <c r="I365" s="273"/>
      <c r="J365" s="273"/>
      <c r="K365" s="273"/>
      <c r="L365" s="273"/>
      <c r="M365" s="273"/>
      <c r="N365" s="224"/>
      <c r="O365" s="273"/>
      <c r="P365" s="273"/>
      <c r="Q365" s="273"/>
      <c r="R365" s="273"/>
      <c r="S365" s="273"/>
      <c r="T365" s="273"/>
      <c r="U365" s="273"/>
      <c r="V365" s="273"/>
      <c r="W365" s="273"/>
      <c r="X365" s="273"/>
      <c r="Y365" s="273"/>
      <c r="Z365" s="273"/>
      <c r="AA365" s="224"/>
      <c r="AB365" s="273"/>
      <c r="AC365" s="273"/>
      <c r="AD365" s="273"/>
      <c r="AE365" s="273"/>
      <c r="AF365" s="273"/>
      <c r="AG365" s="273"/>
      <c r="AH365" s="273"/>
      <c r="AI365" s="273"/>
      <c r="AJ365" s="273"/>
      <c r="AK365" s="273"/>
      <c r="AL365" s="273"/>
      <c r="AM365" s="273"/>
      <c r="AN365" s="224"/>
      <c r="AO365" s="273"/>
      <c r="AP365" s="273"/>
      <c r="AQ365" s="273"/>
      <c r="AR365" s="273"/>
      <c r="AS365" s="273"/>
      <c r="AT365" s="273"/>
      <c r="AU365" s="273"/>
      <c r="AV365" s="273"/>
      <c r="AW365" s="273"/>
      <c r="AX365" s="273"/>
      <c r="AY365" s="273"/>
      <c r="AZ365" s="923"/>
      <c r="BA365" s="923"/>
    </row>
    <row r="366" spans="5:53">
      <c r="E366" s="277"/>
      <c r="F366" s="273"/>
      <c r="G366" s="273"/>
      <c r="H366" s="273"/>
      <c r="I366" s="273"/>
      <c r="J366" s="273"/>
      <c r="K366" s="273"/>
      <c r="L366" s="273"/>
      <c r="M366" s="273"/>
      <c r="N366" s="224"/>
      <c r="O366" s="273"/>
      <c r="P366" s="273"/>
      <c r="Q366" s="273"/>
      <c r="R366" s="273"/>
      <c r="S366" s="273"/>
      <c r="T366" s="273"/>
      <c r="U366" s="273"/>
      <c r="V366" s="273"/>
      <c r="W366" s="273"/>
      <c r="X366" s="273"/>
      <c r="Y366" s="273"/>
      <c r="Z366" s="273"/>
      <c r="AA366" s="224"/>
      <c r="AB366" s="273"/>
      <c r="AC366" s="273"/>
      <c r="AD366" s="273"/>
      <c r="AE366" s="273"/>
      <c r="AF366" s="273"/>
      <c r="AG366" s="273"/>
      <c r="AH366" s="273"/>
      <c r="AI366" s="273"/>
      <c r="AJ366" s="273"/>
      <c r="AK366" s="273"/>
      <c r="AL366" s="273"/>
      <c r="AM366" s="273"/>
      <c r="AN366" s="224"/>
      <c r="AO366" s="273"/>
      <c r="AP366" s="273"/>
      <c r="AQ366" s="273"/>
      <c r="AR366" s="273"/>
      <c r="AS366" s="273"/>
      <c r="AT366" s="273"/>
      <c r="AU366" s="273"/>
      <c r="AV366" s="273"/>
      <c r="AW366" s="273"/>
      <c r="AX366" s="273"/>
      <c r="AY366" s="273"/>
      <c r="AZ366" s="923"/>
      <c r="BA366" s="923"/>
    </row>
    <row r="367" spans="5:53">
      <c r="E367" s="277"/>
      <c r="F367" s="273"/>
      <c r="G367" s="273"/>
      <c r="H367" s="273"/>
      <c r="I367" s="273"/>
      <c r="J367" s="273"/>
      <c r="K367" s="273"/>
      <c r="L367" s="273"/>
      <c r="M367" s="273"/>
      <c r="N367" s="224"/>
      <c r="O367" s="273"/>
      <c r="P367" s="273"/>
      <c r="Q367" s="273"/>
      <c r="R367" s="273"/>
      <c r="S367" s="273"/>
      <c r="T367" s="273"/>
      <c r="U367" s="273"/>
      <c r="V367" s="273"/>
      <c r="W367" s="273"/>
      <c r="X367" s="273"/>
      <c r="Y367" s="273"/>
      <c r="Z367" s="273"/>
      <c r="AA367" s="224"/>
      <c r="AB367" s="273"/>
      <c r="AC367" s="273"/>
      <c r="AD367" s="273"/>
      <c r="AE367" s="273"/>
      <c r="AF367" s="273"/>
      <c r="AG367" s="273"/>
      <c r="AH367" s="273"/>
      <c r="AI367" s="273"/>
      <c r="AJ367" s="273"/>
      <c r="AK367" s="273"/>
      <c r="AL367" s="273"/>
      <c r="AM367" s="273"/>
      <c r="AN367" s="224"/>
      <c r="AO367" s="273"/>
      <c r="AP367" s="273"/>
      <c r="AQ367" s="273"/>
      <c r="AR367" s="273"/>
      <c r="AS367" s="273"/>
      <c r="AT367" s="273"/>
      <c r="AU367" s="273"/>
      <c r="AV367" s="273"/>
      <c r="AW367" s="273"/>
      <c r="AX367" s="273"/>
      <c r="AY367" s="273"/>
      <c r="AZ367" s="923"/>
      <c r="BA367" s="923"/>
    </row>
    <row r="368" spans="5:53">
      <c r="E368" s="277"/>
      <c r="F368" s="273"/>
      <c r="G368" s="273"/>
      <c r="H368" s="273"/>
      <c r="I368" s="273"/>
      <c r="J368" s="273"/>
      <c r="K368" s="273"/>
      <c r="L368" s="273"/>
      <c r="M368" s="273"/>
      <c r="N368" s="224"/>
      <c r="O368" s="273"/>
      <c r="P368" s="273"/>
      <c r="Q368" s="273"/>
      <c r="R368" s="273"/>
      <c r="S368" s="273"/>
      <c r="T368" s="273"/>
      <c r="U368" s="273"/>
      <c r="V368" s="273"/>
      <c r="W368" s="273"/>
      <c r="X368" s="273"/>
      <c r="Y368" s="273"/>
      <c r="Z368" s="273"/>
      <c r="AA368" s="224"/>
      <c r="AB368" s="273"/>
      <c r="AC368" s="273"/>
      <c r="AD368" s="273"/>
      <c r="AE368" s="273"/>
      <c r="AF368" s="273"/>
      <c r="AG368" s="273"/>
      <c r="AH368" s="273"/>
      <c r="AI368" s="273"/>
      <c r="AJ368" s="273"/>
      <c r="AK368" s="273"/>
      <c r="AL368" s="273"/>
      <c r="AM368" s="273"/>
      <c r="AN368" s="224"/>
      <c r="AO368" s="273"/>
      <c r="AP368" s="273"/>
      <c r="AQ368" s="273"/>
      <c r="AR368" s="273"/>
      <c r="AS368" s="273"/>
      <c r="AT368" s="273"/>
      <c r="AU368" s="273"/>
      <c r="AV368" s="273"/>
      <c r="AW368" s="273"/>
      <c r="AX368" s="273"/>
      <c r="AY368" s="273"/>
      <c r="AZ368" s="923"/>
      <c r="BA368" s="923"/>
    </row>
    <row r="369" spans="5:53">
      <c r="E369" s="277"/>
      <c r="F369" s="273"/>
      <c r="G369" s="273"/>
      <c r="H369" s="273"/>
      <c r="I369" s="273"/>
      <c r="J369" s="273"/>
      <c r="K369" s="273"/>
      <c r="L369" s="273"/>
      <c r="M369" s="273"/>
      <c r="N369" s="224"/>
      <c r="O369" s="273"/>
      <c r="P369" s="273"/>
      <c r="Q369" s="273"/>
      <c r="R369" s="273"/>
      <c r="S369" s="273"/>
      <c r="T369" s="273"/>
      <c r="U369" s="273"/>
      <c r="V369" s="273"/>
      <c r="W369" s="273"/>
      <c r="X369" s="273"/>
      <c r="Y369" s="273"/>
      <c r="Z369" s="273"/>
      <c r="AA369" s="224"/>
      <c r="AB369" s="273"/>
      <c r="AC369" s="273"/>
      <c r="AD369" s="273"/>
      <c r="AE369" s="273"/>
      <c r="AF369" s="273"/>
      <c r="AG369" s="273"/>
      <c r="AH369" s="273"/>
      <c r="AI369" s="273"/>
      <c r="AJ369" s="273"/>
      <c r="AK369" s="273"/>
      <c r="AL369" s="273"/>
      <c r="AM369" s="273"/>
      <c r="AN369" s="224"/>
      <c r="AO369" s="273"/>
      <c r="AP369" s="273"/>
      <c r="AQ369" s="273"/>
      <c r="AR369" s="273"/>
      <c r="AS369" s="273"/>
      <c r="AT369" s="273"/>
      <c r="AU369" s="273"/>
      <c r="AV369" s="273"/>
      <c r="AW369" s="273"/>
      <c r="AX369" s="273"/>
      <c r="AY369" s="273"/>
      <c r="AZ369" s="923"/>
      <c r="BA369" s="923"/>
    </row>
    <row r="370" spans="5:53">
      <c r="E370" s="277"/>
      <c r="F370" s="273"/>
      <c r="G370" s="273"/>
      <c r="H370" s="273"/>
      <c r="I370" s="273"/>
      <c r="J370" s="273"/>
      <c r="K370" s="273"/>
      <c r="L370" s="273"/>
      <c r="M370" s="273"/>
      <c r="N370" s="224"/>
      <c r="O370" s="273"/>
      <c r="P370" s="273"/>
      <c r="Q370" s="273"/>
      <c r="R370" s="273"/>
      <c r="S370" s="273"/>
      <c r="T370" s="273"/>
      <c r="U370" s="273"/>
      <c r="V370" s="273"/>
      <c r="W370" s="273"/>
      <c r="X370" s="273"/>
      <c r="Y370" s="273"/>
      <c r="Z370" s="273"/>
      <c r="AA370" s="224"/>
      <c r="AB370" s="273"/>
      <c r="AC370" s="273"/>
      <c r="AD370" s="273"/>
      <c r="AE370" s="273"/>
      <c r="AF370" s="273"/>
      <c r="AG370" s="273"/>
      <c r="AH370" s="273"/>
      <c r="AI370" s="273"/>
      <c r="AJ370" s="273"/>
      <c r="AK370" s="273"/>
      <c r="AL370" s="273"/>
      <c r="AM370" s="273"/>
      <c r="AN370" s="224"/>
      <c r="AO370" s="273"/>
      <c r="AP370" s="273"/>
      <c r="AQ370" s="273"/>
      <c r="AR370" s="273"/>
      <c r="AS370" s="273"/>
      <c r="AT370" s="273"/>
      <c r="AU370" s="273"/>
      <c r="AV370" s="273"/>
      <c r="AW370" s="273"/>
      <c r="AX370" s="273"/>
      <c r="AY370" s="273"/>
      <c r="AZ370" s="923"/>
      <c r="BA370" s="923"/>
    </row>
    <row r="371" spans="5:53">
      <c r="E371" s="277"/>
      <c r="F371" s="273"/>
      <c r="G371" s="273"/>
      <c r="H371" s="273"/>
      <c r="I371" s="273"/>
      <c r="J371" s="273"/>
      <c r="K371" s="273"/>
      <c r="L371" s="273"/>
      <c r="M371" s="273"/>
      <c r="N371" s="224"/>
      <c r="O371" s="273"/>
      <c r="P371" s="273"/>
      <c r="Q371" s="273"/>
      <c r="R371" s="273"/>
      <c r="S371" s="273"/>
      <c r="T371" s="273"/>
      <c r="U371" s="273"/>
      <c r="V371" s="273"/>
      <c r="W371" s="273"/>
      <c r="X371" s="273"/>
      <c r="Y371" s="273"/>
      <c r="Z371" s="273"/>
      <c r="AA371" s="224"/>
      <c r="AB371" s="273"/>
      <c r="AC371" s="273"/>
      <c r="AD371" s="273"/>
      <c r="AE371" s="273"/>
      <c r="AF371" s="273"/>
      <c r="AG371" s="273"/>
      <c r="AH371" s="273"/>
      <c r="AI371" s="273"/>
      <c r="AJ371" s="273"/>
      <c r="AK371" s="273"/>
      <c r="AL371" s="273"/>
      <c r="AM371" s="273"/>
      <c r="AN371" s="224"/>
      <c r="AO371" s="273"/>
      <c r="AP371" s="273"/>
      <c r="AQ371" s="273"/>
      <c r="AR371" s="273"/>
      <c r="AS371" s="273"/>
      <c r="AT371" s="273"/>
      <c r="AU371" s="273"/>
      <c r="AV371" s="273"/>
      <c r="AW371" s="273"/>
      <c r="AX371" s="273"/>
      <c r="AY371" s="273"/>
      <c r="AZ371" s="923"/>
      <c r="BA371" s="923"/>
    </row>
    <row r="372" spans="5:53">
      <c r="E372" s="277"/>
      <c r="F372" s="273"/>
      <c r="G372" s="273"/>
      <c r="H372" s="273"/>
      <c r="I372" s="273"/>
      <c r="J372" s="273"/>
      <c r="K372" s="273"/>
      <c r="L372" s="273"/>
      <c r="M372" s="273"/>
      <c r="N372" s="224"/>
      <c r="O372" s="273"/>
      <c r="P372" s="273"/>
      <c r="Q372" s="273"/>
      <c r="R372" s="273"/>
      <c r="S372" s="273"/>
      <c r="T372" s="273"/>
      <c r="U372" s="273"/>
      <c r="V372" s="273"/>
      <c r="W372" s="273"/>
      <c r="X372" s="273"/>
      <c r="Y372" s="273"/>
      <c r="Z372" s="273"/>
      <c r="AA372" s="224"/>
      <c r="AB372" s="273"/>
      <c r="AC372" s="273"/>
      <c r="AD372" s="273"/>
      <c r="AE372" s="273"/>
      <c r="AF372" s="273"/>
      <c r="AG372" s="273"/>
      <c r="AH372" s="273"/>
      <c r="AI372" s="273"/>
      <c r="AJ372" s="273"/>
      <c r="AK372" s="273"/>
      <c r="AL372" s="273"/>
      <c r="AM372" s="273"/>
      <c r="AN372" s="224"/>
      <c r="AO372" s="273"/>
      <c r="AP372" s="273"/>
      <c r="AQ372" s="273"/>
      <c r="AR372" s="273"/>
      <c r="AS372" s="273"/>
      <c r="AT372" s="273"/>
      <c r="AU372" s="273"/>
      <c r="AV372" s="273"/>
      <c r="AW372" s="273"/>
      <c r="AX372" s="273"/>
      <c r="AY372" s="273"/>
      <c r="AZ372" s="923"/>
      <c r="BA372" s="923"/>
    </row>
    <row r="373" spans="5:53">
      <c r="E373" s="277"/>
      <c r="F373" s="273"/>
      <c r="G373" s="273"/>
      <c r="H373" s="273"/>
      <c r="I373" s="273"/>
      <c r="J373" s="273"/>
      <c r="K373" s="273"/>
      <c r="L373" s="273"/>
      <c r="M373" s="273"/>
      <c r="N373" s="224"/>
      <c r="O373" s="273"/>
      <c r="P373" s="273"/>
      <c r="Q373" s="273"/>
      <c r="R373" s="273"/>
      <c r="S373" s="273"/>
      <c r="T373" s="273"/>
      <c r="U373" s="273"/>
      <c r="V373" s="273"/>
      <c r="W373" s="273"/>
      <c r="X373" s="273"/>
      <c r="Y373" s="273"/>
      <c r="Z373" s="273"/>
      <c r="AA373" s="224"/>
      <c r="AB373" s="273"/>
      <c r="AC373" s="273"/>
      <c r="AD373" s="273"/>
      <c r="AE373" s="273"/>
      <c r="AF373" s="273"/>
      <c r="AG373" s="273"/>
      <c r="AH373" s="273"/>
      <c r="AI373" s="273"/>
      <c r="AJ373" s="273"/>
      <c r="AK373" s="273"/>
      <c r="AL373" s="273"/>
      <c r="AM373" s="273"/>
      <c r="AN373" s="224"/>
      <c r="AO373" s="273"/>
      <c r="AP373" s="273"/>
      <c r="AQ373" s="273"/>
      <c r="AR373" s="273"/>
      <c r="AS373" s="273"/>
      <c r="AT373" s="273"/>
      <c r="AU373" s="273"/>
      <c r="AV373" s="273"/>
      <c r="AW373" s="273"/>
      <c r="AX373" s="273"/>
      <c r="AY373" s="273"/>
      <c r="AZ373" s="923"/>
      <c r="BA373" s="923"/>
    </row>
    <row r="374" spans="5:53">
      <c r="E374" s="277"/>
      <c r="F374" s="273"/>
      <c r="G374" s="273"/>
      <c r="H374" s="273"/>
      <c r="I374" s="273"/>
      <c r="J374" s="273"/>
      <c r="K374" s="273"/>
      <c r="L374" s="273"/>
      <c r="M374" s="273"/>
      <c r="N374" s="224"/>
      <c r="O374" s="273"/>
      <c r="P374" s="273"/>
      <c r="Q374" s="273"/>
      <c r="R374" s="273"/>
      <c r="S374" s="273"/>
      <c r="T374" s="273"/>
      <c r="U374" s="273"/>
      <c r="V374" s="273"/>
      <c r="W374" s="273"/>
      <c r="X374" s="273"/>
      <c r="Y374" s="273"/>
      <c r="Z374" s="273"/>
      <c r="AA374" s="224"/>
      <c r="AB374" s="273"/>
      <c r="AC374" s="273"/>
      <c r="AD374" s="273"/>
      <c r="AE374" s="273"/>
      <c r="AF374" s="273"/>
      <c r="AG374" s="273"/>
      <c r="AH374" s="273"/>
      <c r="AI374" s="273"/>
      <c r="AJ374" s="273"/>
      <c r="AK374" s="273"/>
      <c r="AL374" s="273"/>
      <c r="AM374" s="273"/>
      <c r="AN374" s="224"/>
      <c r="AO374" s="273"/>
      <c r="AP374" s="273"/>
      <c r="AQ374" s="273"/>
      <c r="AR374" s="273"/>
      <c r="AS374" s="273"/>
      <c r="AT374" s="273"/>
      <c r="AU374" s="273"/>
      <c r="AV374" s="273"/>
      <c r="AW374" s="273"/>
      <c r="AX374" s="273"/>
      <c r="AY374" s="273"/>
      <c r="AZ374" s="923"/>
      <c r="BA374" s="923"/>
    </row>
    <row r="375" spans="5:53">
      <c r="E375" s="277"/>
      <c r="F375" s="273"/>
      <c r="G375" s="273"/>
      <c r="H375" s="273"/>
      <c r="I375" s="273"/>
      <c r="J375" s="273"/>
      <c r="K375" s="273"/>
      <c r="L375" s="273"/>
      <c r="M375" s="273"/>
      <c r="N375" s="224"/>
      <c r="O375" s="273"/>
      <c r="P375" s="273"/>
      <c r="Q375" s="273"/>
      <c r="R375" s="273"/>
      <c r="S375" s="273"/>
      <c r="T375" s="273"/>
      <c r="U375" s="273"/>
      <c r="V375" s="273"/>
      <c r="W375" s="273"/>
      <c r="X375" s="273"/>
      <c r="Y375" s="273"/>
      <c r="Z375" s="273"/>
      <c r="AA375" s="224"/>
      <c r="AB375" s="273"/>
      <c r="AC375" s="273"/>
      <c r="AD375" s="273"/>
      <c r="AE375" s="273"/>
      <c r="AF375" s="273"/>
      <c r="AG375" s="273"/>
      <c r="AH375" s="273"/>
      <c r="AI375" s="273"/>
      <c r="AJ375" s="273"/>
      <c r="AK375" s="273"/>
      <c r="AL375" s="273"/>
      <c r="AM375" s="273"/>
      <c r="AN375" s="224"/>
      <c r="AO375" s="273"/>
      <c r="AP375" s="273"/>
      <c r="AQ375" s="273"/>
      <c r="AR375" s="273"/>
      <c r="AS375" s="273"/>
      <c r="AT375" s="273"/>
      <c r="AU375" s="273"/>
      <c r="AV375" s="273"/>
      <c r="AW375" s="273"/>
      <c r="AX375" s="273"/>
      <c r="AY375" s="273"/>
      <c r="AZ375" s="923"/>
      <c r="BA375" s="923"/>
    </row>
    <row r="376" spans="5:53">
      <c r="E376" s="277"/>
      <c r="F376" s="273"/>
      <c r="G376" s="273"/>
      <c r="H376" s="273"/>
      <c r="I376" s="273"/>
      <c r="J376" s="273"/>
      <c r="K376" s="273"/>
      <c r="L376" s="273"/>
      <c r="M376" s="273"/>
      <c r="N376" s="224"/>
      <c r="O376" s="273"/>
      <c r="P376" s="273"/>
      <c r="Q376" s="273"/>
      <c r="R376" s="273"/>
      <c r="S376" s="273"/>
      <c r="T376" s="273"/>
      <c r="U376" s="273"/>
      <c r="V376" s="273"/>
      <c r="W376" s="273"/>
      <c r="X376" s="273"/>
      <c r="Y376" s="273"/>
      <c r="Z376" s="273"/>
      <c r="AA376" s="224"/>
      <c r="AB376" s="273"/>
      <c r="AC376" s="273"/>
      <c r="AD376" s="273"/>
      <c r="AE376" s="273"/>
      <c r="AF376" s="273"/>
      <c r="AG376" s="273"/>
      <c r="AH376" s="273"/>
      <c r="AI376" s="273"/>
      <c r="AJ376" s="273"/>
      <c r="AK376" s="273"/>
      <c r="AL376" s="273"/>
      <c r="AM376" s="273"/>
      <c r="AN376" s="224"/>
      <c r="AO376" s="273"/>
      <c r="AP376" s="273"/>
      <c r="AQ376" s="273"/>
      <c r="AR376" s="273"/>
      <c r="AS376" s="273"/>
      <c r="AT376" s="273"/>
      <c r="AU376" s="273"/>
      <c r="AV376" s="273"/>
      <c r="AW376" s="273"/>
      <c r="AX376" s="273"/>
      <c r="AY376" s="273"/>
      <c r="AZ376" s="923"/>
      <c r="BA376" s="923"/>
    </row>
    <row r="377" spans="5:53">
      <c r="E377" s="277"/>
      <c r="F377" s="273"/>
      <c r="G377" s="273"/>
      <c r="H377" s="273"/>
      <c r="I377" s="273"/>
      <c r="J377" s="273"/>
      <c r="K377" s="273"/>
      <c r="L377" s="273"/>
      <c r="M377" s="273"/>
      <c r="N377" s="224"/>
      <c r="O377" s="273"/>
      <c r="P377" s="273"/>
      <c r="Q377" s="273"/>
      <c r="R377" s="273"/>
      <c r="S377" s="273"/>
      <c r="T377" s="273"/>
      <c r="U377" s="273"/>
      <c r="V377" s="273"/>
      <c r="W377" s="273"/>
      <c r="X377" s="273"/>
      <c r="Y377" s="273"/>
      <c r="Z377" s="273"/>
      <c r="AA377" s="224"/>
      <c r="AB377" s="273"/>
      <c r="AC377" s="273"/>
      <c r="AD377" s="273"/>
      <c r="AE377" s="273"/>
      <c r="AF377" s="273"/>
      <c r="AG377" s="273"/>
      <c r="AH377" s="273"/>
      <c r="AI377" s="273"/>
      <c r="AJ377" s="273"/>
      <c r="AK377" s="273"/>
      <c r="AL377" s="273"/>
      <c r="AM377" s="273"/>
      <c r="AN377" s="224"/>
      <c r="AO377" s="273"/>
      <c r="AP377" s="273"/>
      <c r="AQ377" s="273"/>
      <c r="AR377" s="273"/>
      <c r="AS377" s="273"/>
      <c r="AT377" s="273"/>
      <c r="AU377" s="273"/>
      <c r="AV377" s="273"/>
      <c r="AW377" s="273"/>
      <c r="AX377" s="273"/>
      <c r="AY377" s="273"/>
      <c r="AZ377" s="923"/>
      <c r="BA377" s="923"/>
    </row>
    <row r="378" spans="5:53">
      <c r="E378" s="277"/>
      <c r="F378" s="273"/>
      <c r="G378" s="273"/>
      <c r="H378" s="273"/>
      <c r="I378" s="273"/>
      <c r="J378" s="273"/>
      <c r="K378" s="273"/>
      <c r="L378" s="273"/>
      <c r="M378" s="273"/>
      <c r="N378" s="224"/>
      <c r="O378" s="273"/>
      <c r="P378" s="273"/>
      <c r="Q378" s="273"/>
      <c r="R378" s="273"/>
      <c r="S378" s="273"/>
      <c r="T378" s="273"/>
      <c r="U378" s="273"/>
      <c r="V378" s="273"/>
      <c r="W378" s="273"/>
      <c r="X378" s="273"/>
      <c r="Y378" s="273"/>
      <c r="Z378" s="273"/>
      <c r="AA378" s="224"/>
      <c r="AB378" s="273"/>
      <c r="AC378" s="273"/>
      <c r="AD378" s="273"/>
      <c r="AE378" s="273"/>
      <c r="AF378" s="273"/>
      <c r="AG378" s="273"/>
      <c r="AH378" s="273"/>
      <c r="AI378" s="273"/>
      <c r="AJ378" s="273"/>
      <c r="AK378" s="273"/>
      <c r="AL378" s="273"/>
      <c r="AM378" s="273"/>
      <c r="AN378" s="224"/>
      <c r="AO378" s="273"/>
      <c r="AP378" s="273"/>
      <c r="AQ378" s="273"/>
      <c r="AR378" s="273"/>
      <c r="AS378" s="273"/>
      <c r="AT378" s="273"/>
      <c r="AU378" s="273"/>
      <c r="AV378" s="273"/>
      <c r="AW378" s="273"/>
      <c r="AX378" s="273"/>
      <c r="AY378" s="273"/>
      <c r="AZ378" s="923"/>
      <c r="BA378" s="923"/>
    </row>
    <row r="379" spans="5:53">
      <c r="E379" s="277"/>
      <c r="F379" s="273"/>
      <c r="G379" s="273"/>
      <c r="H379" s="273"/>
      <c r="I379" s="273"/>
      <c r="J379" s="273"/>
      <c r="K379" s="273"/>
      <c r="L379" s="273"/>
      <c r="M379" s="273"/>
      <c r="N379" s="224"/>
      <c r="O379" s="273"/>
      <c r="P379" s="273"/>
      <c r="Q379" s="273"/>
      <c r="R379" s="273"/>
      <c r="S379" s="273"/>
      <c r="T379" s="273"/>
      <c r="U379" s="273"/>
      <c r="V379" s="273"/>
      <c r="W379" s="273"/>
      <c r="X379" s="273"/>
      <c r="Y379" s="273"/>
      <c r="Z379" s="273"/>
      <c r="AA379" s="224"/>
      <c r="AB379" s="273"/>
      <c r="AC379" s="273"/>
      <c r="AD379" s="273"/>
      <c r="AE379" s="273"/>
      <c r="AF379" s="273"/>
      <c r="AG379" s="273"/>
      <c r="AH379" s="273"/>
      <c r="AI379" s="273"/>
      <c r="AJ379" s="273"/>
      <c r="AK379" s="273"/>
      <c r="AL379" s="273"/>
      <c r="AM379" s="273"/>
      <c r="AN379" s="224"/>
      <c r="AO379" s="273"/>
      <c r="AP379" s="273"/>
      <c r="AQ379" s="273"/>
      <c r="AR379" s="273"/>
      <c r="AS379" s="273"/>
      <c r="AT379" s="273"/>
      <c r="AU379" s="273"/>
      <c r="AV379" s="273"/>
      <c r="AW379" s="273"/>
      <c r="AX379" s="273"/>
      <c r="AY379" s="273"/>
      <c r="AZ379" s="923"/>
      <c r="BA379" s="923"/>
    </row>
    <row r="380" spans="5:53">
      <c r="E380" s="277"/>
      <c r="F380" s="273"/>
      <c r="G380" s="273"/>
      <c r="H380" s="273"/>
      <c r="I380" s="273"/>
      <c r="J380" s="273"/>
      <c r="K380" s="273"/>
      <c r="L380" s="273"/>
      <c r="M380" s="273"/>
      <c r="N380" s="224"/>
      <c r="O380" s="273"/>
      <c r="P380" s="273"/>
      <c r="Q380" s="273"/>
      <c r="R380" s="273"/>
      <c r="S380" s="273"/>
      <c r="T380" s="273"/>
      <c r="U380" s="273"/>
      <c r="V380" s="273"/>
      <c r="W380" s="273"/>
      <c r="X380" s="273"/>
      <c r="Y380" s="273"/>
      <c r="Z380" s="273"/>
      <c r="AA380" s="224"/>
      <c r="AB380" s="273"/>
      <c r="AC380" s="273"/>
      <c r="AD380" s="273"/>
      <c r="AE380" s="273"/>
      <c r="AF380" s="273"/>
      <c r="AG380" s="273"/>
      <c r="AH380" s="273"/>
      <c r="AI380" s="273"/>
      <c r="AJ380" s="273"/>
      <c r="AK380" s="273"/>
      <c r="AL380" s="273"/>
      <c r="AM380" s="273"/>
      <c r="AN380" s="224"/>
      <c r="AO380" s="273"/>
      <c r="AP380" s="273"/>
      <c r="AQ380" s="273"/>
      <c r="AR380" s="273"/>
      <c r="AS380" s="273"/>
      <c r="AT380" s="273"/>
      <c r="AU380" s="273"/>
      <c r="AV380" s="273"/>
      <c r="AW380" s="273"/>
      <c r="AX380" s="273"/>
      <c r="AY380" s="273"/>
      <c r="AZ380" s="923"/>
      <c r="BA380" s="923"/>
    </row>
    <row r="381" spans="5:53">
      <c r="E381" s="277"/>
      <c r="F381" s="273"/>
      <c r="G381" s="273"/>
      <c r="H381" s="273"/>
      <c r="I381" s="273"/>
      <c r="J381" s="273"/>
      <c r="K381" s="273"/>
      <c r="L381" s="273"/>
      <c r="M381" s="273"/>
      <c r="N381" s="224"/>
      <c r="O381" s="273"/>
      <c r="P381" s="273"/>
      <c r="Q381" s="273"/>
      <c r="R381" s="273"/>
      <c r="S381" s="273"/>
      <c r="T381" s="273"/>
      <c r="U381" s="273"/>
      <c r="V381" s="273"/>
      <c r="W381" s="273"/>
      <c r="X381" s="273"/>
      <c r="Y381" s="273"/>
      <c r="Z381" s="273"/>
      <c r="AA381" s="224"/>
      <c r="AB381" s="273"/>
      <c r="AC381" s="273"/>
      <c r="AD381" s="273"/>
      <c r="AE381" s="273"/>
      <c r="AF381" s="273"/>
      <c r="AG381" s="273"/>
      <c r="AH381" s="273"/>
      <c r="AI381" s="273"/>
      <c r="AJ381" s="273"/>
      <c r="AK381" s="273"/>
      <c r="AL381" s="273"/>
      <c r="AM381" s="273"/>
      <c r="AN381" s="224"/>
      <c r="AO381" s="273"/>
      <c r="AP381" s="273"/>
      <c r="AQ381" s="273"/>
      <c r="AR381" s="273"/>
      <c r="AS381" s="273"/>
      <c r="AT381" s="273"/>
      <c r="AU381" s="273"/>
      <c r="AV381" s="273"/>
      <c r="AW381" s="273"/>
      <c r="AX381" s="273"/>
      <c r="AY381" s="273"/>
      <c r="AZ381" s="923"/>
      <c r="BA381" s="923"/>
    </row>
    <row r="382" spans="5:53">
      <c r="E382" s="277"/>
      <c r="F382" s="273"/>
      <c r="G382" s="273"/>
      <c r="H382" s="273"/>
      <c r="I382" s="273"/>
      <c r="J382" s="273"/>
      <c r="K382" s="273"/>
      <c r="L382" s="273"/>
      <c r="M382" s="273"/>
      <c r="N382" s="224"/>
      <c r="O382" s="273"/>
      <c r="P382" s="273"/>
      <c r="Q382" s="273"/>
      <c r="R382" s="273"/>
      <c r="S382" s="273"/>
      <c r="T382" s="273"/>
      <c r="U382" s="273"/>
      <c r="V382" s="273"/>
      <c r="W382" s="273"/>
      <c r="X382" s="273"/>
      <c r="Y382" s="273"/>
      <c r="Z382" s="273"/>
      <c r="AA382" s="224"/>
      <c r="AB382" s="273"/>
      <c r="AC382" s="273"/>
      <c r="AD382" s="273"/>
      <c r="AE382" s="273"/>
      <c r="AF382" s="273"/>
      <c r="AG382" s="273"/>
      <c r="AH382" s="273"/>
      <c r="AI382" s="273"/>
      <c r="AJ382" s="273"/>
      <c r="AK382" s="273"/>
      <c r="AL382" s="273"/>
      <c r="AM382" s="273"/>
      <c r="AN382" s="224"/>
      <c r="AO382" s="273"/>
      <c r="AP382" s="273"/>
      <c r="AQ382" s="273"/>
      <c r="AR382" s="273"/>
      <c r="AS382" s="273"/>
      <c r="AT382" s="273"/>
      <c r="AU382" s="273"/>
      <c r="AV382" s="273"/>
      <c r="AW382" s="273"/>
      <c r="AX382" s="273"/>
      <c r="AY382" s="273"/>
      <c r="AZ382" s="923"/>
      <c r="BA382" s="923"/>
    </row>
    <row r="383" spans="5:53">
      <c r="E383" s="277"/>
      <c r="F383" s="273"/>
      <c r="G383" s="273"/>
      <c r="H383" s="273"/>
      <c r="I383" s="273"/>
      <c r="J383" s="273"/>
      <c r="K383" s="273"/>
      <c r="L383" s="273"/>
      <c r="M383" s="273"/>
      <c r="N383" s="224"/>
      <c r="O383" s="273"/>
      <c r="P383" s="273"/>
      <c r="Q383" s="273"/>
      <c r="R383" s="273"/>
      <c r="S383" s="273"/>
      <c r="T383" s="273"/>
      <c r="U383" s="273"/>
      <c r="V383" s="273"/>
      <c r="W383" s="273"/>
      <c r="X383" s="273"/>
      <c r="Y383" s="273"/>
      <c r="Z383" s="273"/>
      <c r="AA383" s="224"/>
      <c r="AB383" s="273"/>
      <c r="AC383" s="273"/>
      <c r="AD383" s="273"/>
      <c r="AE383" s="273"/>
      <c r="AF383" s="273"/>
      <c r="AG383" s="273"/>
      <c r="AH383" s="273"/>
      <c r="AI383" s="273"/>
      <c r="AJ383" s="273"/>
      <c r="AK383" s="273"/>
      <c r="AL383" s="273"/>
      <c r="AM383" s="273"/>
      <c r="AN383" s="224"/>
      <c r="AO383" s="273"/>
      <c r="AP383" s="273"/>
      <c r="AQ383" s="273"/>
      <c r="AR383" s="273"/>
      <c r="AS383" s="273"/>
      <c r="AT383" s="273"/>
      <c r="AU383" s="273"/>
      <c r="AV383" s="273"/>
      <c r="AW383" s="273"/>
      <c r="AX383" s="273"/>
      <c r="AY383" s="273"/>
      <c r="AZ383" s="923"/>
      <c r="BA383" s="923"/>
    </row>
    <row r="384" spans="5:53">
      <c r="E384" s="277"/>
      <c r="F384" s="273"/>
      <c r="G384" s="273"/>
      <c r="H384" s="273"/>
      <c r="I384" s="273"/>
      <c r="J384" s="273"/>
      <c r="K384" s="273"/>
      <c r="L384" s="273"/>
      <c r="M384" s="273"/>
      <c r="N384" s="224"/>
      <c r="O384" s="273"/>
      <c r="P384" s="273"/>
      <c r="Q384" s="273"/>
      <c r="R384" s="273"/>
      <c r="S384" s="273"/>
      <c r="T384" s="273"/>
      <c r="U384" s="273"/>
      <c r="V384" s="273"/>
      <c r="W384" s="273"/>
      <c r="X384" s="273"/>
      <c r="Y384" s="273"/>
      <c r="Z384" s="273"/>
      <c r="AA384" s="224"/>
      <c r="AB384" s="273"/>
      <c r="AC384" s="273"/>
      <c r="AD384" s="273"/>
      <c r="AE384" s="273"/>
      <c r="AF384" s="273"/>
      <c r="AG384" s="273"/>
      <c r="AH384" s="273"/>
      <c r="AI384" s="273"/>
      <c r="AJ384" s="273"/>
      <c r="AK384" s="273"/>
      <c r="AL384" s="273"/>
      <c r="AM384" s="273"/>
      <c r="AN384" s="224"/>
      <c r="AO384" s="273"/>
      <c r="AP384" s="273"/>
      <c r="AQ384" s="273"/>
      <c r="AR384" s="273"/>
      <c r="AS384" s="273"/>
      <c r="AT384" s="273"/>
      <c r="AU384" s="273"/>
      <c r="AV384" s="273"/>
      <c r="AW384" s="273"/>
      <c r="AX384" s="273"/>
      <c r="AY384" s="273"/>
      <c r="AZ384" s="923"/>
      <c r="BA384" s="923"/>
    </row>
    <row r="385" spans="5:53">
      <c r="E385" s="277"/>
      <c r="F385" s="273"/>
      <c r="G385" s="273"/>
      <c r="H385" s="273"/>
      <c r="I385" s="273"/>
      <c r="J385" s="273"/>
      <c r="K385" s="273"/>
      <c r="L385" s="273"/>
      <c r="M385" s="273"/>
      <c r="N385" s="224"/>
      <c r="O385" s="273"/>
      <c r="P385" s="273"/>
      <c r="Q385" s="273"/>
      <c r="R385" s="273"/>
      <c r="S385" s="273"/>
      <c r="T385" s="273"/>
      <c r="U385" s="273"/>
      <c r="V385" s="273"/>
      <c r="W385" s="273"/>
      <c r="X385" s="273"/>
      <c r="Y385" s="273"/>
      <c r="Z385" s="273"/>
      <c r="AA385" s="224"/>
      <c r="AB385" s="273"/>
      <c r="AC385" s="273"/>
      <c r="AD385" s="273"/>
      <c r="AE385" s="273"/>
      <c r="AF385" s="273"/>
      <c r="AG385" s="273"/>
      <c r="AH385" s="273"/>
      <c r="AI385" s="273"/>
      <c r="AJ385" s="273"/>
      <c r="AK385" s="273"/>
      <c r="AL385" s="273"/>
      <c r="AM385" s="273"/>
      <c r="AN385" s="224"/>
      <c r="AO385" s="273"/>
      <c r="AP385" s="273"/>
      <c r="AQ385" s="273"/>
      <c r="AR385" s="273"/>
      <c r="AS385" s="273"/>
      <c r="AT385" s="273"/>
      <c r="AU385" s="273"/>
      <c r="AV385" s="273"/>
      <c r="AW385" s="273"/>
      <c r="AX385" s="273"/>
      <c r="AY385" s="273"/>
      <c r="AZ385" s="923"/>
      <c r="BA385" s="923"/>
    </row>
    <row r="386" spans="5:53">
      <c r="E386" s="277"/>
      <c r="F386" s="273"/>
      <c r="G386" s="273"/>
      <c r="H386" s="273"/>
      <c r="I386" s="273"/>
      <c r="J386" s="273"/>
      <c r="K386" s="273"/>
      <c r="L386" s="273"/>
      <c r="M386" s="273"/>
      <c r="N386" s="224"/>
      <c r="O386" s="273"/>
      <c r="P386" s="273"/>
      <c r="Q386" s="273"/>
      <c r="R386" s="273"/>
      <c r="S386" s="273"/>
      <c r="T386" s="273"/>
      <c r="U386" s="273"/>
      <c r="V386" s="273"/>
      <c r="W386" s="273"/>
      <c r="X386" s="273"/>
      <c r="Y386" s="273"/>
      <c r="Z386" s="273"/>
      <c r="AA386" s="224"/>
      <c r="AB386" s="273"/>
      <c r="AC386" s="273"/>
      <c r="AD386" s="273"/>
      <c r="AE386" s="273"/>
      <c r="AF386" s="273"/>
      <c r="AG386" s="273"/>
      <c r="AH386" s="273"/>
      <c r="AI386" s="273"/>
      <c r="AJ386" s="273"/>
      <c r="AK386" s="273"/>
      <c r="AL386" s="273"/>
      <c r="AM386" s="273"/>
      <c r="AN386" s="224"/>
      <c r="AO386" s="273"/>
      <c r="AP386" s="273"/>
      <c r="AQ386" s="273"/>
      <c r="AR386" s="273"/>
      <c r="AS386" s="273"/>
      <c r="AT386" s="273"/>
      <c r="AU386" s="273"/>
      <c r="AV386" s="273"/>
      <c r="AW386" s="273"/>
      <c r="AX386" s="273"/>
      <c r="AY386" s="273"/>
      <c r="AZ386" s="923"/>
      <c r="BA386" s="923"/>
    </row>
    <row r="387" spans="5:53">
      <c r="E387" s="277"/>
      <c r="F387" s="273"/>
      <c r="G387" s="273"/>
      <c r="H387" s="273"/>
      <c r="I387" s="273"/>
      <c r="J387" s="273"/>
      <c r="K387" s="273"/>
      <c r="L387" s="273"/>
      <c r="M387" s="273"/>
      <c r="N387" s="224"/>
      <c r="O387" s="273"/>
      <c r="P387" s="273"/>
      <c r="Q387" s="273"/>
      <c r="R387" s="273"/>
      <c r="S387" s="273"/>
      <c r="T387" s="273"/>
      <c r="U387" s="273"/>
      <c r="V387" s="273"/>
      <c r="W387" s="273"/>
      <c r="X387" s="273"/>
      <c r="Y387" s="273"/>
      <c r="Z387" s="273"/>
      <c r="AA387" s="224"/>
      <c r="AB387" s="273"/>
      <c r="AC387" s="273"/>
      <c r="AD387" s="273"/>
      <c r="AE387" s="273"/>
      <c r="AF387" s="273"/>
      <c r="AG387" s="273"/>
      <c r="AH387" s="273"/>
      <c r="AI387" s="273"/>
      <c r="AJ387" s="273"/>
      <c r="AK387" s="273"/>
      <c r="AL387" s="273"/>
      <c r="AM387" s="273"/>
      <c r="AN387" s="224"/>
      <c r="AO387" s="273"/>
      <c r="AP387" s="273"/>
      <c r="AQ387" s="273"/>
      <c r="AR387" s="273"/>
      <c r="AS387" s="273"/>
      <c r="AT387" s="273"/>
      <c r="AU387" s="273"/>
      <c r="AV387" s="273"/>
      <c r="AW387" s="273"/>
      <c r="AX387" s="273"/>
      <c r="AY387" s="273"/>
      <c r="AZ387" s="923"/>
      <c r="BA387" s="923"/>
    </row>
    <row r="388" spans="5:53">
      <c r="E388" s="277"/>
      <c r="F388" s="273"/>
      <c r="G388" s="273"/>
      <c r="H388" s="273"/>
      <c r="I388" s="273"/>
      <c r="J388" s="273"/>
      <c r="K388" s="273"/>
      <c r="L388" s="273"/>
      <c r="M388" s="273"/>
      <c r="N388" s="224"/>
      <c r="O388" s="273"/>
      <c r="P388" s="273"/>
      <c r="Q388" s="273"/>
      <c r="R388" s="273"/>
      <c r="S388" s="273"/>
      <c r="T388" s="273"/>
      <c r="U388" s="273"/>
      <c r="V388" s="273"/>
      <c r="W388" s="273"/>
      <c r="X388" s="273"/>
      <c r="Y388" s="273"/>
      <c r="Z388" s="273"/>
      <c r="AA388" s="224"/>
      <c r="AB388" s="273"/>
      <c r="AC388" s="273"/>
      <c r="AD388" s="273"/>
      <c r="AE388" s="273"/>
      <c r="AF388" s="273"/>
      <c r="AG388" s="273"/>
      <c r="AH388" s="273"/>
      <c r="AI388" s="273"/>
      <c r="AJ388" s="273"/>
      <c r="AK388" s="273"/>
      <c r="AL388" s="273"/>
      <c r="AM388" s="273"/>
      <c r="AN388" s="224"/>
      <c r="AO388" s="273"/>
      <c r="AP388" s="273"/>
      <c r="AQ388" s="273"/>
      <c r="AR388" s="273"/>
      <c r="AS388" s="273"/>
      <c r="AT388" s="273"/>
      <c r="AU388" s="273"/>
      <c r="AV388" s="273"/>
      <c r="AW388" s="273"/>
      <c r="AX388" s="273"/>
      <c r="AY388" s="273"/>
      <c r="AZ388" s="923"/>
      <c r="BA388" s="923"/>
    </row>
    <row r="389" spans="5:53">
      <c r="E389" s="277"/>
      <c r="F389" s="273"/>
      <c r="G389" s="273"/>
      <c r="H389" s="273"/>
      <c r="I389" s="273"/>
      <c r="J389" s="273"/>
      <c r="K389" s="273"/>
      <c r="L389" s="273"/>
      <c r="M389" s="273"/>
      <c r="N389" s="224"/>
      <c r="O389" s="273"/>
      <c r="P389" s="273"/>
      <c r="Q389" s="273"/>
      <c r="R389" s="273"/>
      <c r="S389" s="273"/>
      <c r="T389" s="273"/>
      <c r="U389" s="273"/>
      <c r="V389" s="273"/>
      <c r="W389" s="273"/>
      <c r="X389" s="273"/>
      <c r="Y389" s="273"/>
      <c r="Z389" s="273"/>
      <c r="AA389" s="224"/>
      <c r="AB389" s="273"/>
      <c r="AC389" s="273"/>
      <c r="AD389" s="273"/>
      <c r="AE389" s="273"/>
      <c r="AF389" s="273"/>
      <c r="AG389" s="273"/>
      <c r="AH389" s="273"/>
      <c r="AI389" s="273"/>
      <c r="AJ389" s="273"/>
      <c r="AK389" s="273"/>
      <c r="AL389" s="273"/>
      <c r="AM389" s="273"/>
      <c r="AN389" s="224"/>
      <c r="AO389" s="273"/>
      <c r="AP389" s="273"/>
      <c r="AQ389" s="273"/>
      <c r="AR389" s="273"/>
      <c r="AS389" s="273"/>
      <c r="AT389" s="273"/>
      <c r="AU389" s="273"/>
      <c r="AV389" s="273"/>
      <c r="AW389" s="273"/>
      <c r="AX389" s="273"/>
      <c r="AY389" s="273"/>
      <c r="AZ389" s="923"/>
      <c r="BA389" s="923"/>
    </row>
    <row r="390" spans="5:53">
      <c r="E390" s="277"/>
      <c r="F390" s="273"/>
      <c r="G390" s="273"/>
      <c r="H390" s="273"/>
      <c r="I390" s="273"/>
      <c r="J390" s="273"/>
      <c r="K390" s="273"/>
      <c r="L390" s="273"/>
      <c r="M390" s="273"/>
      <c r="N390" s="224"/>
      <c r="O390" s="273"/>
      <c r="P390" s="273"/>
      <c r="Q390" s="273"/>
      <c r="R390" s="273"/>
      <c r="S390" s="273"/>
      <c r="T390" s="273"/>
      <c r="U390" s="273"/>
      <c r="V390" s="273"/>
      <c r="W390" s="273"/>
      <c r="X390" s="273"/>
      <c r="Y390" s="273"/>
      <c r="Z390" s="273"/>
      <c r="AA390" s="224"/>
      <c r="AB390" s="273"/>
      <c r="AC390" s="273"/>
      <c r="AD390" s="273"/>
      <c r="AE390" s="273"/>
      <c r="AF390" s="273"/>
      <c r="AG390" s="273"/>
      <c r="AH390" s="273"/>
      <c r="AI390" s="273"/>
      <c r="AJ390" s="273"/>
      <c r="AK390" s="273"/>
      <c r="AL390" s="273"/>
      <c r="AM390" s="273"/>
      <c r="AN390" s="224"/>
      <c r="AO390" s="273"/>
      <c r="AP390" s="273"/>
      <c r="AQ390" s="273"/>
      <c r="AR390" s="273"/>
      <c r="AS390" s="273"/>
      <c r="AT390" s="273"/>
      <c r="AU390" s="273"/>
      <c r="AV390" s="273"/>
      <c r="AW390" s="273"/>
      <c r="AX390" s="273"/>
      <c r="AY390" s="273"/>
      <c r="AZ390" s="923"/>
      <c r="BA390" s="923"/>
    </row>
    <row r="391" spans="5:53">
      <c r="E391" s="277"/>
      <c r="F391" s="273"/>
      <c r="G391" s="273"/>
      <c r="H391" s="273"/>
      <c r="I391" s="273"/>
      <c r="J391" s="273"/>
      <c r="K391" s="273"/>
      <c r="L391" s="273"/>
      <c r="M391" s="273"/>
      <c r="N391" s="224"/>
      <c r="O391" s="273"/>
      <c r="P391" s="273"/>
      <c r="Q391" s="273"/>
      <c r="R391" s="273"/>
      <c r="S391" s="273"/>
      <c r="T391" s="273"/>
      <c r="U391" s="273"/>
      <c r="V391" s="273"/>
      <c r="W391" s="273"/>
      <c r="X391" s="273"/>
      <c r="Y391" s="273"/>
      <c r="Z391" s="273"/>
      <c r="AA391" s="224"/>
      <c r="AB391" s="273"/>
      <c r="AC391" s="273"/>
      <c r="AD391" s="273"/>
      <c r="AE391" s="273"/>
      <c r="AF391" s="273"/>
      <c r="AG391" s="273"/>
      <c r="AH391" s="273"/>
      <c r="AI391" s="273"/>
      <c r="AJ391" s="273"/>
      <c r="AK391" s="273"/>
      <c r="AL391" s="273"/>
      <c r="AM391" s="273"/>
      <c r="AN391" s="224"/>
      <c r="AO391" s="273"/>
      <c r="AP391" s="273"/>
      <c r="AQ391" s="273"/>
      <c r="AR391" s="273"/>
      <c r="AS391" s="273"/>
      <c r="AT391" s="273"/>
      <c r="AU391" s="273"/>
      <c r="AV391" s="273"/>
      <c r="AW391" s="273"/>
      <c r="AX391" s="273"/>
      <c r="AY391" s="273"/>
      <c r="AZ391" s="923"/>
      <c r="BA391" s="923"/>
    </row>
    <row r="392" spans="5:53">
      <c r="E392" s="277"/>
      <c r="F392" s="273"/>
      <c r="G392" s="273"/>
      <c r="H392" s="273"/>
      <c r="I392" s="273"/>
      <c r="J392" s="273"/>
      <c r="K392" s="273"/>
      <c r="L392" s="273"/>
      <c r="M392" s="273"/>
      <c r="N392" s="224"/>
      <c r="O392" s="273"/>
      <c r="P392" s="273"/>
      <c r="Q392" s="273"/>
      <c r="R392" s="273"/>
      <c r="S392" s="273"/>
      <c r="T392" s="273"/>
      <c r="U392" s="273"/>
      <c r="V392" s="273"/>
      <c r="W392" s="273"/>
      <c r="X392" s="273"/>
      <c r="Y392" s="273"/>
      <c r="Z392" s="273"/>
      <c r="AA392" s="224"/>
      <c r="AB392" s="273"/>
      <c r="AC392" s="273"/>
      <c r="AD392" s="273"/>
      <c r="AE392" s="273"/>
      <c r="AF392" s="273"/>
      <c r="AG392" s="273"/>
      <c r="AH392" s="273"/>
      <c r="AI392" s="273"/>
      <c r="AJ392" s="273"/>
      <c r="AK392" s="273"/>
      <c r="AL392" s="273"/>
      <c r="AM392" s="273"/>
      <c r="AN392" s="224"/>
      <c r="AO392" s="273"/>
      <c r="AP392" s="273"/>
      <c r="AQ392" s="273"/>
      <c r="AR392" s="273"/>
      <c r="AS392" s="273"/>
      <c r="AT392" s="273"/>
      <c r="AU392" s="273"/>
      <c r="AV392" s="273"/>
      <c r="AW392" s="273"/>
      <c r="AX392" s="273"/>
      <c r="AY392" s="273"/>
      <c r="AZ392" s="923"/>
      <c r="BA392" s="923"/>
    </row>
    <row r="393" spans="5:53">
      <c r="E393" s="277"/>
      <c r="F393" s="273"/>
      <c r="G393" s="273"/>
      <c r="H393" s="273"/>
      <c r="I393" s="273"/>
      <c r="J393" s="273"/>
      <c r="K393" s="273"/>
      <c r="L393" s="273"/>
      <c r="M393" s="273"/>
      <c r="N393" s="224"/>
      <c r="O393" s="273"/>
      <c r="P393" s="273"/>
      <c r="Q393" s="273"/>
      <c r="R393" s="273"/>
      <c r="S393" s="273"/>
      <c r="T393" s="273"/>
      <c r="U393" s="273"/>
      <c r="V393" s="273"/>
      <c r="W393" s="273"/>
      <c r="X393" s="273"/>
      <c r="Y393" s="273"/>
      <c r="Z393" s="273"/>
      <c r="AA393" s="224"/>
      <c r="AB393" s="273"/>
      <c r="AC393" s="273"/>
      <c r="AD393" s="273"/>
      <c r="AE393" s="273"/>
      <c r="AF393" s="273"/>
      <c r="AG393" s="273"/>
      <c r="AH393" s="273"/>
      <c r="AI393" s="273"/>
      <c r="AJ393" s="273"/>
      <c r="AK393" s="273"/>
      <c r="AL393" s="273"/>
      <c r="AM393" s="273"/>
      <c r="AN393" s="224"/>
      <c r="AO393" s="273"/>
      <c r="AP393" s="273"/>
      <c r="AQ393" s="273"/>
      <c r="AR393" s="273"/>
      <c r="AS393" s="273"/>
      <c r="AT393" s="273"/>
      <c r="AU393" s="273"/>
      <c r="AV393" s="273"/>
      <c r="AW393" s="273"/>
      <c r="AX393" s="273"/>
      <c r="AY393" s="273"/>
      <c r="AZ393" s="923"/>
      <c r="BA393" s="923"/>
    </row>
    <row r="394" spans="5:53">
      <c r="E394" s="277"/>
      <c r="F394" s="273"/>
      <c r="G394" s="273"/>
      <c r="H394" s="273"/>
      <c r="I394" s="273"/>
      <c r="J394" s="273"/>
      <c r="K394" s="273"/>
      <c r="L394" s="273"/>
      <c r="M394" s="273"/>
      <c r="N394" s="224"/>
      <c r="O394" s="273"/>
      <c r="P394" s="273"/>
      <c r="Q394" s="273"/>
      <c r="R394" s="273"/>
      <c r="S394" s="273"/>
      <c r="T394" s="273"/>
      <c r="U394" s="273"/>
      <c r="V394" s="273"/>
      <c r="W394" s="273"/>
      <c r="X394" s="273"/>
      <c r="Y394" s="273"/>
      <c r="Z394" s="273"/>
      <c r="AA394" s="224"/>
      <c r="AB394" s="273"/>
      <c r="AC394" s="273"/>
      <c r="AD394" s="273"/>
      <c r="AE394" s="273"/>
      <c r="AF394" s="273"/>
      <c r="AG394" s="273"/>
      <c r="AH394" s="273"/>
      <c r="AI394" s="273"/>
      <c r="AJ394" s="273"/>
      <c r="AK394" s="273"/>
      <c r="AL394" s="273"/>
      <c r="AM394" s="273"/>
      <c r="AN394" s="224"/>
      <c r="AO394" s="273"/>
      <c r="AP394" s="273"/>
      <c r="AQ394" s="273"/>
      <c r="AR394" s="273"/>
      <c r="AS394" s="273"/>
      <c r="AT394" s="273"/>
      <c r="AU394" s="273"/>
      <c r="AV394" s="273"/>
      <c r="AW394" s="273"/>
      <c r="AX394" s="273"/>
      <c r="AY394" s="273"/>
      <c r="AZ394" s="923"/>
      <c r="BA394" s="923"/>
    </row>
    <row r="395" spans="5:53">
      <c r="E395" s="277"/>
      <c r="F395" s="273"/>
      <c r="G395" s="273"/>
      <c r="H395" s="273"/>
      <c r="I395" s="273"/>
      <c r="J395" s="273"/>
      <c r="K395" s="273"/>
      <c r="L395" s="273"/>
      <c r="M395" s="273"/>
      <c r="N395" s="224"/>
      <c r="O395" s="273"/>
      <c r="P395" s="273"/>
      <c r="Q395" s="273"/>
      <c r="R395" s="273"/>
      <c r="S395" s="273"/>
      <c r="T395" s="273"/>
      <c r="U395" s="273"/>
      <c r="V395" s="273"/>
      <c r="W395" s="273"/>
      <c r="X395" s="273"/>
      <c r="Y395" s="273"/>
      <c r="Z395" s="273"/>
      <c r="AA395" s="224"/>
      <c r="AB395" s="273"/>
      <c r="AC395" s="273"/>
      <c r="AD395" s="273"/>
      <c r="AE395" s="273"/>
      <c r="AF395" s="273"/>
      <c r="AG395" s="273"/>
      <c r="AH395" s="273"/>
      <c r="AI395" s="273"/>
      <c r="AJ395" s="273"/>
      <c r="AK395" s="273"/>
      <c r="AL395" s="273"/>
      <c r="AM395" s="273"/>
      <c r="AN395" s="224"/>
      <c r="AO395" s="273"/>
      <c r="AP395" s="273"/>
      <c r="AQ395" s="273"/>
      <c r="AR395" s="273"/>
      <c r="AS395" s="273"/>
      <c r="AT395" s="273"/>
      <c r="AU395" s="273"/>
      <c r="AV395" s="273"/>
      <c r="AW395" s="273"/>
      <c r="AX395" s="273"/>
      <c r="AY395" s="273"/>
      <c r="AZ395" s="923"/>
      <c r="BA395" s="923"/>
    </row>
    <row r="396" spans="5:53">
      <c r="E396" s="277"/>
      <c r="F396" s="273"/>
      <c r="G396" s="273"/>
      <c r="H396" s="273"/>
      <c r="I396" s="273"/>
      <c r="J396" s="273"/>
      <c r="K396" s="273"/>
      <c r="L396" s="273"/>
      <c r="M396" s="273"/>
      <c r="N396" s="224"/>
      <c r="O396" s="273"/>
      <c r="P396" s="273"/>
      <c r="Q396" s="273"/>
      <c r="R396" s="273"/>
      <c r="S396" s="273"/>
      <c r="T396" s="273"/>
      <c r="U396" s="273"/>
      <c r="V396" s="273"/>
      <c r="W396" s="273"/>
      <c r="X396" s="273"/>
      <c r="Y396" s="273"/>
      <c r="Z396" s="273"/>
      <c r="AA396" s="224"/>
      <c r="AB396" s="273"/>
      <c r="AC396" s="273"/>
      <c r="AD396" s="273"/>
      <c r="AE396" s="273"/>
      <c r="AF396" s="273"/>
      <c r="AG396" s="273"/>
      <c r="AH396" s="273"/>
      <c r="AI396" s="273"/>
      <c r="AJ396" s="273"/>
      <c r="AK396" s="273"/>
      <c r="AL396" s="273"/>
      <c r="AM396" s="273"/>
      <c r="AN396" s="224"/>
      <c r="AO396" s="273"/>
      <c r="AP396" s="273"/>
      <c r="AQ396" s="273"/>
      <c r="AR396" s="273"/>
      <c r="AS396" s="273"/>
      <c r="AT396" s="273"/>
      <c r="AU396" s="273"/>
      <c r="AV396" s="273"/>
      <c r="AW396" s="273"/>
      <c r="AX396" s="273"/>
      <c r="AY396" s="273"/>
      <c r="AZ396" s="923"/>
      <c r="BA396" s="923"/>
    </row>
    <row r="397" spans="5:53">
      <c r="E397" s="277"/>
      <c r="F397" s="273"/>
      <c r="G397" s="273"/>
      <c r="H397" s="273"/>
      <c r="I397" s="273"/>
      <c r="J397" s="273"/>
      <c r="K397" s="273"/>
      <c r="L397" s="273"/>
      <c r="M397" s="273"/>
      <c r="N397" s="224"/>
      <c r="O397" s="273"/>
      <c r="P397" s="273"/>
      <c r="Q397" s="273"/>
      <c r="R397" s="273"/>
      <c r="S397" s="273"/>
      <c r="T397" s="273"/>
      <c r="U397" s="273"/>
      <c r="V397" s="273"/>
      <c r="W397" s="273"/>
      <c r="X397" s="273"/>
      <c r="Y397" s="273"/>
      <c r="Z397" s="273"/>
      <c r="AA397" s="224"/>
      <c r="AB397" s="273"/>
      <c r="AC397" s="273"/>
      <c r="AD397" s="273"/>
      <c r="AE397" s="273"/>
      <c r="AF397" s="273"/>
      <c r="AG397" s="273"/>
      <c r="AH397" s="273"/>
      <c r="AI397" s="273"/>
      <c r="AJ397" s="273"/>
      <c r="AK397" s="273"/>
      <c r="AL397" s="273"/>
      <c r="AM397" s="273"/>
      <c r="AN397" s="224"/>
      <c r="AO397" s="273"/>
      <c r="AP397" s="273"/>
      <c r="AQ397" s="273"/>
      <c r="AR397" s="273"/>
      <c r="AS397" s="273"/>
      <c r="AT397" s="273"/>
      <c r="AU397" s="273"/>
      <c r="AV397" s="273"/>
      <c r="AW397" s="273"/>
      <c r="AX397" s="273"/>
      <c r="AY397" s="273"/>
      <c r="AZ397" s="923"/>
      <c r="BA397" s="923"/>
    </row>
    <row r="398" spans="5:53">
      <c r="E398" s="277"/>
      <c r="F398" s="273"/>
      <c r="G398" s="273"/>
      <c r="H398" s="273"/>
      <c r="I398" s="273"/>
      <c r="J398" s="273"/>
      <c r="K398" s="273"/>
      <c r="L398" s="273"/>
      <c r="M398" s="273"/>
      <c r="N398" s="224"/>
      <c r="O398" s="273"/>
      <c r="P398" s="273"/>
      <c r="Q398" s="273"/>
      <c r="R398" s="273"/>
      <c r="S398" s="273"/>
      <c r="T398" s="273"/>
      <c r="U398" s="273"/>
      <c r="V398" s="273"/>
      <c r="W398" s="273"/>
      <c r="X398" s="273"/>
      <c r="Y398" s="273"/>
      <c r="Z398" s="273"/>
      <c r="AA398" s="224"/>
      <c r="AB398" s="273"/>
      <c r="AC398" s="273"/>
      <c r="AD398" s="273"/>
      <c r="AE398" s="273"/>
      <c r="AF398" s="273"/>
      <c r="AG398" s="273"/>
      <c r="AH398" s="273"/>
      <c r="AI398" s="273"/>
      <c r="AJ398" s="273"/>
      <c r="AK398" s="273"/>
      <c r="AL398" s="273"/>
      <c r="AM398" s="273"/>
      <c r="AN398" s="224"/>
      <c r="AO398" s="273"/>
      <c r="AP398" s="273"/>
      <c r="AQ398" s="273"/>
      <c r="AR398" s="273"/>
      <c r="AS398" s="273"/>
      <c r="AT398" s="273"/>
      <c r="AU398" s="273"/>
      <c r="AV398" s="273"/>
      <c r="AW398" s="273"/>
      <c r="AX398" s="273"/>
      <c r="AY398" s="273"/>
      <c r="AZ398" s="923"/>
      <c r="BA398" s="923"/>
    </row>
    <row r="399" spans="5:53">
      <c r="E399" s="277"/>
      <c r="F399" s="273"/>
      <c r="G399" s="273"/>
      <c r="H399" s="273"/>
      <c r="I399" s="273"/>
      <c r="J399" s="273"/>
      <c r="K399" s="273"/>
      <c r="L399" s="273"/>
      <c r="M399" s="273"/>
      <c r="N399" s="224"/>
      <c r="O399" s="273"/>
      <c r="P399" s="273"/>
      <c r="Q399" s="273"/>
      <c r="R399" s="273"/>
      <c r="S399" s="273"/>
      <c r="T399" s="273"/>
      <c r="U399" s="273"/>
      <c r="V399" s="273"/>
      <c r="W399" s="273"/>
      <c r="X399" s="273"/>
      <c r="Y399" s="273"/>
      <c r="Z399" s="273"/>
      <c r="AA399" s="224"/>
      <c r="AB399" s="273"/>
      <c r="AC399" s="273"/>
      <c r="AD399" s="273"/>
      <c r="AE399" s="273"/>
      <c r="AF399" s="273"/>
      <c r="AG399" s="273"/>
      <c r="AH399" s="273"/>
      <c r="AI399" s="273"/>
      <c r="AJ399" s="273"/>
      <c r="AK399" s="273"/>
      <c r="AL399" s="273"/>
      <c r="AM399" s="273"/>
      <c r="AN399" s="224"/>
      <c r="AO399" s="273"/>
      <c r="AP399" s="273"/>
      <c r="AQ399" s="273"/>
      <c r="AR399" s="273"/>
      <c r="AS399" s="273"/>
      <c r="AT399" s="273"/>
      <c r="AU399" s="273"/>
      <c r="AV399" s="273"/>
      <c r="AW399" s="273"/>
      <c r="AX399" s="273"/>
      <c r="AY399" s="273"/>
      <c r="AZ399" s="923"/>
      <c r="BA399" s="923"/>
    </row>
    <row r="400" spans="5:53">
      <c r="E400" s="277"/>
      <c r="F400" s="273"/>
      <c r="G400" s="273"/>
      <c r="H400" s="273"/>
      <c r="I400" s="273"/>
      <c r="J400" s="273"/>
      <c r="K400" s="273"/>
      <c r="L400" s="273"/>
      <c r="M400" s="273"/>
      <c r="N400" s="224"/>
      <c r="O400" s="273"/>
      <c r="P400" s="273"/>
      <c r="Q400" s="273"/>
      <c r="R400" s="273"/>
      <c r="S400" s="273"/>
      <c r="T400" s="273"/>
      <c r="U400" s="273"/>
      <c r="V400" s="273"/>
      <c r="W400" s="273"/>
      <c r="X400" s="273"/>
      <c r="Y400" s="273"/>
      <c r="Z400" s="273"/>
      <c r="AA400" s="224"/>
      <c r="AB400" s="273"/>
      <c r="AC400" s="273"/>
      <c r="AD400" s="273"/>
      <c r="AE400" s="273"/>
      <c r="AF400" s="273"/>
      <c r="AG400" s="273"/>
      <c r="AH400" s="273"/>
      <c r="AI400" s="273"/>
      <c r="AJ400" s="273"/>
      <c r="AK400" s="273"/>
      <c r="AL400" s="273"/>
      <c r="AM400" s="273"/>
      <c r="AN400" s="224"/>
      <c r="AO400" s="273"/>
      <c r="AP400" s="273"/>
      <c r="AQ400" s="273"/>
      <c r="AR400" s="273"/>
      <c r="AS400" s="273"/>
      <c r="AT400" s="273"/>
      <c r="AU400" s="273"/>
      <c r="AV400" s="273"/>
      <c r="AW400" s="273"/>
      <c r="AX400" s="273"/>
      <c r="AY400" s="273"/>
      <c r="AZ400" s="923"/>
      <c r="BA400" s="923"/>
    </row>
    <row r="401" spans="5:53">
      <c r="E401" s="277"/>
      <c r="F401" s="273"/>
      <c r="G401" s="273"/>
      <c r="H401" s="273"/>
      <c r="I401" s="273"/>
      <c r="J401" s="273"/>
      <c r="K401" s="273"/>
      <c r="L401" s="273"/>
      <c r="M401" s="273"/>
      <c r="N401" s="224"/>
      <c r="O401" s="273"/>
      <c r="P401" s="273"/>
      <c r="Q401" s="273"/>
      <c r="R401" s="273"/>
      <c r="S401" s="273"/>
      <c r="T401" s="273"/>
      <c r="U401" s="273"/>
      <c r="V401" s="273"/>
      <c r="W401" s="273"/>
      <c r="X401" s="273"/>
      <c r="Y401" s="273"/>
      <c r="Z401" s="273"/>
      <c r="AA401" s="224"/>
      <c r="AB401" s="273"/>
      <c r="AC401" s="273"/>
      <c r="AD401" s="273"/>
      <c r="AE401" s="273"/>
      <c r="AF401" s="273"/>
      <c r="AG401" s="273"/>
      <c r="AH401" s="273"/>
      <c r="AI401" s="273"/>
      <c r="AJ401" s="273"/>
      <c r="AK401" s="273"/>
      <c r="AL401" s="273"/>
      <c r="AM401" s="273"/>
      <c r="AN401" s="224"/>
      <c r="AO401" s="273"/>
      <c r="AP401" s="273"/>
      <c r="AQ401" s="273"/>
      <c r="AR401" s="273"/>
      <c r="AS401" s="273"/>
      <c r="AT401" s="273"/>
      <c r="AU401" s="273"/>
      <c r="AV401" s="273"/>
      <c r="AW401" s="273"/>
      <c r="AX401" s="273"/>
      <c r="AY401" s="273"/>
      <c r="AZ401" s="923"/>
      <c r="BA401" s="923"/>
    </row>
    <row r="402" spans="5:53">
      <c r="E402" s="277"/>
      <c r="F402" s="273"/>
      <c r="G402" s="273"/>
      <c r="H402" s="273"/>
      <c r="I402" s="273"/>
      <c r="J402" s="273"/>
      <c r="K402" s="273"/>
      <c r="L402" s="273"/>
      <c r="M402" s="273"/>
      <c r="N402" s="224"/>
      <c r="O402" s="273"/>
      <c r="P402" s="273"/>
      <c r="Q402" s="273"/>
      <c r="R402" s="273"/>
      <c r="S402" s="273"/>
      <c r="T402" s="273"/>
      <c r="U402" s="273"/>
      <c r="V402" s="273"/>
      <c r="W402" s="273"/>
      <c r="X402" s="273"/>
      <c r="Y402" s="273"/>
      <c r="Z402" s="273"/>
      <c r="AA402" s="224"/>
      <c r="AB402" s="273"/>
      <c r="AC402" s="273"/>
      <c r="AD402" s="273"/>
      <c r="AE402" s="273"/>
      <c r="AF402" s="273"/>
      <c r="AG402" s="273"/>
      <c r="AH402" s="273"/>
      <c r="AI402" s="273"/>
      <c r="AJ402" s="273"/>
      <c r="AK402" s="273"/>
      <c r="AL402" s="273"/>
      <c r="AM402" s="273"/>
      <c r="AN402" s="224"/>
      <c r="AO402" s="273"/>
      <c r="AP402" s="273"/>
      <c r="AQ402" s="273"/>
      <c r="AR402" s="273"/>
      <c r="AS402" s="273"/>
      <c r="AT402" s="273"/>
      <c r="AU402" s="273"/>
      <c r="AV402" s="273"/>
      <c r="AW402" s="273"/>
      <c r="AX402" s="273"/>
      <c r="AY402" s="273"/>
      <c r="AZ402" s="923"/>
      <c r="BA402" s="923"/>
    </row>
    <row r="403" spans="5:53">
      <c r="E403" s="277"/>
      <c r="F403" s="273"/>
      <c r="G403" s="273"/>
      <c r="H403" s="273"/>
      <c r="I403" s="273"/>
      <c r="J403" s="273"/>
      <c r="K403" s="273"/>
      <c r="L403" s="273"/>
      <c r="M403" s="273"/>
      <c r="N403" s="224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A403" s="224"/>
      <c r="AB403" s="273"/>
      <c r="AC403" s="273"/>
      <c r="AD403" s="273"/>
      <c r="AE403" s="273"/>
      <c r="AF403" s="273"/>
      <c r="AG403" s="273"/>
      <c r="AH403" s="273"/>
      <c r="AI403" s="273"/>
      <c r="AJ403" s="273"/>
      <c r="AK403" s="273"/>
      <c r="AL403" s="273"/>
      <c r="AM403" s="273"/>
      <c r="AN403" s="224"/>
      <c r="AO403" s="273"/>
      <c r="AP403" s="273"/>
      <c r="AQ403" s="273"/>
      <c r="AR403" s="273"/>
      <c r="AS403" s="273"/>
      <c r="AT403" s="273"/>
      <c r="AU403" s="273"/>
      <c r="AV403" s="273"/>
      <c r="AW403" s="273"/>
      <c r="AX403" s="273"/>
      <c r="AY403" s="273"/>
      <c r="AZ403" s="923"/>
      <c r="BA403" s="923"/>
    </row>
    <row r="404" spans="5:53">
      <c r="E404" s="277"/>
      <c r="F404" s="273"/>
      <c r="G404" s="273"/>
      <c r="H404" s="273"/>
      <c r="I404" s="273"/>
      <c r="J404" s="273"/>
      <c r="K404" s="273"/>
      <c r="L404" s="273"/>
      <c r="M404" s="273"/>
      <c r="N404" s="224"/>
      <c r="O404" s="273"/>
      <c r="P404" s="273"/>
      <c r="Q404" s="273"/>
      <c r="R404" s="273"/>
      <c r="S404" s="273"/>
      <c r="T404" s="273"/>
      <c r="U404" s="273"/>
      <c r="V404" s="273"/>
      <c r="W404" s="273"/>
      <c r="X404" s="273"/>
      <c r="Y404" s="273"/>
      <c r="Z404" s="273"/>
      <c r="AA404" s="224"/>
      <c r="AB404" s="273"/>
      <c r="AC404" s="273"/>
      <c r="AD404" s="273"/>
      <c r="AE404" s="273"/>
      <c r="AF404" s="273"/>
      <c r="AG404" s="273"/>
      <c r="AH404" s="273"/>
      <c r="AI404" s="273"/>
      <c r="AJ404" s="273"/>
      <c r="AK404" s="273"/>
      <c r="AL404" s="273"/>
      <c r="AM404" s="273"/>
      <c r="AN404" s="224"/>
      <c r="AO404" s="273"/>
      <c r="AP404" s="273"/>
      <c r="AQ404" s="273"/>
      <c r="AR404" s="273"/>
      <c r="AS404" s="273"/>
      <c r="AT404" s="273"/>
      <c r="AU404" s="273"/>
      <c r="AV404" s="273"/>
      <c r="AW404" s="273"/>
      <c r="AX404" s="273"/>
      <c r="AY404" s="273"/>
      <c r="AZ404" s="923"/>
      <c r="BA404" s="923"/>
    </row>
    <row r="405" spans="5:53">
      <c r="E405" s="277"/>
      <c r="F405" s="273"/>
      <c r="G405" s="273"/>
      <c r="H405" s="273"/>
      <c r="I405" s="273"/>
      <c r="J405" s="273"/>
      <c r="K405" s="273"/>
      <c r="L405" s="273"/>
      <c r="M405" s="273"/>
      <c r="N405" s="224"/>
      <c r="O405" s="273"/>
      <c r="P405" s="273"/>
      <c r="Q405" s="273"/>
      <c r="R405" s="273"/>
      <c r="S405" s="273"/>
      <c r="T405" s="273"/>
      <c r="U405" s="273"/>
      <c r="V405" s="273"/>
      <c r="W405" s="273"/>
      <c r="X405" s="273"/>
      <c r="Y405" s="273"/>
      <c r="Z405" s="273"/>
      <c r="AA405" s="224"/>
      <c r="AB405" s="273"/>
      <c r="AC405" s="273"/>
      <c r="AD405" s="273"/>
      <c r="AE405" s="273"/>
      <c r="AF405" s="273"/>
      <c r="AG405" s="273"/>
      <c r="AH405" s="273"/>
      <c r="AI405" s="273"/>
      <c r="AJ405" s="273"/>
      <c r="AK405" s="273"/>
      <c r="AL405" s="273"/>
      <c r="AM405" s="273"/>
      <c r="AN405" s="224"/>
      <c r="AO405" s="273"/>
      <c r="AP405" s="273"/>
      <c r="AQ405" s="273"/>
      <c r="AR405" s="273"/>
      <c r="AS405" s="273"/>
      <c r="AT405" s="273"/>
      <c r="AU405" s="273"/>
      <c r="AV405" s="273"/>
      <c r="AW405" s="273"/>
      <c r="AX405" s="273"/>
      <c r="AY405" s="273"/>
      <c r="AZ405" s="923"/>
      <c r="BA405" s="923"/>
    </row>
    <row r="406" spans="5:53">
      <c r="E406" s="277"/>
      <c r="F406" s="273"/>
      <c r="G406" s="273"/>
      <c r="H406" s="273"/>
      <c r="I406" s="273"/>
      <c r="J406" s="273"/>
      <c r="K406" s="273"/>
      <c r="L406" s="273"/>
      <c r="M406" s="273"/>
      <c r="N406" s="224"/>
      <c r="O406" s="273"/>
      <c r="P406" s="273"/>
      <c r="Q406" s="273"/>
      <c r="R406" s="273"/>
      <c r="S406" s="273"/>
      <c r="T406" s="273"/>
      <c r="U406" s="273"/>
      <c r="V406" s="273"/>
      <c r="W406" s="273"/>
      <c r="X406" s="273"/>
      <c r="Y406" s="273"/>
      <c r="Z406" s="273"/>
      <c r="AA406" s="224"/>
      <c r="AB406" s="273"/>
      <c r="AC406" s="273"/>
      <c r="AD406" s="273"/>
      <c r="AE406" s="273"/>
      <c r="AF406" s="273"/>
      <c r="AG406" s="273"/>
      <c r="AH406" s="273"/>
      <c r="AI406" s="273"/>
      <c r="AJ406" s="273"/>
      <c r="AK406" s="273"/>
      <c r="AL406" s="273"/>
      <c r="AM406" s="273"/>
      <c r="AN406" s="224"/>
      <c r="AO406" s="273"/>
      <c r="AP406" s="273"/>
      <c r="AQ406" s="273"/>
      <c r="AR406" s="273"/>
      <c r="AS406" s="273"/>
      <c r="AT406" s="273"/>
      <c r="AU406" s="273"/>
      <c r="AV406" s="273"/>
      <c r="AW406" s="273"/>
      <c r="AX406" s="273"/>
      <c r="AY406" s="273"/>
      <c r="AZ406" s="923"/>
      <c r="BA406" s="923"/>
    </row>
    <row r="407" spans="5:53">
      <c r="E407" s="277"/>
      <c r="F407" s="273"/>
      <c r="G407" s="273"/>
      <c r="H407" s="273"/>
      <c r="I407" s="273"/>
      <c r="J407" s="273"/>
      <c r="K407" s="273"/>
      <c r="L407" s="273"/>
      <c r="M407" s="273"/>
      <c r="N407" s="224"/>
      <c r="O407" s="273"/>
      <c r="P407" s="273"/>
      <c r="Q407" s="273"/>
      <c r="R407" s="273"/>
      <c r="S407" s="273"/>
      <c r="T407" s="273"/>
      <c r="U407" s="273"/>
      <c r="V407" s="273"/>
      <c r="W407" s="273"/>
      <c r="X407" s="273"/>
      <c r="Y407" s="273"/>
      <c r="Z407" s="273"/>
      <c r="AA407" s="224"/>
      <c r="AB407" s="273"/>
      <c r="AC407" s="273"/>
      <c r="AD407" s="273"/>
      <c r="AE407" s="273"/>
      <c r="AF407" s="273"/>
      <c r="AG407" s="273"/>
      <c r="AH407" s="273"/>
      <c r="AI407" s="273"/>
      <c r="AJ407" s="273"/>
      <c r="AK407" s="273"/>
      <c r="AL407" s="273"/>
      <c r="AM407" s="273"/>
      <c r="AN407" s="224"/>
      <c r="AO407" s="273"/>
      <c r="AP407" s="273"/>
      <c r="AQ407" s="273"/>
      <c r="AR407" s="273"/>
      <c r="AS407" s="273"/>
      <c r="AT407" s="273"/>
      <c r="AU407" s="273"/>
      <c r="AV407" s="273"/>
      <c r="AW407" s="273"/>
      <c r="AX407" s="273"/>
      <c r="AY407" s="273"/>
      <c r="AZ407" s="923"/>
      <c r="BA407" s="923"/>
    </row>
    <row r="408" spans="5:53">
      <c r="E408" s="277"/>
      <c r="F408" s="273"/>
      <c r="G408" s="273"/>
      <c r="H408" s="273"/>
      <c r="I408" s="273"/>
      <c r="J408" s="273"/>
      <c r="K408" s="273"/>
      <c r="L408" s="273"/>
      <c r="M408" s="273"/>
      <c r="N408" s="224"/>
      <c r="O408" s="273"/>
      <c r="P408" s="273"/>
      <c r="Q408" s="273"/>
      <c r="R408" s="273"/>
      <c r="S408" s="273"/>
      <c r="T408" s="273"/>
      <c r="U408" s="273"/>
      <c r="V408" s="273"/>
      <c r="W408" s="273"/>
      <c r="X408" s="273"/>
      <c r="Y408" s="273"/>
      <c r="Z408" s="273"/>
      <c r="AA408" s="224"/>
      <c r="AB408" s="273"/>
      <c r="AC408" s="273"/>
      <c r="AD408" s="273"/>
      <c r="AE408" s="273"/>
      <c r="AF408" s="273"/>
      <c r="AG408" s="273"/>
      <c r="AH408" s="273"/>
      <c r="AI408" s="273"/>
      <c r="AJ408" s="273"/>
      <c r="AK408" s="273"/>
      <c r="AL408" s="273"/>
      <c r="AM408" s="273"/>
      <c r="AN408" s="224"/>
      <c r="AO408" s="273"/>
      <c r="AP408" s="273"/>
      <c r="AQ408" s="273"/>
      <c r="AR408" s="273"/>
      <c r="AS408" s="273"/>
      <c r="AT408" s="273"/>
      <c r="AU408" s="273"/>
      <c r="AV408" s="273"/>
      <c r="AW408" s="273"/>
      <c r="AX408" s="273"/>
      <c r="AY408" s="273"/>
      <c r="AZ408" s="923"/>
      <c r="BA408" s="923"/>
    </row>
    <row r="409" spans="5:53">
      <c r="E409" s="277"/>
      <c r="F409" s="273"/>
      <c r="G409" s="273"/>
      <c r="H409" s="273"/>
      <c r="I409" s="273"/>
      <c r="J409" s="273"/>
      <c r="K409" s="273"/>
      <c r="L409" s="273"/>
      <c r="M409" s="273"/>
      <c r="N409" s="224"/>
      <c r="O409" s="273"/>
      <c r="P409" s="273"/>
      <c r="Q409" s="273"/>
      <c r="R409" s="273"/>
      <c r="S409" s="273"/>
      <c r="T409" s="273"/>
      <c r="U409" s="273"/>
      <c r="V409" s="273"/>
      <c r="W409" s="273"/>
      <c r="X409" s="273"/>
      <c r="Y409" s="273"/>
      <c r="Z409" s="273"/>
      <c r="AA409" s="224"/>
      <c r="AB409" s="273"/>
      <c r="AC409" s="273"/>
      <c r="AD409" s="273"/>
      <c r="AE409" s="273"/>
      <c r="AF409" s="273"/>
      <c r="AG409" s="273"/>
      <c r="AH409" s="273"/>
      <c r="AI409" s="273"/>
      <c r="AJ409" s="273"/>
      <c r="AK409" s="273"/>
      <c r="AL409" s="273"/>
      <c r="AM409" s="273"/>
      <c r="AN409" s="224"/>
      <c r="AO409" s="273"/>
      <c r="AP409" s="273"/>
      <c r="AQ409" s="273"/>
      <c r="AR409" s="273"/>
      <c r="AS409" s="273"/>
      <c r="AT409" s="273"/>
      <c r="AU409" s="273"/>
      <c r="AV409" s="273"/>
      <c r="AW409" s="273"/>
      <c r="AX409" s="273"/>
      <c r="AY409" s="273"/>
      <c r="AZ409" s="923"/>
      <c r="BA409" s="923"/>
    </row>
    <row r="410" spans="5:53">
      <c r="E410" s="277"/>
      <c r="F410" s="273"/>
      <c r="G410" s="273"/>
      <c r="H410" s="273"/>
      <c r="I410" s="273"/>
      <c r="J410" s="273"/>
      <c r="K410" s="273"/>
      <c r="L410" s="273"/>
      <c r="M410" s="273"/>
      <c r="N410" s="224"/>
      <c r="O410" s="273"/>
      <c r="P410" s="273"/>
      <c r="Q410" s="273"/>
      <c r="R410" s="273"/>
      <c r="S410" s="273"/>
      <c r="T410" s="273"/>
      <c r="U410" s="273"/>
      <c r="V410" s="273"/>
      <c r="W410" s="273"/>
      <c r="X410" s="273"/>
      <c r="Y410" s="273"/>
      <c r="Z410" s="273"/>
      <c r="AA410" s="224"/>
      <c r="AB410" s="273"/>
      <c r="AC410" s="273"/>
      <c r="AD410" s="273"/>
      <c r="AE410" s="273"/>
      <c r="AF410" s="273"/>
      <c r="AG410" s="273"/>
      <c r="AH410" s="273"/>
      <c r="AI410" s="273"/>
      <c r="AJ410" s="273"/>
      <c r="AK410" s="273"/>
      <c r="AL410" s="273"/>
      <c r="AM410" s="273"/>
      <c r="AN410" s="224"/>
      <c r="AO410" s="273"/>
      <c r="AP410" s="273"/>
      <c r="AQ410" s="273"/>
      <c r="AR410" s="273"/>
      <c r="AS410" s="273"/>
      <c r="AT410" s="273"/>
      <c r="AU410" s="273"/>
      <c r="AV410" s="273"/>
      <c r="AW410" s="273"/>
      <c r="AX410" s="273"/>
      <c r="AY410" s="273"/>
      <c r="AZ410" s="923"/>
      <c r="BA410" s="923"/>
    </row>
    <row r="411" spans="5:53">
      <c r="E411" s="277"/>
      <c r="F411" s="273"/>
      <c r="G411" s="273"/>
      <c r="H411" s="273"/>
      <c r="I411" s="273"/>
      <c r="J411" s="273"/>
      <c r="K411" s="273"/>
      <c r="L411" s="273"/>
      <c r="M411" s="273"/>
      <c r="N411" s="224"/>
      <c r="O411" s="273"/>
      <c r="P411" s="273"/>
      <c r="Q411" s="273"/>
      <c r="R411" s="273"/>
      <c r="S411" s="273"/>
      <c r="T411" s="273"/>
      <c r="U411" s="273"/>
      <c r="V411" s="273"/>
      <c r="W411" s="273"/>
      <c r="X411" s="273"/>
      <c r="Y411" s="273"/>
      <c r="Z411" s="273"/>
      <c r="AA411" s="224"/>
      <c r="AB411" s="273"/>
      <c r="AC411" s="273"/>
      <c r="AD411" s="273"/>
      <c r="AE411" s="273"/>
      <c r="AF411" s="273"/>
      <c r="AG411" s="273"/>
      <c r="AH411" s="273"/>
      <c r="AI411" s="273"/>
      <c r="AJ411" s="273"/>
      <c r="AK411" s="273"/>
      <c r="AL411" s="273"/>
      <c r="AM411" s="273"/>
      <c r="AN411" s="224"/>
      <c r="AO411" s="273"/>
      <c r="AP411" s="273"/>
      <c r="AQ411" s="273"/>
      <c r="AR411" s="273"/>
      <c r="AS411" s="273"/>
      <c r="AT411" s="273"/>
      <c r="AU411" s="273"/>
      <c r="AV411" s="273"/>
      <c r="AW411" s="273"/>
      <c r="AX411" s="273"/>
      <c r="AY411" s="273"/>
      <c r="AZ411" s="923"/>
      <c r="BA411" s="923"/>
    </row>
    <row r="412" spans="5:53">
      <c r="E412" s="277"/>
      <c r="F412" s="273"/>
      <c r="G412" s="273"/>
      <c r="H412" s="273"/>
      <c r="I412" s="273"/>
      <c r="J412" s="273"/>
      <c r="K412" s="273"/>
      <c r="L412" s="273"/>
      <c r="M412" s="273"/>
      <c r="N412" s="224"/>
      <c r="O412" s="273"/>
      <c r="P412" s="273"/>
      <c r="Q412" s="273"/>
      <c r="R412" s="273"/>
      <c r="S412" s="273"/>
      <c r="T412" s="273"/>
      <c r="U412" s="273"/>
      <c r="V412" s="273"/>
      <c r="W412" s="273"/>
      <c r="X412" s="273"/>
      <c r="Y412" s="273"/>
      <c r="Z412" s="273"/>
      <c r="AA412" s="224"/>
      <c r="AB412" s="273"/>
      <c r="AC412" s="273"/>
      <c r="AD412" s="273"/>
      <c r="AE412" s="273"/>
      <c r="AF412" s="273"/>
      <c r="AG412" s="273"/>
      <c r="AH412" s="273"/>
      <c r="AI412" s="273"/>
      <c r="AJ412" s="273"/>
      <c r="AK412" s="273"/>
      <c r="AL412" s="273"/>
      <c r="AM412" s="273"/>
      <c r="AN412" s="224"/>
      <c r="AO412" s="273"/>
      <c r="AP412" s="273"/>
      <c r="AQ412" s="273"/>
      <c r="AR412" s="273"/>
      <c r="AS412" s="273"/>
      <c r="AT412" s="273"/>
      <c r="AU412" s="273"/>
      <c r="AV412" s="273"/>
      <c r="AW412" s="273"/>
      <c r="AX412" s="273"/>
      <c r="AY412" s="273"/>
      <c r="AZ412" s="923"/>
      <c r="BA412" s="923"/>
    </row>
    <row r="413" spans="5:53">
      <c r="E413" s="277"/>
      <c r="F413" s="273"/>
      <c r="G413" s="273"/>
      <c r="H413" s="273"/>
      <c r="I413" s="273"/>
      <c r="J413" s="273"/>
      <c r="K413" s="273"/>
      <c r="L413" s="273"/>
      <c r="M413" s="273"/>
      <c r="N413" s="224"/>
      <c r="O413" s="273"/>
      <c r="P413" s="273"/>
      <c r="Q413" s="273"/>
      <c r="R413" s="273"/>
      <c r="S413" s="273"/>
      <c r="T413" s="273"/>
      <c r="U413" s="273"/>
      <c r="V413" s="273"/>
      <c r="W413" s="273"/>
      <c r="X413" s="273"/>
      <c r="Y413" s="273"/>
      <c r="Z413" s="273"/>
      <c r="AA413" s="224"/>
      <c r="AB413" s="273"/>
      <c r="AC413" s="273"/>
      <c r="AD413" s="273"/>
      <c r="AE413" s="273"/>
      <c r="AF413" s="273"/>
      <c r="AG413" s="273"/>
      <c r="AH413" s="273"/>
      <c r="AI413" s="273"/>
      <c r="AJ413" s="273"/>
      <c r="AK413" s="273"/>
      <c r="AL413" s="273"/>
      <c r="AM413" s="273"/>
      <c r="AN413" s="224"/>
      <c r="AO413" s="273"/>
      <c r="AP413" s="273"/>
      <c r="AQ413" s="273"/>
      <c r="AR413" s="273"/>
      <c r="AS413" s="273"/>
      <c r="AT413" s="273"/>
      <c r="AU413" s="273"/>
      <c r="AV413" s="273"/>
      <c r="AW413" s="273"/>
      <c r="AX413" s="273"/>
      <c r="AY413" s="273"/>
      <c r="AZ413" s="923"/>
      <c r="BA413" s="923"/>
    </row>
    <row r="414" spans="5:53">
      <c r="E414" s="277"/>
      <c r="F414" s="273"/>
      <c r="G414" s="273"/>
      <c r="H414" s="273"/>
      <c r="I414" s="273"/>
      <c r="J414" s="273"/>
      <c r="K414" s="273"/>
      <c r="L414" s="273"/>
      <c r="M414" s="273"/>
      <c r="N414" s="224"/>
      <c r="O414" s="273"/>
      <c r="P414" s="273"/>
      <c r="Q414" s="273"/>
      <c r="R414" s="273"/>
      <c r="S414" s="273"/>
      <c r="T414" s="273"/>
      <c r="U414" s="273"/>
      <c r="V414" s="273"/>
      <c r="W414" s="273"/>
      <c r="X414" s="273"/>
      <c r="Y414" s="273"/>
      <c r="Z414" s="273"/>
      <c r="AA414" s="224"/>
      <c r="AB414" s="273"/>
      <c r="AC414" s="273"/>
      <c r="AD414" s="273"/>
      <c r="AE414" s="273"/>
      <c r="AF414" s="273"/>
      <c r="AG414" s="273"/>
      <c r="AH414" s="273"/>
      <c r="AI414" s="273"/>
      <c r="AJ414" s="273"/>
      <c r="AK414" s="273"/>
      <c r="AL414" s="273"/>
      <c r="AM414" s="273"/>
      <c r="AN414" s="224"/>
      <c r="AO414" s="273"/>
      <c r="AP414" s="273"/>
      <c r="AQ414" s="273"/>
      <c r="AR414" s="273"/>
      <c r="AS414" s="273"/>
      <c r="AT414" s="273"/>
      <c r="AU414" s="273"/>
      <c r="AV414" s="273"/>
      <c r="AW414" s="273"/>
      <c r="AX414" s="273"/>
      <c r="AY414" s="273"/>
      <c r="AZ414" s="923"/>
      <c r="BA414" s="923"/>
    </row>
    <row r="415" spans="5:53">
      <c r="E415" s="277"/>
      <c r="F415" s="273"/>
      <c r="G415" s="273"/>
      <c r="H415" s="273"/>
      <c r="I415" s="273"/>
      <c r="J415" s="273"/>
      <c r="K415" s="273"/>
      <c r="L415" s="273"/>
      <c r="M415" s="273"/>
      <c r="N415" s="224"/>
      <c r="O415" s="273"/>
      <c r="P415" s="273"/>
      <c r="Q415" s="273"/>
      <c r="R415" s="273"/>
      <c r="S415" s="273"/>
      <c r="T415" s="273"/>
      <c r="U415" s="273"/>
      <c r="V415" s="273"/>
      <c r="W415" s="273"/>
      <c r="X415" s="273"/>
      <c r="Y415" s="273"/>
      <c r="Z415" s="273"/>
      <c r="AA415" s="224"/>
      <c r="AB415" s="273"/>
      <c r="AC415" s="273"/>
      <c r="AD415" s="273"/>
      <c r="AE415" s="273"/>
      <c r="AF415" s="273"/>
      <c r="AG415" s="273"/>
      <c r="AH415" s="273"/>
      <c r="AI415" s="273"/>
      <c r="AJ415" s="273"/>
      <c r="AK415" s="273"/>
      <c r="AL415" s="273"/>
      <c r="AM415" s="273"/>
      <c r="AN415" s="224"/>
      <c r="AO415" s="273"/>
      <c r="AP415" s="273"/>
      <c r="AQ415" s="273"/>
      <c r="AR415" s="273"/>
      <c r="AS415" s="273"/>
      <c r="AT415" s="273"/>
      <c r="AU415" s="273"/>
      <c r="AV415" s="273"/>
      <c r="AW415" s="273"/>
      <c r="AX415" s="273"/>
      <c r="AY415" s="273"/>
      <c r="AZ415" s="923"/>
      <c r="BA415" s="923"/>
    </row>
    <row r="416" spans="5:53">
      <c r="E416" s="277"/>
      <c r="F416" s="273"/>
      <c r="G416" s="273"/>
      <c r="H416" s="273"/>
      <c r="I416" s="273"/>
      <c r="J416" s="273"/>
      <c r="K416" s="273"/>
      <c r="L416" s="273"/>
      <c r="M416" s="273"/>
      <c r="N416" s="224"/>
      <c r="O416" s="273"/>
      <c r="P416" s="273"/>
      <c r="Q416" s="273"/>
      <c r="R416" s="273"/>
      <c r="S416" s="273"/>
      <c r="T416" s="273"/>
      <c r="U416" s="273"/>
      <c r="V416" s="273"/>
      <c r="W416" s="273"/>
      <c r="X416" s="273"/>
      <c r="Y416" s="273"/>
      <c r="Z416" s="273"/>
      <c r="AA416" s="224"/>
      <c r="AB416" s="273"/>
      <c r="AC416" s="273"/>
      <c r="AD416" s="273"/>
      <c r="AE416" s="273"/>
      <c r="AF416" s="273"/>
      <c r="AG416" s="273"/>
      <c r="AH416" s="273"/>
      <c r="AI416" s="273"/>
      <c r="AJ416" s="273"/>
      <c r="AK416" s="273"/>
      <c r="AL416" s="273"/>
      <c r="AM416" s="273"/>
      <c r="AN416" s="224"/>
      <c r="AO416" s="273"/>
      <c r="AP416" s="273"/>
      <c r="AQ416" s="273"/>
      <c r="AR416" s="273"/>
      <c r="AS416" s="273"/>
      <c r="AT416" s="273"/>
      <c r="AU416" s="273"/>
      <c r="AV416" s="273"/>
      <c r="AW416" s="273"/>
      <c r="AX416" s="273"/>
      <c r="AY416" s="273"/>
      <c r="AZ416" s="923"/>
      <c r="BA416" s="923"/>
    </row>
    <row r="417" spans="1:53">
      <c r="E417" s="277"/>
      <c r="F417" s="273"/>
      <c r="G417" s="273"/>
      <c r="H417" s="273"/>
      <c r="I417" s="273"/>
      <c r="J417" s="273"/>
      <c r="K417" s="273"/>
      <c r="L417" s="273"/>
      <c r="M417" s="273"/>
      <c r="N417" s="224"/>
      <c r="O417" s="273"/>
      <c r="P417" s="273"/>
      <c r="Q417" s="273"/>
      <c r="R417" s="273"/>
      <c r="S417" s="273"/>
      <c r="T417" s="273"/>
      <c r="U417" s="273"/>
      <c r="V417" s="273"/>
      <c r="W417" s="273"/>
      <c r="X417" s="273"/>
      <c r="Y417" s="273"/>
      <c r="Z417" s="273"/>
      <c r="AA417" s="224"/>
      <c r="AB417" s="273"/>
      <c r="AC417" s="273"/>
      <c r="AD417" s="273"/>
      <c r="AE417" s="273"/>
      <c r="AF417" s="273"/>
      <c r="AG417" s="273"/>
      <c r="AH417" s="273"/>
      <c r="AI417" s="273"/>
      <c r="AJ417" s="273"/>
      <c r="AK417" s="273"/>
      <c r="AL417" s="273"/>
      <c r="AM417" s="273"/>
      <c r="AN417" s="224"/>
      <c r="AO417" s="273"/>
      <c r="AP417" s="273"/>
      <c r="AQ417" s="273"/>
      <c r="AR417" s="273"/>
      <c r="AS417" s="273"/>
      <c r="AT417" s="273"/>
      <c r="AU417" s="273"/>
      <c r="AV417" s="273"/>
      <c r="AW417" s="273"/>
      <c r="AX417" s="273"/>
      <c r="AY417" s="273"/>
      <c r="AZ417" s="923"/>
      <c r="BA417" s="923"/>
    </row>
    <row r="418" spans="1:53">
      <c r="E418" s="277"/>
      <c r="F418" s="273"/>
      <c r="G418" s="273"/>
      <c r="H418" s="273"/>
      <c r="I418" s="273"/>
      <c r="J418" s="273"/>
      <c r="K418" s="273"/>
      <c r="L418" s="273"/>
      <c r="M418" s="273"/>
      <c r="N418" s="224"/>
      <c r="O418" s="273"/>
      <c r="P418" s="273"/>
      <c r="Q418" s="273"/>
      <c r="R418" s="273"/>
      <c r="S418" s="273"/>
      <c r="T418" s="273"/>
      <c r="U418" s="273"/>
      <c r="V418" s="273"/>
      <c r="W418" s="273"/>
      <c r="X418" s="273"/>
      <c r="Y418" s="273"/>
      <c r="Z418" s="273"/>
      <c r="AA418" s="224"/>
      <c r="AB418" s="273"/>
      <c r="AC418" s="273"/>
      <c r="AD418" s="273"/>
      <c r="AE418" s="273"/>
      <c r="AF418" s="273"/>
      <c r="AG418" s="273"/>
      <c r="AH418" s="273"/>
      <c r="AI418" s="273"/>
      <c r="AJ418" s="273"/>
      <c r="AK418" s="273"/>
      <c r="AL418" s="273"/>
      <c r="AM418" s="273"/>
      <c r="AN418" s="224"/>
      <c r="AO418" s="273"/>
      <c r="AP418" s="273"/>
      <c r="AQ418" s="273"/>
      <c r="AR418" s="273"/>
      <c r="AS418" s="273"/>
      <c r="AT418" s="273"/>
      <c r="AU418" s="273"/>
      <c r="AV418" s="273"/>
      <c r="AW418" s="273"/>
      <c r="AX418" s="273"/>
      <c r="AY418" s="273"/>
      <c r="AZ418" s="923"/>
      <c r="BA418" s="923"/>
    </row>
    <row r="419" spans="1:53">
      <c r="E419" s="277"/>
      <c r="F419" s="273"/>
      <c r="G419" s="273"/>
      <c r="H419" s="273"/>
      <c r="I419" s="273"/>
      <c r="J419" s="273"/>
      <c r="K419" s="273"/>
      <c r="L419" s="273"/>
      <c r="M419" s="273"/>
      <c r="N419" s="224"/>
      <c r="O419" s="273"/>
      <c r="P419" s="273"/>
      <c r="Q419" s="273"/>
      <c r="R419" s="273"/>
      <c r="S419" s="273"/>
      <c r="T419" s="273"/>
      <c r="U419" s="273"/>
      <c r="V419" s="273"/>
      <c r="W419" s="273"/>
      <c r="X419" s="273"/>
      <c r="Y419" s="273"/>
      <c r="Z419" s="273"/>
      <c r="AA419" s="224"/>
      <c r="AB419" s="273"/>
      <c r="AC419" s="273"/>
      <c r="AD419" s="273"/>
      <c r="AE419" s="273"/>
      <c r="AF419" s="273"/>
      <c r="AG419" s="273"/>
      <c r="AH419" s="273"/>
      <c r="AI419" s="273"/>
      <c r="AJ419" s="273"/>
      <c r="AK419" s="273"/>
      <c r="AL419" s="273"/>
      <c r="AM419" s="273"/>
      <c r="AN419" s="224"/>
      <c r="AO419" s="273"/>
      <c r="AP419" s="273"/>
      <c r="AQ419" s="273"/>
      <c r="AR419" s="273"/>
      <c r="AS419" s="273"/>
      <c r="AT419" s="273"/>
      <c r="AU419" s="273"/>
      <c r="AV419" s="273"/>
      <c r="AW419" s="273"/>
      <c r="AX419" s="273"/>
      <c r="AY419" s="273"/>
      <c r="AZ419" s="923"/>
      <c r="BA419" s="923"/>
    </row>
    <row r="420" spans="1:53">
      <c r="E420" s="277"/>
      <c r="F420" s="273"/>
      <c r="G420" s="273"/>
      <c r="H420" s="273"/>
      <c r="I420" s="273"/>
      <c r="J420" s="273"/>
      <c r="K420" s="273"/>
      <c r="L420" s="273"/>
      <c r="M420" s="273"/>
      <c r="N420" s="224"/>
      <c r="O420" s="273"/>
      <c r="P420" s="273"/>
      <c r="Q420" s="273"/>
      <c r="R420" s="273"/>
      <c r="S420" s="273"/>
      <c r="T420" s="273"/>
      <c r="U420" s="273"/>
      <c r="V420" s="273"/>
      <c r="W420" s="273"/>
      <c r="X420" s="273"/>
      <c r="Y420" s="273"/>
      <c r="Z420" s="273"/>
      <c r="AA420" s="224"/>
      <c r="AB420" s="273"/>
      <c r="AC420" s="273"/>
      <c r="AD420" s="273"/>
      <c r="AE420" s="273"/>
      <c r="AF420" s="273"/>
      <c r="AG420" s="273"/>
      <c r="AH420" s="273"/>
      <c r="AI420" s="273"/>
      <c r="AJ420" s="273"/>
      <c r="AK420" s="273"/>
      <c r="AL420" s="273"/>
      <c r="AM420" s="273"/>
      <c r="AN420" s="224"/>
      <c r="AO420" s="273"/>
      <c r="AP420" s="273"/>
      <c r="AQ420" s="273"/>
      <c r="AR420" s="273"/>
      <c r="AS420" s="273"/>
      <c r="AT420" s="273"/>
      <c r="AU420" s="273"/>
      <c r="AV420" s="273"/>
      <c r="AW420" s="273"/>
      <c r="AX420" s="273"/>
      <c r="AY420" s="273"/>
      <c r="AZ420" s="923"/>
      <c r="BA420" s="923"/>
    </row>
    <row r="421" spans="1:53">
      <c r="E421" s="277"/>
      <c r="F421" s="273"/>
      <c r="G421" s="273"/>
      <c r="H421" s="273"/>
      <c r="I421" s="273"/>
      <c r="J421" s="273"/>
      <c r="K421" s="273"/>
      <c r="L421" s="273"/>
      <c r="M421" s="273"/>
      <c r="N421" s="224"/>
      <c r="O421" s="273"/>
      <c r="P421" s="273"/>
      <c r="Q421" s="273"/>
      <c r="R421" s="273"/>
      <c r="S421" s="273"/>
      <c r="T421" s="273"/>
      <c r="U421" s="273"/>
      <c r="V421" s="273"/>
      <c r="W421" s="273"/>
      <c r="X421" s="273"/>
      <c r="Y421" s="273"/>
      <c r="Z421" s="273"/>
      <c r="AA421" s="224"/>
      <c r="AB421" s="273"/>
      <c r="AC421" s="273"/>
      <c r="AD421" s="273"/>
      <c r="AE421" s="273"/>
      <c r="AF421" s="273"/>
      <c r="AG421" s="273"/>
      <c r="AH421" s="273"/>
      <c r="AI421" s="273"/>
      <c r="AJ421" s="273"/>
      <c r="AK421" s="273"/>
      <c r="AL421" s="273"/>
      <c r="AM421" s="273"/>
      <c r="AN421" s="224"/>
      <c r="AO421" s="273"/>
      <c r="AP421" s="273"/>
      <c r="AQ421" s="273"/>
      <c r="AR421" s="273"/>
      <c r="AS421" s="273"/>
      <c r="AT421" s="273"/>
      <c r="AU421" s="273"/>
      <c r="AV421" s="273"/>
      <c r="AW421" s="273"/>
      <c r="AX421" s="273"/>
      <c r="AY421" s="273"/>
      <c r="AZ421" s="923"/>
      <c r="BA421" s="923"/>
    </row>
    <row r="422" spans="1:53">
      <c r="E422" s="277"/>
      <c r="F422" s="273"/>
      <c r="G422" s="273"/>
      <c r="H422" s="273"/>
      <c r="I422" s="273"/>
      <c r="J422" s="273"/>
      <c r="K422" s="273"/>
      <c r="L422" s="273"/>
      <c r="M422" s="273"/>
      <c r="N422" s="224"/>
      <c r="O422" s="273"/>
      <c r="P422" s="273"/>
      <c r="Q422" s="273"/>
      <c r="R422" s="273"/>
      <c r="S422" s="273"/>
      <c r="T422" s="273"/>
      <c r="U422" s="273"/>
      <c r="V422" s="273"/>
      <c r="W422" s="273"/>
      <c r="X422" s="273"/>
      <c r="Y422" s="273"/>
      <c r="Z422" s="273"/>
      <c r="AA422" s="224"/>
      <c r="AB422" s="273"/>
      <c r="AC422" s="273"/>
      <c r="AD422" s="273"/>
      <c r="AE422" s="273"/>
      <c r="AF422" s="273"/>
      <c r="AG422" s="273"/>
      <c r="AH422" s="273"/>
      <c r="AI422" s="273"/>
      <c r="AJ422" s="273"/>
      <c r="AK422" s="273"/>
      <c r="AL422" s="273"/>
      <c r="AM422" s="273"/>
      <c r="AN422" s="224"/>
      <c r="AO422" s="273"/>
      <c r="AP422" s="273"/>
      <c r="AQ422" s="273"/>
      <c r="AR422" s="273"/>
      <c r="AS422" s="273"/>
      <c r="AT422" s="273"/>
      <c r="AU422" s="273"/>
      <c r="AV422" s="273"/>
      <c r="AW422" s="273"/>
      <c r="AX422" s="273"/>
      <c r="AY422" s="273"/>
      <c r="AZ422" s="923"/>
      <c r="BA422" s="923"/>
    </row>
    <row r="423" spans="1:53">
      <c r="E423" s="277"/>
      <c r="F423" s="273"/>
      <c r="G423" s="273"/>
      <c r="H423" s="273"/>
      <c r="I423" s="273"/>
      <c r="J423" s="273"/>
      <c r="K423" s="273"/>
      <c r="L423" s="273"/>
      <c r="M423" s="273"/>
      <c r="N423" s="224"/>
      <c r="O423" s="273"/>
      <c r="P423" s="273"/>
      <c r="Q423" s="273"/>
      <c r="R423" s="273"/>
      <c r="S423" s="273"/>
      <c r="T423" s="273"/>
      <c r="U423" s="273"/>
      <c r="V423" s="273"/>
      <c r="W423" s="273"/>
      <c r="X423" s="273"/>
      <c r="Y423" s="273"/>
      <c r="Z423" s="273"/>
      <c r="AA423" s="224"/>
      <c r="AB423" s="273"/>
      <c r="AC423" s="273"/>
      <c r="AD423" s="273"/>
      <c r="AE423" s="273"/>
      <c r="AF423" s="273"/>
      <c r="AG423" s="273"/>
      <c r="AH423" s="273"/>
      <c r="AI423" s="273"/>
      <c r="AJ423" s="273"/>
      <c r="AK423" s="273"/>
      <c r="AL423" s="273"/>
      <c r="AM423" s="273"/>
      <c r="AN423" s="224"/>
      <c r="AO423" s="273"/>
      <c r="AP423" s="273"/>
      <c r="AQ423" s="273"/>
      <c r="AR423" s="273"/>
      <c r="AS423" s="273"/>
      <c r="AT423" s="273"/>
      <c r="AU423" s="273"/>
      <c r="AV423" s="273"/>
      <c r="AW423" s="273"/>
      <c r="AX423" s="273"/>
      <c r="AY423" s="273"/>
      <c r="AZ423" s="923"/>
      <c r="BA423" s="923"/>
    </row>
    <row r="424" spans="1:53">
      <c r="E424" s="277"/>
      <c r="F424" s="273"/>
      <c r="G424" s="273"/>
      <c r="H424" s="273"/>
      <c r="I424" s="273"/>
      <c r="J424" s="273"/>
      <c r="K424" s="273"/>
      <c r="L424" s="273"/>
      <c r="M424" s="273"/>
      <c r="N424" s="224"/>
      <c r="O424" s="273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  <c r="AA424" s="224"/>
      <c r="AB424" s="273"/>
      <c r="AC424" s="273"/>
      <c r="AD424" s="273"/>
      <c r="AE424" s="273"/>
      <c r="AF424" s="273"/>
      <c r="AG424" s="273"/>
      <c r="AH424" s="273"/>
      <c r="AI424" s="273"/>
      <c r="AJ424" s="273"/>
      <c r="AK424" s="273"/>
      <c r="AL424" s="273"/>
      <c r="AM424" s="273"/>
      <c r="AN424" s="224"/>
      <c r="AO424" s="273"/>
      <c r="AP424" s="273"/>
      <c r="AQ424" s="273"/>
      <c r="AR424" s="273"/>
      <c r="AS424" s="273"/>
      <c r="AT424" s="273"/>
      <c r="AU424" s="273"/>
      <c r="AV424" s="273"/>
      <c r="AW424" s="273"/>
      <c r="AX424" s="273"/>
      <c r="AY424" s="273"/>
      <c r="AZ424" s="923"/>
      <c r="BA424" s="923"/>
    </row>
    <row r="425" spans="1:53">
      <c r="E425" s="277"/>
      <c r="F425" s="273"/>
      <c r="G425" s="273"/>
      <c r="H425" s="273"/>
      <c r="I425" s="273"/>
      <c r="J425" s="273"/>
      <c r="K425" s="273"/>
      <c r="L425" s="273"/>
      <c r="M425" s="273"/>
      <c r="N425" s="224"/>
      <c r="O425" s="273"/>
      <c r="P425" s="273"/>
      <c r="Q425" s="273"/>
      <c r="R425" s="273"/>
      <c r="S425" s="273"/>
      <c r="T425" s="273"/>
      <c r="U425" s="273"/>
      <c r="V425" s="273"/>
      <c r="W425" s="273"/>
      <c r="X425" s="273"/>
      <c r="Y425" s="273"/>
      <c r="Z425" s="273"/>
      <c r="AA425" s="224"/>
      <c r="AB425" s="273"/>
      <c r="AC425" s="273"/>
      <c r="AD425" s="273"/>
      <c r="AE425" s="273"/>
      <c r="AF425" s="273"/>
      <c r="AG425" s="273"/>
      <c r="AH425" s="273"/>
      <c r="AI425" s="273"/>
      <c r="AJ425" s="273"/>
      <c r="AK425" s="273"/>
      <c r="AL425" s="273"/>
      <c r="AM425" s="273"/>
      <c r="AN425" s="224"/>
      <c r="AO425" s="273"/>
      <c r="AP425" s="273"/>
      <c r="AQ425" s="273"/>
      <c r="AR425" s="273"/>
      <c r="AS425" s="273"/>
      <c r="AT425" s="273"/>
      <c r="AU425" s="273"/>
      <c r="AV425" s="273"/>
      <c r="AW425" s="273"/>
      <c r="AX425" s="273"/>
      <c r="AY425" s="273"/>
      <c r="AZ425" s="923"/>
      <c r="BA425" s="923"/>
    </row>
    <row r="426" spans="1:53">
      <c r="E426" s="277"/>
      <c r="F426" s="273"/>
      <c r="G426" s="273"/>
      <c r="H426" s="273"/>
      <c r="I426" s="273"/>
      <c r="J426" s="273"/>
      <c r="K426" s="273"/>
      <c r="L426" s="273"/>
      <c r="M426" s="273"/>
      <c r="N426" s="224"/>
      <c r="O426" s="273"/>
      <c r="P426" s="273"/>
      <c r="Q426" s="273"/>
      <c r="R426" s="273"/>
      <c r="S426" s="273"/>
      <c r="T426" s="273"/>
      <c r="U426" s="273"/>
      <c r="V426" s="273"/>
      <c r="W426" s="273"/>
      <c r="X426" s="273"/>
      <c r="Y426" s="273"/>
      <c r="Z426" s="273"/>
      <c r="AA426" s="224"/>
      <c r="AB426" s="273"/>
      <c r="AC426" s="273"/>
      <c r="AD426" s="273"/>
      <c r="AE426" s="273"/>
      <c r="AF426" s="273"/>
      <c r="AG426" s="273"/>
      <c r="AH426" s="273"/>
      <c r="AI426" s="273"/>
      <c r="AJ426" s="273"/>
      <c r="AK426" s="273"/>
      <c r="AL426" s="273"/>
      <c r="AM426" s="273"/>
      <c r="AN426" s="224"/>
      <c r="AO426" s="273"/>
      <c r="AP426" s="273"/>
      <c r="AQ426" s="273"/>
      <c r="AR426" s="273"/>
      <c r="AS426" s="273"/>
      <c r="AT426" s="273"/>
      <c r="AU426" s="273"/>
      <c r="AV426" s="273"/>
      <c r="AW426" s="273"/>
      <c r="AX426" s="273"/>
      <c r="AY426" s="273"/>
      <c r="AZ426" s="923"/>
      <c r="BA426" s="923"/>
    </row>
    <row r="427" spans="1:53">
      <c r="E427" s="277"/>
      <c r="F427" s="273"/>
      <c r="G427" s="273"/>
      <c r="H427" s="273"/>
      <c r="I427" s="273"/>
      <c r="J427" s="273"/>
      <c r="K427" s="273"/>
      <c r="L427" s="273"/>
      <c r="M427" s="273"/>
      <c r="N427" s="224"/>
      <c r="O427" s="273"/>
      <c r="P427" s="273"/>
      <c r="Q427" s="273"/>
      <c r="R427" s="273"/>
      <c r="S427" s="273"/>
      <c r="T427" s="273"/>
      <c r="U427" s="273"/>
      <c r="V427" s="273"/>
      <c r="W427" s="273"/>
      <c r="X427" s="273"/>
      <c r="Y427" s="273"/>
      <c r="Z427" s="273"/>
      <c r="AA427" s="224"/>
      <c r="AB427" s="273"/>
      <c r="AC427" s="273"/>
      <c r="AD427" s="273"/>
      <c r="AE427" s="273"/>
      <c r="AF427" s="273"/>
      <c r="AG427" s="273"/>
      <c r="AH427" s="273"/>
      <c r="AI427" s="273"/>
      <c r="AJ427" s="273"/>
      <c r="AK427" s="273"/>
      <c r="AL427" s="273"/>
      <c r="AM427" s="273"/>
      <c r="AN427" s="224"/>
      <c r="AO427" s="273"/>
      <c r="AP427" s="273"/>
      <c r="AQ427" s="273"/>
      <c r="AR427" s="273"/>
      <c r="AS427" s="273"/>
      <c r="AT427" s="273"/>
      <c r="AU427" s="273"/>
      <c r="AV427" s="273"/>
      <c r="AW427" s="273"/>
      <c r="AX427" s="273"/>
      <c r="AY427" s="273"/>
      <c r="AZ427" s="923"/>
      <c r="BA427" s="923"/>
    </row>
    <row r="428" spans="1:53">
      <c r="E428" s="277"/>
      <c r="F428" s="273"/>
      <c r="G428" s="273"/>
      <c r="H428" s="273"/>
      <c r="I428" s="273"/>
      <c r="J428" s="273"/>
      <c r="K428" s="273"/>
      <c r="L428" s="273"/>
      <c r="M428" s="273"/>
      <c r="N428" s="224"/>
      <c r="O428" s="273"/>
      <c r="P428" s="273"/>
      <c r="Q428" s="273"/>
      <c r="R428" s="273"/>
      <c r="S428" s="273"/>
      <c r="T428" s="273"/>
      <c r="U428" s="273"/>
      <c r="V428" s="273"/>
      <c r="W428" s="273"/>
      <c r="X428" s="273"/>
      <c r="Y428" s="273"/>
      <c r="Z428" s="273"/>
      <c r="AA428" s="224"/>
      <c r="AB428" s="273"/>
      <c r="AC428" s="273"/>
      <c r="AD428" s="273"/>
      <c r="AE428" s="273"/>
      <c r="AF428" s="273"/>
      <c r="AG428" s="273"/>
      <c r="AH428" s="273"/>
      <c r="AI428" s="273"/>
      <c r="AJ428" s="273"/>
      <c r="AK428" s="273"/>
      <c r="AL428" s="273"/>
      <c r="AM428" s="273"/>
      <c r="AN428" s="224"/>
      <c r="AO428" s="273"/>
      <c r="AP428" s="273"/>
      <c r="AQ428" s="273"/>
      <c r="AR428" s="273"/>
      <c r="AS428" s="273"/>
      <c r="AT428" s="273"/>
      <c r="AU428" s="273"/>
      <c r="AV428" s="273"/>
      <c r="AW428" s="273"/>
      <c r="AX428" s="273"/>
      <c r="AY428" s="273"/>
      <c r="AZ428" s="923"/>
      <c r="BA428" s="923"/>
    </row>
    <row r="429" spans="1:53">
      <c r="E429" s="277"/>
      <c r="F429" s="273"/>
      <c r="G429" s="273"/>
      <c r="H429" s="273"/>
      <c r="I429" s="273"/>
      <c r="J429" s="273"/>
      <c r="K429" s="273"/>
      <c r="L429" s="273"/>
      <c r="M429" s="273"/>
      <c r="N429" s="224"/>
      <c r="O429" s="273"/>
      <c r="P429" s="273"/>
      <c r="Q429" s="273"/>
      <c r="R429" s="273"/>
      <c r="S429" s="273"/>
      <c r="T429" s="273"/>
      <c r="U429" s="273"/>
      <c r="V429" s="273"/>
      <c r="W429" s="273"/>
      <c r="X429" s="273"/>
      <c r="Y429" s="273"/>
      <c r="Z429" s="273"/>
      <c r="AA429" s="224"/>
      <c r="AB429" s="273"/>
      <c r="AC429" s="273"/>
      <c r="AD429" s="273"/>
      <c r="AE429" s="273"/>
      <c r="AF429" s="273"/>
      <c r="AG429" s="273"/>
      <c r="AH429" s="273"/>
      <c r="AI429" s="273"/>
      <c r="AJ429" s="273"/>
      <c r="AK429" s="273"/>
      <c r="AL429" s="273"/>
      <c r="AM429" s="273"/>
      <c r="AN429" s="224"/>
      <c r="AO429" s="273"/>
      <c r="AP429" s="273"/>
      <c r="AQ429" s="273"/>
      <c r="AR429" s="273"/>
      <c r="AS429" s="273"/>
      <c r="AT429" s="273"/>
      <c r="AU429" s="273"/>
      <c r="AV429" s="273"/>
      <c r="AW429" s="273"/>
      <c r="AX429" s="273"/>
      <c r="AY429" s="273"/>
      <c r="AZ429" s="923"/>
      <c r="BA429" s="923"/>
    </row>
    <row r="430" spans="1:53">
      <c r="E430" s="277"/>
      <c r="F430" s="273"/>
      <c r="G430" s="273"/>
      <c r="H430" s="273"/>
      <c r="I430" s="273"/>
      <c r="J430" s="273"/>
      <c r="K430" s="273"/>
      <c r="L430" s="273"/>
      <c r="M430" s="273"/>
      <c r="N430" s="224"/>
      <c r="O430" s="273"/>
      <c r="P430" s="273"/>
      <c r="Q430" s="273"/>
      <c r="R430" s="273"/>
      <c r="S430" s="273"/>
      <c r="T430" s="273"/>
      <c r="U430" s="273"/>
      <c r="V430" s="273"/>
      <c r="W430" s="273"/>
      <c r="X430" s="273"/>
      <c r="Y430" s="273"/>
      <c r="Z430" s="273"/>
      <c r="AA430" s="224"/>
      <c r="AB430" s="273"/>
      <c r="AC430" s="273"/>
      <c r="AD430" s="273"/>
      <c r="AE430" s="273"/>
      <c r="AF430" s="273"/>
      <c r="AG430" s="273"/>
      <c r="AH430" s="273"/>
      <c r="AI430" s="273"/>
      <c r="AJ430" s="273"/>
      <c r="AK430" s="273"/>
      <c r="AL430" s="273"/>
      <c r="AM430" s="273"/>
      <c r="AN430" s="224"/>
      <c r="AO430" s="273"/>
      <c r="AP430" s="273"/>
      <c r="AQ430" s="273"/>
      <c r="AR430" s="273"/>
      <c r="AS430" s="273"/>
      <c r="AT430" s="273"/>
      <c r="AU430" s="273"/>
      <c r="AV430" s="273"/>
      <c r="AW430" s="273"/>
      <c r="AX430" s="273"/>
      <c r="AY430" s="273"/>
      <c r="AZ430" s="923"/>
      <c r="BA430" s="923"/>
    </row>
    <row r="431" spans="1:53">
      <c r="E431" s="277"/>
      <c r="F431" s="273"/>
      <c r="G431" s="273"/>
      <c r="H431" s="273"/>
      <c r="I431" s="273"/>
      <c r="J431" s="273"/>
      <c r="K431" s="273"/>
      <c r="L431" s="273"/>
      <c r="M431" s="273"/>
      <c r="N431" s="224"/>
      <c r="O431" s="273"/>
      <c r="P431" s="273"/>
      <c r="Q431" s="273"/>
      <c r="R431" s="273"/>
      <c r="S431" s="273"/>
      <c r="T431" s="273"/>
      <c r="U431" s="273"/>
      <c r="V431" s="273"/>
      <c r="W431" s="273"/>
      <c r="X431" s="273"/>
      <c r="Y431" s="273"/>
      <c r="Z431" s="273"/>
      <c r="AA431" s="224"/>
      <c r="AB431" s="273"/>
      <c r="AC431" s="273"/>
      <c r="AD431" s="273"/>
      <c r="AE431" s="273"/>
      <c r="AF431" s="273"/>
      <c r="AG431" s="273"/>
      <c r="AH431" s="273"/>
      <c r="AI431" s="273"/>
      <c r="AJ431" s="273"/>
      <c r="AK431" s="273"/>
      <c r="AL431" s="273"/>
      <c r="AM431" s="273"/>
      <c r="AN431" s="224"/>
      <c r="AO431" s="273"/>
      <c r="AP431" s="273"/>
      <c r="AQ431" s="273"/>
      <c r="AR431" s="273"/>
      <c r="AS431" s="273"/>
      <c r="AT431" s="273"/>
      <c r="AU431" s="273"/>
      <c r="AV431" s="273"/>
      <c r="AW431" s="273"/>
      <c r="AX431" s="273"/>
      <c r="AY431" s="273"/>
      <c r="AZ431" s="923"/>
      <c r="BA431" s="923"/>
    </row>
    <row r="432" spans="1:53" ht="18">
      <c r="A432" s="267" t="s">
        <v>817</v>
      </c>
      <c r="E432" s="277"/>
      <c r="F432" s="273"/>
      <c r="G432" s="273"/>
      <c r="H432" s="273"/>
      <c r="I432" s="273"/>
      <c r="J432" s="273"/>
      <c r="K432" s="273"/>
      <c r="L432" s="273"/>
      <c r="M432" s="273"/>
      <c r="N432" s="224"/>
      <c r="O432" s="273"/>
      <c r="P432" s="273"/>
      <c r="Q432" s="273"/>
      <c r="R432" s="273"/>
      <c r="S432" s="273"/>
      <c r="T432" s="273"/>
      <c r="U432" s="273"/>
      <c r="V432" s="273"/>
      <c r="W432" s="273"/>
      <c r="X432" s="273"/>
      <c r="Y432" s="273"/>
      <c r="Z432" s="273"/>
      <c r="AA432" s="224"/>
      <c r="AB432" s="273"/>
      <c r="AC432" s="273"/>
      <c r="AD432" s="273"/>
      <c r="AE432" s="273"/>
      <c r="AF432" s="273"/>
      <c r="AG432" s="273"/>
      <c r="AH432" s="273"/>
      <c r="AI432" s="273"/>
      <c r="AJ432" s="273"/>
      <c r="AK432" s="273"/>
      <c r="AL432" s="273"/>
      <c r="AM432" s="273"/>
      <c r="AN432" s="224"/>
      <c r="AO432" s="273"/>
      <c r="AP432" s="273"/>
      <c r="AQ432" s="273"/>
      <c r="AR432" s="273"/>
      <c r="AS432" s="273"/>
      <c r="AT432" s="273"/>
      <c r="AU432" s="273"/>
      <c r="AV432" s="273"/>
      <c r="AW432" s="273"/>
      <c r="AX432" s="273"/>
      <c r="AY432" s="273"/>
      <c r="AZ432" s="923"/>
      <c r="BA432" s="923"/>
    </row>
    <row r="433" spans="1:53">
      <c r="A433" s="874" t="s">
        <v>607</v>
      </c>
      <c r="B433" s="871" t="s">
        <v>1026</v>
      </c>
      <c r="E433" s="277"/>
      <c r="F433" s="273"/>
      <c r="G433" s="273"/>
      <c r="H433" s="273"/>
      <c r="I433" s="273"/>
      <c r="J433" s="273"/>
      <c r="K433" s="273"/>
      <c r="L433" s="273"/>
      <c r="M433" s="273"/>
      <c r="N433" s="224">
        <f t="shared" ref="N433:N444" si="169">SUM(E433:M433)</f>
        <v>0</v>
      </c>
      <c r="O433" s="273"/>
      <c r="P433" s="273"/>
      <c r="Q433" s="273"/>
      <c r="R433" s="273"/>
      <c r="S433" s="273"/>
      <c r="T433" s="273"/>
      <c r="U433" s="273"/>
      <c r="V433" s="273"/>
      <c r="W433" s="273"/>
      <c r="X433" s="273"/>
      <c r="Y433" s="273"/>
      <c r="Z433" s="273"/>
      <c r="AA433" s="224">
        <f>SUM(O433:Z433)</f>
        <v>0</v>
      </c>
      <c r="AB433" s="273"/>
      <c r="AC433" s="273"/>
      <c r="AD433" s="273"/>
      <c r="AE433" s="273"/>
      <c r="AF433" s="273"/>
      <c r="AG433" s="273"/>
      <c r="AH433" s="273"/>
      <c r="AI433" s="273"/>
      <c r="AJ433" s="273"/>
      <c r="AK433" s="273"/>
      <c r="AL433" s="273"/>
      <c r="AM433" s="273"/>
      <c r="AN433" s="224">
        <f>SUM(AB433:AM433)</f>
        <v>0</v>
      </c>
      <c r="AO433" s="273"/>
      <c r="AP433" s="273"/>
      <c r="AQ433" s="273"/>
      <c r="AR433" s="273"/>
      <c r="AS433" s="273"/>
      <c r="AT433" s="273"/>
      <c r="AU433" s="273"/>
      <c r="AV433" s="273"/>
      <c r="AW433" s="273"/>
      <c r="AX433" s="273"/>
      <c r="AY433" s="273"/>
      <c r="AZ433" s="923"/>
      <c r="BA433" s="923"/>
    </row>
    <row r="434" spans="1:53">
      <c r="A434" s="874" t="s">
        <v>818</v>
      </c>
      <c r="B434" s="871" t="s">
        <v>1027</v>
      </c>
      <c r="E434" s="277"/>
      <c r="F434" s="273"/>
      <c r="G434" s="273"/>
      <c r="H434" s="273"/>
      <c r="I434" s="273"/>
      <c r="J434" s="273"/>
      <c r="K434" s="273"/>
      <c r="L434" s="273"/>
      <c r="M434" s="273"/>
      <c r="N434" s="224">
        <f t="shared" si="169"/>
        <v>0</v>
      </c>
      <c r="O434" s="273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  <c r="AA434" s="224">
        <f t="shared" ref="AA434:AA495" si="170">SUM(O434:Z434)</f>
        <v>0</v>
      </c>
      <c r="AB434" s="273"/>
      <c r="AC434" s="273"/>
      <c r="AD434" s="273"/>
      <c r="AE434" s="273"/>
      <c r="AF434" s="273"/>
      <c r="AG434" s="273"/>
      <c r="AH434" s="273"/>
      <c r="AI434" s="273"/>
      <c r="AJ434" s="273"/>
      <c r="AK434" s="273"/>
      <c r="AL434" s="273"/>
      <c r="AM434" s="273"/>
      <c r="AN434" s="224">
        <f t="shared" ref="AN434:AN495" si="171">SUM(AB434:AM434)</f>
        <v>0</v>
      </c>
      <c r="AO434" s="273"/>
      <c r="AP434" s="273"/>
      <c r="AQ434" s="273"/>
      <c r="AR434" s="273"/>
      <c r="AS434" s="273"/>
      <c r="AT434" s="273"/>
      <c r="AU434" s="273"/>
      <c r="AV434" s="273"/>
      <c r="AW434" s="273"/>
      <c r="AX434" s="273"/>
      <c r="AY434" s="273"/>
      <c r="AZ434" s="923"/>
      <c r="BA434" s="923"/>
    </row>
    <row r="435" spans="1:53">
      <c r="A435" s="874" t="s">
        <v>607</v>
      </c>
      <c r="B435" s="871" t="s">
        <v>1026</v>
      </c>
      <c r="E435" s="277"/>
      <c r="F435" s="273"/>
      <c r="G435" s="273"/>
      <c r="H435" s="273"/>
      <c r="I435" s="273"/>
      <c r="J435" s="273"/>
      <c r="K435" s="273"/>
      <c r="L435" s="273"/>
      <c r="M435" s="273"/>
      <c r="N435" s="224">
        <f t="shared" si="169"/>
        <v>0</v>
      </c>
      <c r="O435" s="273"/>
      <c r="P435" s="273"/>
      <c r="Q435" s="273"/>
      <c r="R435" s="273"/>
      <c r="S435" s="273"/>
      <c r="T435" s="273"/>
      <c r="U435" s="273"/>
      <c r="V435" s="273"/>
      <c r="W435" s="273"/>
      <c r="X435" s="273"/>
      <c r="Y435" s="273"/>
      <c r="Z435" s="273"/>
      <c r="AA435" s="224">
        <f t="shared" si="170"/>
        <v>0</v>
      </c>
      <c r="AB435" s="273"/>
      <c r="AC435" s="273"/>
      <c r="AD435" s="273"/>
      <c r="AE435" s="273"/>
      <c r="AF435" s="273"/>
      <c r="AG435" s="273"/>
      <c r="AH435" s="273"/>
      <c r="AI435" s="273"/>
      <c r="AJ435" s="273"/>
      <c r="AK435" s="273"/>
      <c r="AL435" s="273"/>
      <c r="AM435" s="273"/>
      <c r="AN435" s="224">
        <f t="shared" si="171"/>
        <v>0</v>
      </c>
      <c r="AO435" s="273"/>
      <c r="AP435" s="273"/>
      <c r="AQ435" s="273"/>
      <c r="AR435" s="273"/>
      <c r="AS435" s="273"/>
      <c r="AT435" s="273"/>
      <c r="AU435" s="273"/>
      <c r="AV435" s="273"/>
      <c r="AW435" s="273"/>
      <c r="AX435" s="273"/>
      <c r="AY435" s="273"/>
      <c r="AZ435" s="923"/>
      <c r="BA435" s="923"/>
    </row>
    <row r="436" spans="1:53">
      <c r="A436" s="874" t="s">
        <v>818</v>
      </c>
      <c r="B436" s="871" t="s">
        <v>1028</v>
      </c>
      <c r="E436" s="277"/>
      <c r="F436" s="273"/>
      <c r="G436" s="273"/>
      <c r="H436" s="273"/>
      <c r="I436" s="273"/>
      <c r="J436" s="273"/>
      <c r="K436" s="273"/>
      <c r="L436" s="273"/>
      <c r="M436" s="273"/>
      <c r="N436" s="224">
        <f t="shared" si="169"/>
        <v>0</v>
      </c>
      <c r="O436" s="273"/>
      <c r="P436" s="273"/>
      <c r="Q436" s="273"/>
      <c r="R436" s="273"/>
      <c r="S436" s="273"/>
      <c r="T436" s="273"/>
      <c r="U436" s="273"/>
      <c r="V436" s="273"/>
      <c r="W436" s="273"/>
      <c r="X436" s="273"/>
      <c r="Y436" s="273"/>
      <c r="Z436" s="273"/>
      <c r="AA436" s="224">
        <f t="shared" si="170"/>
        <v>0</v>
      </c>
      <c r="AB436" s="273"/>
      <c r="AC436" s="273"/>
      <c r="AD436" s="273"/>
      <c r="AE436" s="273"/>
      <c r="AF436" s="273"/>
      <c r="AG436" s="273"/>
      <c r="AH436" s="273"/>
      <c r="AI436" s="273"/>
      <c r="AJ436" s="273"/>
      <c r="AK436" s="273"/>
      <c r="AL436" s="273"/>
      <c r="AM436" s="273"/>
      <c r="AN436" s="224">
        <f t="shared" si="171"/>
        <v>0</v>
      </c>
      <c r="AO436" s="273"/>
      <c r="AP436" s="273"/>
      <c r="AQ436" s="273"/>
      <c r="AR436" s="273"/>
      <c r="AS436" s="273"/>
      <c r="AT436" s="273"/>
      <c r="AU436" s="273"/>
      <c r="AV436" s="273"/>
      <c r="AW436" s="273"/>
      <c r="AX436" s="273"/>
      <c r="AY436" s="273"/>
      <c r="AZ436" s="923"/>
      <c r="BA436" s="923"/>
    </row>
    <row r="437" spans="1:53">
      <c r="A437" s="874" t="s">
        <v>607</v>
      </c>
      <c r="B437" s="871" t="s">
        <v>1026</v>
      </c>
      <c r="E437" s="277"/>
      <c r="F437" s="273"/>
      <c r="G437" s="273"/>
      <c r="H437" s="273"/>
      <c r="I437" s="273"/>
      <c r="J437" s="273"/>
      <c r="K437" s="273"/>
      <c r="L437" s="273"/>
      <c r="M437" s="273"/>
      <c r="N437" s="224">
        <f t="shared" si="169"/>
        <v>0</v>
      </c>
      <c r="O437" s="273"/>
      <c r="P437" s="273"/>
      <c r="Q437" s="273"/>
      <c r="R437" s="273"/>
      <c r="S437" s="273"/>
      <c r="T437" s="273"/>
      <c r="U437" s="273"/>
      <c r="V437" s="273"/>
      <c r="W437" s="273"/>
      <c r="X437" s="273"/>
      <c r="Y437" s="273"/>
      <c r="Z437" s="273"/>
      <c r="AA437" s="224">
        <f t="shared" si="170"/>
        <v>0</v>
      </c>
      <c r="AB437" s="273"/>
      <c r="AC437" s="273"/>
      <c r="AD437" s="273"/>
      <c r="AE437" s="273"/>
      <c r="AF437" s="273"/>
      <c r="AG437" s="273"/>
      <c r="AH437" s="273"/>
      <c r="AI437" s="273"/>
      <c r="AJ437" s="273"/>
      <c r="AK437" s="273"/>
      <c r="AL437" s="273"/>
      <c r="AM437" s="273"/>
      <c r="AN437" s="224">
        <f t="shared" si="171"/>
        <v>0</v>
      </c>
      <c r="AO437" s="273"/>
      <c r="AP437" s="273"/>
      <c r="AQ437" s="273"/>
      <c r="AR437" s="273"/>
      <c r="AS437" s="273"/>
      <c r="AT437" s="273"/>
      <c r="AU437" s="273"/>
      <c r="AV437" s="273"/>
      <c r="AW437" s="273"/>
      <c r="AX437" s="273"/>
      <c r="AY437" s="273"/>
      <c r="AZ437" s="923"/>
      <c r="BA437" s="923"/>
    </row>
    <row r="438" spans="1:53">
      <c r="A438" s="874" t="s">
        <v>818</v>
      </c>
      <c r="B438" s="871" t="s">
        <v>1028</v>
      </c>
      <c r="E438" s="277"/>
      <c r="F438" s="273"/>
      <c r="G438" s="273"/>
      <c r="H438" s="273"/>
      <c r="I438" s="273"/>
      <c r="J438" s="273"/>
      <c r="K438" s="273"/>
      <c r="L438" s="273"/>
      <c r="M438" s="273"/>
      <c r="N438" s="224">
        <f t="shared" si="169"/>
        <v>0</v>
      </c>
      <c r="O438" s="273"/>
      <c r="P438" s="273"/>
      <c r="Q438" s="273"/>
      <c r="R438" s="273"/>
      <c r="S438" s="273"/>
      <c r="T438" s="273"/>
      <c r="U438" s="273"/>
      <c r="V438" s="273"/>
      <c r="W438" s="273"/>
      <c r="X438" s="273"/>
      <c r="Y438" s="273"/>
      <c r="Z438" s="273"/>
      <c r="AA438" s="224">
        <f t="shared" si="170"/>
        <v>0</v>
      </c>
      <c r="AB438" s="273"/>
      <c r="AC438" s="273"/>
      <c r="AD438" s="273"/>
      <c r="AE438" s="273"/>
      <c r="AF438" s="273"/>
      <c r="AG438" s="273"/>
      <c r="AH438" s="273"/>
      <c r="AI438" s="273"/>
      <c r="AJ438" s="273"/>
      <c r="AK438" s="273"/>
      <c r="AL438" s="273"/>
      <c r="AM438" s="273"/>
      <c r="AN438" s="224">
        <f t="shared" si="171"/>
        <v>0</v>
      </c>
      <c r="AO438" s="273"/>
      <c r="AP438" s="273"/>
      <c r="AQ438" s="273"/>
      <c r="AR438" s="273"/>
      <c r="AS438" s="273"/>
      <c r="AT438" s="273"/>
      <c r="AU438" s="273"/>
      <c r="AV438" s="273"/>
      <c r="AW438" s="273"/>
      <c r="AX438" s="273"/>
      <c r="AY438" s="273"/>
      <c r="AZ438" s="923"/>
      <c r="BA438" s="923"/>
    </row>
    <row r="439" spans="1:53">
      <c r="A439" s="874" t="s">
        <v>607</v>
      </c>
      <c r="B439" s="871" t="s">
        <v>1026</v>
      </c>
      <c r="E439" s="277"/>
      <c r="F439" s="273"/>
      <c r="G439" s="273"/>
      <c r="H439" s="273"/>
      <c r="I439" s="273"/>
      <c r="J439" s="273"/>
      <c r="K439" s="273"/>
      <c r="L439" s="273"/>
      <c r="M439" s="273"/>
      <c r="N439" s="224">
        <f t="shared" si="169"/>
        <v>0</v>
      </c>
      <c r="O439" s="273"/>
      <c r="P439" s="273"/>
      <c r="Q439" s="273"/>
      <c r="R439" s="273"/>
      <c r="S439" s="273"/>
      <c r="T439" s="273"/>
      <c r="U439" s="273"/>
      <c r="V439" s="273"/>
      <c r="W439" s="273"/>
      <c r="X439" s="273"/>
      <c r="Y439" s="273"/>
      <c r="Z439" s="273"/>
      <c r="AA439" s="224">
        <f t="shared" si="170"/>
        <v>0</v>
      </c>
      <c r="AB439" s="273"/>
      <c r="AC439" s="273"/>
      <c r="AD439" s="273"/>
      <c r="AE439" s="273"/>
      <c r="AF439" s="273"/>
      <c r="AG439" s="273"/>
      <c r="AH439" s="273"/>
      <c r="AI439" s="273"/>
      <c r="AJ439" s="273"/>
      <c r="AK439" s="273"/>
      <c r="AL439" s="273"/>
      <c r="AM439" s="273"/>
      <c r="AN439" s="224">
        <f t="shared" si="171"/>
        <v>0</v>
      </c>
      <c r="AO439" s="273"/>
      <c r="AP439" s="273"/>
      <c r="AQ439" s="273"/>
      <c r="AR439" s="273"/>
      <c r="AS439" s="273"/>
      <c r="AT439" s="273"/>
      <c r="AU439" s="273"/>
      <c r="AV439" s="273"/>
      <c r="AW439" s="273"/>
      <c r="AX439" s="273"/>
      <c r="AY439" s="273"/>
      <c r="AZ439" s="923"/>
      <c r="BA439" s="923"/>
    </row>
    <row r="440" spans="1:53">
      <c r="A440" s="874" t="s">
        <v>818</v>
      </c>
      <c r="B440" s="871" t="s">
        <v>1027</v>
      </c>
      <c r="E440" s="277"/>
      <c r="F440" s="273"/>
      <c r="G440" s="273"/>
      <c r="H440" s="273"/>
      <c r="I440" s="273"/>
      <c r="J440" s="273"/>
      <c r="K440" s="273"/>
      <c r="L440" s="273"/>
      <c r="M440" s="273"/>
      <c r="N440" s="224">
        <f t="shared" si="169"/>
        <v>0</v>
      </c>
      <c r="O440" s="273"/>
      <c r="P440" s="273"/>
      <c r="Q440" s="273"/>
      <c r="R440" s="273"/>
      <c r="S440" s="273"/>
      <c r="T440" s="273"/>
      <c r="U440" s="273"/>
      <c r="V440" s="273"/>
      <c r="W440" s="273"/>
      <c r="X440" s="273"/>
      <c r="Y440" s="273"/>
      <c r="Z440" s="273"/>
      <c r="AA440" s="224">
        <f t="shared" si="170"/>
        <v>0</v>
      </c>
      <c r="AB440" s="273"/>
      <c r="AC440" s="273"/>
      <c r="AD440" s="273"/>
      <c r="AE440" s="273"/>
      <c r="AF440" s="273"/>
      <c r="AG440" s="273"/>
      <c r="AH440" s="273"/>
      <c r="AI440" s="273"/>
      <c r="AJ440" s="273"/>
      <c r="AK440" s="273"/>
      <c r="AL440" s="273"/>
      <c r="AM440" s="273"/>
      <c r="AN440" s="224">
        <f t="shared" si="171"/>
        <v>0</v>
      </c>
      <c r="AO440" s="273"/>
      <c r="AP440" s="273"/>
      <c r="AQ440" s="273"/>
      <c r="AR440" s="273"/>
      <c r="AS440" s="273"/>
      <c r="AT440" s="273"/>
      <c r="AU440" s="273"/>
      <c r="AV440" s="273"/>
      <c r="AW440" s="273"/>
      <c r="AX440" s="273"/>
      <c r="AY440" s="273"/>
      <c r="AZ440" s="923"/>
      <c r="BA440" s="923"/>
    </row>
    <row r="441" spans="1:53">
      <c r="A441" s="874" t="s">
        <v>612</v>
      </c>
      <c r="B441" s="871" t="s">
        <v>819</v>
      </c>
      <c r="E441" s="277"/>
      <c r="F441" s="273"/>
      <c r="G441" s="273"/>
      <c r="H441" s="273"/>
      <c r="I441" s="273"/>
      <c r="J441" s="273"/>
      <c r="K441" s="273"/>
      <c r="L441" s="273"/>
      <c r="M441" s="273"/>
      <c r="N441" s="224">
        <f t="shared" si="169"/>
        <v>0</v>
      </c>
      <c r="O441" s="273"/>
      <c r="P441" s="273"/>
      <c r="Q441" s="273"/>
      <c r="R441" s="273"/>
      <c r="S441" s="273"/>
      <c r="T441" s="273"/>
      <c r="U441" s="273"/>
      <c r="V441" s="273"/>
      <c r="W441" s="273"/>
      <c r="X441" s="273"/>
      <c r="Y441" s="273"/>
      <c r="Z441" s="273"/>
      <c r="AA441" s="224">
        <f t="shared" si="170"/>
        <v>0</v>
      </c>
      <c r="AB441" s="273"/>
      <c r="AC441" s="273"/>
      <c r="AD441" s="273"/>
      <c r="AE441" s="273"/>
      <c r="AF441" s="273"/>
      <c r="AG441" s="273"/>
      <c r="AH441" s="273"/>
      <c r="AI441" s="273"/>
      <c r="AJ441" s="273"/>
      <c r="AK441" s="273"/>
      <c r="AL441" s="273"/>
      <c r="AM441" s="273"/>
      <c r="AN441" s="224">
        <f t="shared" si="171"/>
        <v>0</v>
      </c>
      <c r="AO441" s="273"/>
      <c r="AP441" s="273"/>
      <c r="AQ441" s="273"/>
      <c r="AR441" s="273"/>
      <c r="AS441" s="273"/>
      <c r="AT441" s="273"/>
      <c r="AU441" s="273"/>
      <c r="AV441" s="273"/>
      <c r="AW441" s="273"/>
      <c r="AX441" s="273"/>
      <c r="AY441" s="273"/>
      <c r="AZ441" s="923"/>
      <c r="BA441" s="923"/>
    </row>
    <row r="442" spans="1:53">
      <c r="A442" s="874">
        <v>403.5</v>
      </c>
      <c r="B442" s="871" t="s">
        <v>820</v>
      </c>
      <c r="E442" s="277"/>
      <c r="F442" s="273"/>
      <c r="G442" s="273"/>
      <c r="H442" s="273"/>
      <c r="I442" s="273"/>
      <c r="J442" s="273"/>
      <c r="K442" s="273"/>
      <c r="L442" s="273"/>
      <c r="M442" s="273"/>
      <c r="N442" s="224">
        <f t="shared" si="169"/>
        <v>0</v>
      </c>
      <c r="O442" s="273"/>
      <c r="P442" s="273"/>
      <c r="Q442" s="273"/>
      <c r="R442" s="273"/>
      <c r="S442" s="273"/>
      <c r="T442" s="273"/>
      <c r="U442" s="273"/>
      <c r="V442" s="273"/>
      <c r="W442" s="273"/>
      <c r="X442" s="273"/>
      <c r="Y442" s="273"/>
      <c r="Z442" s="273"/>
      <c r="AA442" s="224">
        <f t="shared" si="170"/>
        <v>0</v>
      </c>
      <c r="AB442" s="273"/>
      <c r="AC442" s="273"/>
      <c r="AD442" s="273"/>
      <c r="AE442" s="273"/>
      <c r="AF442" s="273"/>
      <c r="AG442" s="273"/>
      <c r="AH442" s="273"/>
      <c r="AI442" s="273"/>
      <c r="AJ442" s="273"/>
      <c r="AK442" s="273"/>
      <c r="AL442" s="273"/>
      <c r="AM442" s="273"/>
      <c r="AN442" s="224">
        <f t="shared" si="171"/>
        <v>0</v>
      </c>
      <c r="AO442" s="273"/>
      <c r="AP442" s="273"/>
      <c r="AQ442" s="273"/>
      <c r="AR442" s="273"/>
      <c r="AS442" s="273"/>
      <c r="AT442" s="273"/>
      <c r="AU442" s="273"/>
      <c r="AV442" s="273"/>
      <c r="AW442" s="273"/>
      <c r="AX442" s="273"/>
      <c r="AY442" s="273"/>
      <c r="AZ442" s="923"/>
      <c r="BA442" s="923"/>
    </row>
    <row r="443" spans="1:53">
      <c r="A443" s="874">
        <v>403.5</v>
      </c>
      <c r="B443" s="871" t="s">
        <v>821</v>
      </c>
      <c r="E443" s="277"/>
      <c r="F443" s="273"/>
      <c r="G443" s="273"/>
      <c r="H443" s="273"/>
      <c r="I443" s="273"/>
      <c r="J443" s="273"/>
      <c r="K443" s="273"/>
      <c r="L443" s="273"/>
      <c r="M443" s="273"/>
      <c r="N443" s="224">
        <f t="shared" si="169"/>
        <v>0</v>
      </c>
      <c r="O443" s="273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  <c r="AA443" s="224">
        <f t="shared" si="170"/>
        <v>0</v>
      </c>
      <c r="AB443" s="273"/>
      <c r="AC443" s="273"/>
      <c r="AD443" s="273"/>
      <c r="AE443" s="273"/>
      <c r="AF443" s="273"/>
      <c r="AG443" s="273"/>
      <c r="AH443" s="273"/>
      <c r="AI443" s="273"/>
      <c r="AJ443" s="273"/>
      <c r="AK443" s="273"/>
      <c r="AL443" s="273"/>
      <c r="AM443" s="273"/>
      <c r="AN443" s="224">
        <f t="shared" si="171"/>
        <v>0</v>
      </c>
      <c r="AO443" s="273"/>
      <c r="AP443" s="273"/>
      <c r="AQ443" s="273"/>
      <c r="AR443" s="273"/>
      <c r="AS443" s="273"/>
      <c r="AT443" s="273"/>
      <c r="AU443" s="273"/>
      <c r="AV443" s="273"/>
      <c r="AW443" s="273"/>
      <c r="AX443" s="273"/>
      <c r="AY443" s="273"/>
      <c r="AZ443" s="923"/>
      <c r="BA443" s="923"/>
    </row>
    <row r="444" spans="1:53">
      <c r="A444" s="874" t="s">
        <v>586</v>
      </c>
      <c r="B444" s="871" t="s">
        <v>822</v>
      </c>
      <c r="E444" s="277"/>
      <c r="F444" s="273"/>
      <c r="G444" s="273"/>
      <c r="H444" s="273"/>
      <c r="I444" s="273"/>
      <c r="J444" s="273"/>
      <c r="K444" s="273"/>
      <c r="L444" s="273"/>
      <c r="M444" s="273"/>
      <c r="N444" s="224">
        <f t="shared" si="169"/>
        <v>0</v>
      </c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24">
        <f t="shared" si="170"/>
        <v>0</v>
      </c>
      <c r="AB444" s="273"/>
      <c r="AC444" s="273"/>
      <c r="AD444" s="273"/>
      <c r="AE444" s="273"/>
      <c r="AF444" s="273"/>
      <c r="AG444" s="273"/>
      <c r="AH444" s="273"/>
      <c r="AI444" s="273"/>
      <c r="AJ444" s="273"/>
      <c r="AK444" s="273"/>
      <c r="AL444" s="273"/>
      <c r="AM444" s="273"/>
      <c r="AN444" s="224">
        <f t="shared" si="171"/>
        <v>0</v>
      </c>
      <c r="AO444" s="273"/>
      <c r="AP444" s="273"/>
      <c r="AQ444" s="273"/>
      <c r="AR444" s="273"/>
      <c r="AS444" s="273"/>
      <c r="AT444" s="273"/>
      <c r="AU444" s="273"/>
      <c r="AV444" s="273"/>
      <c r="AW444" s="273"/>
      <c r="AX444" s="273"/>
      <c r="AY444" s="273"/>
      <c r="AZ444" s="923"/>
      <c r="BA444" s="923"/>
    </row>
    <row r="445" spans="1:53">
      <c r="A445" s="874">
        <v>404.11</v>
      </c>
      <c r="B445" s="871" t="s">
        <v>1001</v>
      </c>
      <c r="E445" s="277"/>
      <c r="F445" s="273"/>
      <c r="G445" s="273"/>
      <c r="H445" s="273"/>
      <c r="I445" s="273"/>
      <c r="J445" s="273"/>
      <c r="K445" s="273"/>
      <c r="L445" s="273"/>
      <c r="M445" s="273"/>
      <c r="N445" s="224"/>
      <c r="O445" s="273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  <c r="AA445" s="224">
        <f t="shared" si="170"/>
        <v>0</v>
      </c>
      <c r="AB445" s="273"/>
      <c r="AC445" s="273"/>
      <c r="AD445" s="273"/>
      <c r="AE445" s="273"/>
      <c r="AF445" s="273"/>
      <c r="AG445" s="273"/>
      <c r="AH445" s="273"/>
      <c r="AI445" s="273"/>
      <c r="AJ445" s="273"/>
      <c r="AK445" s="273"/>
      <c r="AL445" s="273"/>
      <c r="AM445" s="273"/>
      <c r="AN445" s="224">
        <f t="shared" si="171"/>
        <v>0</v>
      </c>
      <c r="AO445" s="273"/>
      <c r="AP445" s="273"/>
      <c r="AQ445" s="273"/>
      <c r="AR445" s="273"/>
      <c r="AS445" s="273"/>
      <c r="AT445" s="273"/>
      <c r="AU445" s="273"/>
      <c r="AV445" s="273"/>
      <c r="AW445" s="273"/>
      <c r="AX445" s="273"/>
      <c r="AY445" s="273"/>
      <c r="AZ445" s="923"/>
      <c r="BA445" s="923"/>
    </row>
    <row r="446" spans="1:53">
      <c r="A446" s="874" t="s">
        <v>823</v>
      </c>
      <c r="B446" s="871" t="s">
        <v>824</v>
      </c>
      <c r="E446" s="277"/>
      <c r="F446" s="273"/>
      <c r="G446" s="273"/>
      <c r="H446" s="273"/>
      <c r="I446" s="273"/>
      <c r="J446" s="273"/>
      <c r="K446" s="273"/>
      <c r="L446" s="273"/>
      <c r="M446" s="273"/>
      <c r="N446" s="224">
        <f t="shared" ref="N446:N451" si="172">SUM(E446:M446)</f>
        <v>0</v>
      </c>
      <c r="O446" s="273">
        <f t="shared" ref="O446:Z446" si="173">O87</f>
        <v>0</v>
      </c>
      <c r="P446" s="273">
        <f t="shared" si="173"/>
        <v>0</v>
      </c>
      <c r="Q446" s="273">
        <f t="shared" si="173"/>
        <v>8.5000000000000006E-5</v>
      </c>
      <c r="R446" s="273">
        <f t="shared" si="173"/>
        <v>8.0000000000000004E-4</v>
      </c>
      <c r="S446" s="273">
        <f t="shared" si="173"/>
        <v>0</v>
      </c>
      <c r="T446" s="273">
        <f t="shared" si="173"/>
        <v>0</v>
      </c>
      <c r="U446" s="273">
        <f t="shared" si="173"/>
        <v>0</v>
      </c>
      <c r="V446" s="273">
        <f t="shared" si="173"/>
        <v>0</v>
      </c>
      <c r="W446" s="273">
        <f t="shared" si="173"/>
        <v>0</v>
      </c>
      <c r="X446" s="273">
        <f t="shared" si="173"/>
        <v>0</v>
      </c>
      <c r="Y446" s="273">
        <f t="shared" si="173"/>
        <v>0</v>
      </c>
      <c r="Z446" s="273">
        <f t="shared" si="173"/>
        <v>0</v>
      </c>
      <c r="AA446" s="224">
        <f t="shared" si="170"/>
        <v>8.8500000000000004E-4</v>
      </c>
      <c r="AB446" s="273">
        <f t="shared" ref="AB446:AM446" si="174">AB87</f>
        <v>0</v>
      </c>
      <c r="AC446" s="273">
        <f t="shared" si="174"/>
        <v>0</v>
      </c>
      <c r="AD446" s="273">
        <f t="shared" si="174"/>
        <v>8.5000000000000006E-5</v>
      </c>
      <c r="AE446" s="273">
        <f t="shared" si="174"/>
        <v>8.0000000000000004E-4</v>
      </c>
      <c r="AF446" s="273">
        <f t="shared" si="174"/>
        <v>0</v>
      </c>
      <c r="AG446" s="273">
        <f t="shared" si="174"/>
        <v>0</v>
      </c>
      <c r="AH446" s="273">
        <f t="shared" si="174"/>
        <v>0</v>
      </c>
      <c r="AI446" s="273">
        <f t="shared" si="174"/>
        <v>0</v>
      </c>
      <c r="AJ446" s="273">
        <f t="shared" si="174"/>
        <v>0</v>
      </c>
      <c r="AK446" s="273">
        <f t="shared" si="174"/>
        <v>0</v>
      </c>
      <c r="AL446" s="273">
        <f t="shared" si="174"/>
        <v>0</v>
      </c>
      <c r="AM446" s="273">
        <f t="shared" si="174"/>
        <v>0</v>
      </c>
      <c r="AN446" s="224">
        <f t="shared" si="171"/>
        <v>8.8500000000000004E-4</v>
      </c>
      <c r="AO446" s="273">
        <f t="shared" ref="AO446:AY446" si="175">AO87</f>
        <v>8.8500000000000004E-4</v>
      </c>
      <c r="AP446" s="273">
        <f t="shared" si="175"/>
        <v>8.8500000000000004E-4</v>
      </c>
      <c r="AQ446" s="273">
        <f t="shared" si="175"/>
        <v>8.8500000000000004E-4</v>
      </c>
      <c r="AR446" s="273">
        <f t="shared" si="175"/>
        <v>8.8500000000000004E-4</v>
      </c>
      <c r="AS446" s="273">
        <f t="shared" si="175"/>
        <v>8.8500000000000004E-4</v>
      </c>
      <c r="AT446" s="273">
        <f t="shared" si="175"/>
        <v>8.8500000000000004E-4</v>
      </c>
      <c r="AU446" s="273">
        <f t="shared" si="175"/>
        <v>8.8500000000000004E-4</v>
      </c>
      <c r="AV446" s="273">
        <f t="shared" si="175"/>
        <v>8.8500000000000004E-4</v>
      </c>
      <c r="AW446" s="273">
        <f t="shared" si="175"/>
        <v>8.8500000000000004E-4</v>
      </c>
      <c r="AX446" s="273">
        <f t="shared" si="175"/>
        <v>8.8500000000000004E-4</v>
      </c>
      <c r="AY446" s="273">
        <f t="shared" si="175"/>
        <v>8.8500000000000004E-4</v>
      </c>
      <c r="AZ446" s="923"/>
      <c r="BA446" s="923"/>
    </row>
    <row r="447" spans="1:53">
      <c r="A447" s="874" t="s">
        <v>825</v>
      </c>
      <c r="B447" s="871" t="s">
        <v>826</v>
      </c>
      <c r="E447" s="277"/>
      <c r="F447" s="273"/>
      <c r="G447" s="273"/>
      <c r="H447" s="273"/>
      <c r="I447" s="273"/>
      <c r="J447" s="273"/>
      <c r="K447" s="273"/>
      <c r="L447" s="273"/>
      <c r="M447" s="273"/>
      <c r="N447" s="224">
        <f t="shared" si="172"/>
        <v>0</v>
      </c>
      <c r="O447" s="273">
        <f t="shared" ref="O447:Z447" si="176">O25</f>
        <v>0</v>
      </c>
      <c r="P447" s="273">
        <f t="shared" si="176"/>
        <v>0</v>
      </c>
      <c r="Q447" s="273">
        <f t="shared" si="176"/>
        <v>0</v>
      </c>
      <c r="R447" s="273">
        <f t="shared" si="176"/>
        <v>0</v>
      </c>
      <c r="S447" s="273">
        <f t="shared" si="176"/>
        <v>0</v>
      </c>
      <c r="T447" s="273">
        <f t="shared" si="176"/>
        <v>0</v>
      </c>
      <c r="U447" s="273">
        <f t="shared" si="176"/>
        <v>0</v>
      </c>
      <c r="V447" s="273">
        <f t="shared" si="176"/>
        <v>0</v>
      </c>
      <c r="W447" s="273">
        <f t="shared" si="176"/>
        <v>0</v>
      </c>
      <c r="X447" s="273">
        <f t="shared" si="176"/>
        <v>0</v>
      </c>
      <c r="Y447" s="273">
        <f t="shared" si="176"/>
        <v>0</v>
      </c>
      <c r="Z447" s="273">
        <f t="shared" si="176"/>
        <v>0</v>
      </c>
      <c r="AA447" s="224">
        <f t="shared" si="170"/>
        <v>0</v>
      </c>
      <c r="AB447" s="273">
        <f t="shared" ref="AB447:AM447" si="177">AB25</f>
        <v>0</v>
      </c>
      <c r="AC447" s="273">
        <f t="shared" si="177"/>
        <v>0</v>
      </c>
      <c r="AD447" s="273">
        <f t="shared" si="177"/>
        <v>0</v>
      </c>
      <c r="AE447" s="273">
        <f t="shared" si="177"/>
        <v>0</v>
      </c>
      <c r="AF447" s="273">
        <f t="shared" si="177"/>
        <v>0</v>
      </c>
      <c r="AG447" s="273">
        <f t="shared" si="177"/>
        <v>0</v>
      </c>
      <c r="AH447" s="273">
        <f t="shared" si="177"/>
        <v>0</v>
      </c>
      <c r="AI447" s="273">
        <f t="shared" si="177"/>
        <v>0</v>
      </c>
      <c r="AJ447" s="273">
        <f t="shared" si="177"/>
        <v>0</v>
      </c>
      <c r="AK447" s="273">
        <f t="shared" si="177"/>
        <v>0</v>
      </c>
      <c r="AL447" s="273">
        <f t="shared" si="177"/>
        <v>0</v>
      </c>
      <c r="AM447" s="273">
        <f t="shared" si="177"/>
        <v>0</v>
      </c>
      <c r="AN447" s="224">
        <f t="shared" si="171"/>
        <v>0</v>
      </c>
      <c r="AO447" s="273">
        <f t="shared" ref="AO447:AY447" si="178">AO25</f>
        <v>0</v>
      </c>
      <c r="AP447" s="273">
        <f t="shared" si="178"/>
        <v>0</v>
      </c>
      <c r="AQ447" s="273">
        <f t="shared" si="178"/>
        <v>0</v>
      </c>
      <c r="AR447" s="273">
        <f t="shared" si="178"/>
        <v>0</v>
      </c>
      <c r="AS447" s="273">
        <f t="shared" si="178"/>
        <v>0</v>
      </c>
      <c r="AT447" s="273">
        <f t="shared" si="178"/>
        <v>0</v>
      </c>
      <c r="AU447" s="273">
        <f t="shared" si="178"/>
        <v>0</v>
      </c>
      <c r="AV447" s="273">
        <f t="shared" si="178"/>
        <v>0</v>
      </c>
      <c r="AW447" s="273">
        <f t="shared" si="178"/>
        <v>0</v>
      </c>
      <c r="AX447" s="273">
        <f t="shared" si="178"/>
        <v>0</v>
      </c>
      <c r="AY447" s="273">
        <f t="shared" si="178"/>
        <v>0</v>
      </c>
      <c r="AZ447" s="923"/>
      <c r="BA447" s="923"/>
    </row>
    <row r="448" spans="1:53">
      <c r="A448" s="874" t="s">
        <v>827</v>
      </c>
      <c r="B448" s="871" t="s">
        <v>828</v>
      </c>
      <c r="E448" s="277"/>
      <c r="F448" s="273"/>
      <c r="G448" s="273"/>
      <c r="H448" s="273"/>
      <c r="I448" s="273"/>
      <c r="J448" s="273"/>
      <c r="K448" s="273"/>
      <c r="L448" s="273"/>
      <c r="M448" s="273"/>
      <c r="N448" s="224">
        <f t="shared" si="172"/>
        <v>0</v>
      </c>
      <c r="O448" s="273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  <c r="AA448" s="224">
        <f t="shared" si="170"/>
        <v>0</v>
      </c>
      <c r="AB448" s="273"/>
      <c r="AC448" s="273"/>
      <c r="AD448" s="273"/>
      <c r="AE448" s="273"/>
      <c r="AF448" s="273"/>
      <c r="AG448" s="273"/>
      <c r="AH448" s="273"/>
      <c r="AI448" s="273"/>
      <c r="AJ448" s="273"/>
      <c r="AK448" s="273"/>
      <c r="AL448" s="273"/>
      <c r="AM448" s="273"/>
      <c r="AN448" s="224">
        <f t="shared" si="171"/>
        <v>0</v>
      </c>
      <c r="AO448" s="273"/>
      <c r="AP448" s="273"/>
      <c r="AQ448" s="273"/>
      <c r="AR448" s="273"/>
      <c r="AS448" s="273"/>
      <c r="AT448" s="273"/>
      <c r="AU448" s="273"/>
      <c r="AV448" s="273"/>
      <c r="AW448" s="273"/>
      <c r="AX448" s="273"/>
      <c r="AY448" s="273"/>
      <c r="AZ448" s="923"/>
      <c r="BA448" s="923"/>
    </row>
    <row r="449" spans="1:53">
      <c r="A449" s="874" t="s">
        <v>830</v>
      </c>
      <c r="B449" s="871" t="s">
        <v>831</v>
      </c>
      <c r="E449" s="277"/>
      <c r="F449" s="273"/>
      <c r="G449" s="273"/>
      <c r="H449" s="273"/>
      <c r="I449" s="273"/>
      <c r="J449" s="273"/>
      <c r="K449" s="273"/>
      <c r="L449" s="273"/>
      <c r="M449" s="273"/>
      <c r="N449" s="224">
        <f t="shared" si="172"/>
        <v>0</v>
      </c>
      <c r="O449" s="273"/>
      <c r="P449" s="273"/>
      <c r="Q449" s="273"/>
      <c r="R449" s="273"/>
      <c r="S449" s="273"/>
      <c r="T449" s="273"/>
      <c r="U449" s="273"/>
      <c r="V449" s="273"/>
      <c r="W449" s="273"/>
      <c r="X449" s="273"/>
      <c r="Y449" s="273"/>
      <c r="Z449" s="273"/>
      <c r="AA449" s="224">
        <f t="shared" si="170"/>
        <v>0</v>
      </c>
      <c r="AB449" s="273"/>
      <c r="AC449" s="273"/>
      <c r="AD449" s="273"/>
      <c r="AE449" s="273"/>
      <c r="AF449" s="273"/>
      <c r="AG449" s="273"/>
      <c r="AH449" s="273"/>
      <c r="AI449" s="273"/>
      <c r="AJ449" s="273"/>
      <c r="AK449" s="273"/>
      <c r="AL449" s="273"/>
      <c r="AM449" s="273"/>
      <c r="AN449" s="224">
        <f t="shared" si="171"/>
        <v>0</v>
      </c>
      <c r="AO449" s="273"/>
      <c r="AP449" s="273"/>
      <c r="AQ449" s="273"/>
      <c r="AR449" s="273"/>
      <c r="AS449" s="273"/>
      <c r="AT449" s="273"/>
      <c r="AU449" s="273"/>
      <c r="AV449" s="273"/>
      <c r="AW449" s="273"/>
      <c r="AX449" s="273"/>
      <c r="AY449" s="273"/>
      <c r="AZ449" s="923"/>
      <c r="BA449" s="923"/>
    </row>
    <row r="450" spans="1:53">
      <c r="A450" s="874" t="s">
        <v>859</v>
      </c>
      <c r="B450" s="871" t="s">
        <v>860</v>
      </c>
      <c r="E450" s="277"/>
      <c r="F450" s="273"/>
      <c r="G450" s="273"/>
      <c r="H450" s="273"/>
      <c r="I450" s="273"/>
      <c r="J450" s="273"/>
      <c r="K450" s="273"/>
      <c r="L450" s="273"/>
      <c r="M450" s="273"/>
      <c r="N450" s="224">
        <f t="shared" si="172"/>
        <v>0</v>
      </c>
      <c r="O450" s="273"/>
      <c r="P450" s="273"/>
      <c r="Q450" s="273"/>
      <c r="R450" s="273"/>
      <c r="S450" s="273"/>
      <c r="T450" s="273"/>
      <c r="U450" s="273"/>
      <c r="V450" s="273"/>
      <c r="W450" s="273"/>
      <c r="X450" s="273"/>
      <c r="Y450" s="273"/>
      <c r="Z450" s="273"/>
      <c r="AA450" s="224">
        <f t="shared" si="170"/>
        <v>0</v>
      </c>
      <c r="AB450" s="273"/>
      <c r="AC450" s="273"/>
      <c r="AD450" s="273"/>
      <c r="AE450" s="273"/>
      <c r="AF450" s="273"/>
      <c r="AG450" s="273"/>
      <c r="AH450" s="273"/>
      <c r="AI450" s="273"/>
      <c r="AJ450" s="273"/>
      <c r="AK450" s="273"/>
      <c r="AL450" s="273"/>
      <c r="AM450" s="273"/>
      <c r="AN450" s="224">
        <f t="shared" si="171"/>
        <v>0</v>
      </c>
      <c r="AO450" s="273"/>
      <c r="AP450" s="273"/>
      <c r="AQ450" s="273"/>
      <c r="AR450" s="273"/>
      <c r="AS450" s="273"/>
      <c r="AT450" s="273"/>
      <c r="AU450" s="273"/>
      <c r="AV450" s="273"/>
      <c r="AW450" s="273"/>
      <c r="AX450" s="273"/>
      <c r="AY450" s="273"/>
      <c r="AZ450" s="923"/>
      <c r="BA450" s="923"/>
    </row>
    <row r="451" spans="1:53">
      <c r="A451" s="874" t="s">
        <v>861</v>
      </c>
      <c r="B451" s="871" t="s">
        <v>862</v>
      </c>
      <c r="E451" s="277"/>
      <c r="F451" s="273"/>
      <c r="G451" s="273"/>
      <c r="H451" s="273"/>
      <c r="I451" s="273"/>
      <c r="J451" s="273"/>
      <c r="K451" s="273"/>
      <c r="L451" s="273"/>
      <c r="M451" s="273"/>
      <c r="N451" s="224">
        <f t="shared" si="172"/>
        <v>0</v>
      </c>
      <c r="O451" s="273"/>
      <c r="P451" s="273"/>
      <c r="Q451" s="273"/>
      <c r="R451" s="273"/>
      <c r="S451" s="273"/>
      <c r="T451" s="273"/>
      <c r="U451" s="273"/>
      <c r="V451" s="273"/>
      <c r="W451" s="273"/>
      <c r="X451" s="273"/>
      <c r="Y451" s="273"/>
      <c r="Z451" s="273"/>
      <c r="AA451" s="224">
        <f t="shared" si="170"/>
        <v>0</v>
      </c>
      <c r="AB451" s="273"/>
      <c r="AC451" s="273"/>
      <c r="AD451" s="273"/>
      <c r="AE451" s="273"/>
      <c r="AF451" s="273"/>
      <c r="AG451" s="273"/>
      <c r="AH451" s="273"/>
      <c r="AI451" s="273"/>
      <c r="AJ451" s="273"/>
      <c r="AK451" s="273"/>
      <c r="AL451" s="273"/>
      <c r="AM451" s="273"/>
      <c r="AN451" s="224">
        <f t="shared" si="171"/>
        <v>0</v>
      </c>
      <c r="AO451" s="273"/>
      <c r="AP451" s="273"/>
      <c r="AQ451" s="273"/>
      <c r="AR451" s="273"/>
      <c r="AS451" s="273"/>
      <c r="AT451" s="273"/>
      <c r="AU451" s="273"/>
      <c r="AV451" s="273"/>
      <c r="AW451" s="273"/>
      <c r="AX451" s="273"/>
      <c r="AY451" s="273"/>
      <c r="AZ451" s="923"/>
      <c r="BA451" s="923"/>
    </row>
    <row r="452" spans="1:53">
      <c r="A452" s="874" t="s">
        <v>863</v>
      </c>
      <c r="B452" s="871" t="s">
        <v>864</v>
      </c>
      <c r="E452" s="277"/>
      <c r="F452" s="273"/>
      <c r="G452" s="273"/>
      <c r="H452" s="273"/>
      <c r="I452" s="273"/>
      <c r="J452" s="273"/>
      <c r="K452" s="273"/>
      <c r="L452" s="273"/>
      <c r="M452" s="273"/>
      <c r="N452" s="224">
        <f t="shared" ref="N452:N458" si="179">SUM(E452:M452)</f>
        <v>0</v>
      </c>
      <c r="O452" s="273"/>
      <c r="P452" s="273"/>
      <c r="Q452" s="273"/>
      <c r="R452" s="273"/>
      <c r="S452" s="273"/>
      <c r="T452" s="273"/>
      <c r="U452" s="273"/>
      <c r="V452" s="273"/>
      <c r="W452" s="273"/>
      <c r="X452" s="273"/>
      <c r="Y452" s="273"/>
      <c r="Z452" s="273"/>
      <c r="AA452" s="224">
        <f t="shared" si="170"/>
        <v>0</v>
      </c>
      <c r="AB452" s="273"/>
      <c r="AC452" s="273"/>
      <c r="AD452" s="273"/>
      <c r="AE452" s="273"/>
      <c r="AF452" s="273"/>
      <c r="AG452" s="273"/>
      <c r="AH452" s="273"/>
      <c r="AI452" s="273"/>
      <c r="AJ452" s="273"/>
      <c r="AK452" s="273"/>
      <c r="AL452" s="273"/>
      <c r="AM452" s="273"/>
      <c r="AN452" s="224">
        <f t="shared" si="171"/>
        <v>0</v>
      </c>
      <c r="AO452" s="273"/>
      <c r="AP452" s="273"/>
      <c r="AQ452" s="273"/>
      <c r="AR452" s="273"/>
      <c r="AS452" s="273"/>
      <c r="AT452" s="273"/>
      <c r="AU452" s="273"/>
      <c r="AV452" s="273"/>
      <c r="AW452" s="273"/>
      <c r="AX452" s="273"/>
      <c r="AY452" s="273"/>
      <c r="AZ452" s="923"/>
      <c r="BA452" s="923"/>
    </row>
    <row r="453" spans="1:53">
      <c r="A453" s="874">
        <v>426.1</v>
      </c>
      <c r="B453" s="871" t="s">
        <v>880</v>
      </c>
      <c r="E453" s="277"/>
      <c r="F453" s="273"/>
      <c r="G453" s="273"/>
      <c r="H453" s="273"/>
      <c r="I453" s="273"/>
      <c r="J453" s="273"/>
      <c r="K453" s="273"/>
      <c r="L453" s="273"/>
      <c r="M453" s="273"/>
      <c r="N453" s="224">
        <f t="shared" si="179"/>
        <v>0</v>
      </c>
      <c r="O453" s="273">
        <f t="shared" ref="O453:Z453" si="180">+O26</f>
        <v>1.0759854000000001E-2</v>
      </c>
      <c r="P453" s="273">
        <f t="shared" si="180"/>
        <v>5.7126540000000002E-3</v>
      </c>
      <c r="Q453" s="273">
        <f t="shared" si="180"/>
        <v>6.1971540000000007E-3</v>
      </c>
      <c r="R453" s="273">
        <f t="shared" si="180"/>
        <v>4.4232539999999997E-3</v>
      </c>
      <c r="S453" s="273">
        <f t="shared" si="180"/>
        <v>3.2904540000000004E-3</v>
      </c>
      <c r="T453" s="273">
        <f t="shared" si="180"/>
        <v>2.8727040000000002E-3</v>
      </c>
      <c r="U453" s="273">
        <f t="shared" si="180"/>
        <v>2.3766540000000002E-3</v>
      </c>
      <c r="V453" s="273">
        <f t="shared" si="180"/>
        <v>2.7276539999999999E-3</v>
      </c>
      <c r="W453" s="273">
        <f t="shared" si="180"/>
        <v>2.5935540000000001E-3</v>
      </c>
      <c r="X453" s="273">
        <f t="shared" si="180"/>
        <v>4.7094540000000009E-3</v>
      </c>
      <c r="Y453" s="273">
        <f t="shared" si="180"/>
        <v>4.9251540000000002E-3</v>
      </c>
      <c r="Z453" s="273">
        <f t="shared" si="180"/>
        <v>4.8822539999999999E-3</v>
      </c>
      <c r="AA453" s="224">
        <f t="shared" si="170"/>
        <v>5.5470798000000009E-2</v>
      </c>
      <c r="AB453" s="273">
        <f t="shared" ref="AB453:AM453" si="181">+AB26</f>
        <v>1.0759854000000001E-2</v>
      </c>
      <c r="AC453" s="273">
        <f t="shared" si="181"/>
        <v>5.7126540000000002E-3</v>
      </c>
      <c r="AD453" s="273">
        <f t="shared" si="181"/>
        <v>6.1971540000000007E-3</v>
      </c>
      <c r="AE453" s="273">
        <f t="shared" si="181"/>
        <v>4.4232539999999997E-3</v>
      </c>
      <c r="AF453" s="273">
        <f t="shared" si="181"/>
        <v>3.2904540000000004E-3</v>
      </c>
      <c r="AG453" s="273">
        <f t="shared" si="181"/>
        <v>2.8727040000000002E-3</v>
      </c>
      <c r="AH453" s="273">
        <f t="shared" si="181"/>
        <v>2.3766540000000002E-3</v>
      </c>
      <c r="AI453" s="273">
        <f t="shared" si="181"/>
        <v>2.7276539999999999E-3</v>
      </c>
      <c r="AJ453" s="273">
        <f t="shared" si="181"/>
        <v>2.5935540000000001E-3</v>
      </c>
      <c r="AK453" s="273">
        <f t="shared" si="181"/>
        <v>4.7094540000000009E-3</v>
      </c>
      <c r="AL453" s="273">
        <f t="shared" si="181"/>
        <v>4.9251540000000002E-3</v>
      </c>
      <c r="AM453" s="273">
        <f t="shared" si="181"/>
        <v>4.8822539999999999E-3</v>
      </c>
      <c r="AN453" s="224">
        <f t="shared" si="171"/>
        <v>5.5470798000000009E-2</v>
      </c>
      <c r="AO453" s="273">
        <f t="shared" ref="AO453:AY453" si="182">+AO26</f>
        <v>5.999989800000001E-2</v>
      </c>
      <c r="AP453" s="273">
        <f t="shared" si="182"/>
        <v>5.999989800000001E-2</v>
      </c>
      <c r="AQ453" s="273">
        <f t="shared" si="182"/>
        <v>6.1799894940000009E-2</v>
      </c>
      <c r="AR453" s="273">
        <f t="shared" si="182"/>
        <v>6.3653891788200009E-2</v>
      </c>
      <c r="AS453" s="273">
        <f t="shared" si="182"/>
        <v>6.5563508541846005E-2</v>
      </c>
      <c r="AT453" s="273">
        <f t="shared" si="182"/>
        <v>6.7530413798101388E-2</v>
      </c>
      <c r="AU453" s="273">
        <f t="shared" si="182"/>
        <v>6.9556326212044425E-2</v>
      </c>
      <c r="AV453" s="273">
        <f t="shared" si="182"/>
        <v>7.1643015998405765E-2</v>
      </c>
      <c r="AW453" s="273">
        <f t="shared" si="182"/>
        <v>7.3792306478357939E-2</v>
      </c>
      <c r="AX453" s="273">
        <f t="shared" si="182"/>
        <v>7.6006075672708673E-2</v>
      </c>
      <c r="AY453" s="273">
        <f t="shared" si="182"/>
        <v>7.8286257942889931E-2</v>
      </c>
      <c r="AZ453" s="923"/>
      <c r="BA453" s="923"/>
    </row>
    <row r="454" spans="1:53">
      <c r="A454" s="874" t="s">
        <v>881</v>
      </c>
      <c r="B454" s="871" t="s">
        <v>882</v>
      </c>
      <c r="E454" s="277"/>
      <c r="F454" s="273"/>
      <c r="G454" s="273"/>
      <c r="H454" s="273"/>
      <c r="I454" s="273"/>
      <c r="J454" s="273"/>
      <c r="K454" s="273"/>
      <c r="L454" s="273"/>
      <c r="M454" s="273"/>
      <c r="N454" s="224">
        <f t="shared" si="179"/>
        <v>0</v>
      </c>
      <c r="O454" s="273"/>
      <c r="P454" s="273"/>
      <c r="Q454" s="273"/>
      <c r="R454" s="273"/>
      <c r="S454" s="273"/>
      <c r="T454" s="273"/>
      <c r="U454" s="273"/>
      <c r="V454" s="273"/>
      <c r="W454" s="273"/>
      <c r="X454" s="273"/>
      <c r="Y454" s="273"/>
      <c r="Z454" s="273"/>
      <c r="AA454" s="224">
        <f t="shared" si="170"/>
        <v>0</v>
      </c>
      <c r="AB454" s="273"/>
      <c r="AC454" s="273"/>
      <c r="AD454" s="273"/>
      <c r="AE454" s="273"/>
      <c r="AF454" s="273"/>
      <c r="AG454" s="273"/>
      <c r="AH454" s="273"/>
      <c r="AI454" s="273"/>
      <c r="AJ454" s="273"/>
      <c r="AK454" s="273"/>
      <c r="AL454" s="273"/>
      <c r="AM454" s="273"/>
      <c r="AN454" s="224">
        <f t="shared" si="171"/>
        <v>0</v>
      </c>
      <c r="AO454" s="273"/>
      <c r="AP454" s="273"/>
      <c r="AQ454" s="273"/>
      <c r="AR454" s="273"/>
      <c r="AS454" s="273"/>
      <c r="AT454" s="273"/>
      <c r="AU454" s="273"/>
      <c r="AV454" s="273"/>
      <c r="AW454" s="273"/>
      <c r="AX454" s="273"/>
      <c r="AY454" s="273"/>
      <c r="AZ454" s="923"/>
      <c r="BA454" s="923"/>
    </row>
    <row r="455" spans="1:53">
      <c r="A455" s="874">
        <v>426.4</v>
      </c>
      <c r="B455" s="871" t="s">
        <v>883</v>
      </c>
      <c r="E455" s="277"/>
      <c r="F455" s="273"/>
      <c r="G455" s="273"/>
      <c r="H455" s="273"/>
      <c r="I455" s="273"/>
      <c r="J455" s="273"/>
      <c r="K455" s="273"/>
      <c r="L455" s="273"/>
      <c r="M455" s="273"/>
      <c r="N455" s="224">
        <f t="shared" si="179"/>
        <v>0</v>
      </c>
      <c r="O455" s="273">
        <f t="shared" ref="O455:Z455" si="183">O27</f>
        <v>1.0299491999999997E-3</v>
      </c>
      <c r="P455" s="273">
        <f t="shared" si="183"/>
        <v>6.4111319999999997E-4</v>
      </c>
      <c r="Q455" s="273">
        <f t="shared" si="183"/>
        <v>7.0411319999999999E-4</v>
      </c>
      <c r="R455" s="273">
        <f t="shared" si="183"/>
        <v>9.8257320000000011E-4</v>
      </c>
      <c r="S455" s="273">
        <f t="shared" si="183"/>
        <v>6.3783719999999989E-4</v>
      </c>
      <c r="T455" s="273">
        <f t="shared" si="183"/>
        <v>2.0869909200000002E-2</v>
      </c>
      <c r="U455" s="273">
        <f t="shared" si="183"/>
        <v>9.6795719999999994E-4</v>
      </c>
      <c r="V455" s="273">
        <f t="shared" si="183"/>
        <v>6.2145719999999992E-4</v>
      </c>
      <c r="W455" s="273">
        <f t="shared" si="183"/>
        <v>7.2754920000000004E-4</v>
      </c>
      <c r="X455" s="273">
        <f t="shared" si="183"/>
        <v>9.7501320000000001E-4</v>
      </c>
      <c r="Y455" s="273">
        <f t="shared" si="183"/>
        <v>6.2120519999999985E-4</v>
      </c>
      <c r="Z455" s="273">
        <f t="shared" si="183"/>
        <v>6.2120519999999985E-4</v>
      </c>
      <c r="AA455" s="224">
        <f t="shared" si="170"/>
        <v>2.9399882400000001E-2</v>
      </c>
      <c r="AB455" s="273">
        <f t="shared" ref="AB455:AM455" si="184">AB27</f>
        <v>1.1316060000000001E-3</v>
      </c>
      <c r="AC455" s="273">
        <f t="shared" si="184"/>
        <v>7.4176199999999998E-4</v>
      </c>
      <c r="AD455" s="273">
        <f t="shared" si="184"/>
        <v>8.0476199999999999E-4</v>
      </c>
      <c r="AE455" s="273">
        <f t="shared" si="184"/>
        <v>1.0842299999999998E-3</v>
      </c>
      <c r="AF455" s="273">
        <f t="shared" si="184"/>
        <v>7.3873799999999985E-4</v>
      </c>
      <c r="AG455" s="273">
        <f t="shared" si="184"/>
        <v>2.1474558000000001E-2</v>
      </c>
      <c r="AH455" s="273">
        <f t="shared" si="184"/>
        <v>1.0192139999999998E-3</v>
      </c>
      <c r="AI455" s="273">
        <f t="shared" si="184"/>
        <v>6.7170599999999978E-4</v>
      </c>
      <c r="AJ455" s="273">
        <f t="shared" si="184"/>
        <v>7.777979999999999E-4</v>
      </c>
      <c r="AK455" s="273">
        <f t="shared" si="184"/>
        <v>1.0262699999999997E-3</v>
      </c>
      <c r="AL455" s="273">
        <f t="shared" si="184"/>
        <v>6.7145399999999971E-4</v>
      </c>
      <c r="AM455" s="273">
        <f t="shared" si="184"/>
        <v>6.7145399999999971E-4</v>
      </c>
      <c r="AN455" s="224">
        <f t="shared" si="171"/>
        <v>3.0813551999999998E-2</v>
      </c>
      <c r="AO455" s="273">
        <f t="shared" ref="AO455:AY455" si="185">AO27</f>
        <v>2.9327255999999993E-2</v>
      </c>
      <c r="AP455" s="273">
        <f t="shared" si="185"/>
        <v>3.5565515999999998E-2</v>
      </c>
      <c r="AQ455" s="273">
        <f t="shared" si="185"/>
        <v>3.663248148E-2</v>
      </c>
      <c r="AR455" s="273">
        <f t="shared" si="185"/>
        <v>3.7731455924399998E-2</v>
      </c>
      <c r="AS455" s="273">
        <f t="shared" si="185"/>
        <v>3.8863399602131997E-2</v>
      </c>
      <c r="AT455" s="273">
        <f t="shared" si="185"/>
        <v>4.0029301590195958E-2</v>
      </c>
      <c r="AU455" s="273">
        <f t="shared" si="185"/>
        <v>4.1230180637901841E-2</v>
      </c>
      <c r="AV455" s="273">
        <f t="shared" si="185"/>
        <v>4.2467086057038896E-2</v>
      </c>
      <c r="AW455" s="273">
        <f t="shared" si="185"/>
        <v>4.3741098638750066E-2</v>
      </c>
      <c r="AX455" s="273">
        <f t="shared" si="185"/>
        <v>4.5053331597912569E-2</v>
      </c>
      <c r="AY455" s="273">
        <f t="shared" si="185"/>
        <v>4.6404931545849945E-2</v>
      </c>
      <c r="AZ455" s="923"/>
      <c r="BA455" s="923"/>
    </row>
    <row r="456" spans="1:53">
      <c r="A456" s="874" t="s">
        <v>884</v>
      </c>
      <c r="B456" s="871" t="s">
        <v>885</v>
      </c>
      <c r="E456" s="277"/>
      <c r="F456" s="273"/>
      <c r="G456" s="273"/>
      <c r="H456" s="273"/>
      <c r="I456" s="273"/>
      <c r="J456" s="273"/>
      <c r="K456" s="273"/>
      <c r="L456" s="273"/>
      <c r="M456" s="273"/>
      <c r="N456" s="224">
        <f t="shared" si="179"/>
        <v>0</v>
      </c>
      <c r="O456" s="273">
        <f t="shared" ref="O456:Z456" si="186">O28</f>
        <v>0</v>
      </c>
      <c r="P456" s="273">
        <f t="shared" si="186"/>
        <v>0</v>
      </c>
      <c r="Q456" s="273">
        <f t="shared" si="186"/>
        <v>0</v>
      </c>
      <c r="R456" s="273">
        <f t="shared" si="186"/>
        <v>0</v>
      </c>
      <c r="S456" s="273">
        <f t="shared" si="186"/>
        <v>0</v>
      </c>
      <c r="T456" s="273">
        <f t="shared" si="186"/>
        <v>0</v>
      </c>
      <c r="U456" s="273">
        <f t="shared" si="186"/>
        <v>0</v>
      </c>
      <c r="V456" s="273">
        <f t="shared" si="186"/>
        <v>0</v>
      </c>
      <c r="W456" s="273">
        <f t="shared" si="186"/>
        <v>0</v>
      </c>
      <c r="X456" s="273">
        <f t="shared" si="186"/>
        <v>0</v>
      </c>
      <c r="Y456" s="273">
        <f t="shared" si="186"/>
        <v>0</v>
      </c>
      <c r="Z456" s="273">
        <f t="shared" si="186"/>
        <v>0</v>
      </c>
      <c r="AA456" s="224">
        <f t="shared" si="170"/>
        <v>0</v>
      </c>
      <c r="AB456" s="273">
        <f t="shared" ref="AB456:AM456" si="187">AB28</f>
        <v>0</v>
      </c>
      <c r="AC456" s="273">
        <f t="shared" si="187"/>
        <v>0</v>
      </c>
      <c r="AD456" s="273">
        <f t="shared" si="187"/>
        <v>0</v>
      </c>
      <c r="AE456" s="273">
        <f t="shared" si="187"/>
        <v>0</v>
      </c>
      <c r="AF456" s="273">
        <f t="shared" si="187"/>
        <v>0</v>
      </c>
      <c r="AG456" s="273">
        <f t="shared" si="187"/>
        <v>0</v>
      </c>
      <c r="AH456" s="273">
        <f t="shared" si="187"/>
        <v>0</v>
      </c>
      <c r="AI456" s="273">
        <f t="shared" si="187"/>
        <v>0</v>
      </c>
      <c r="AJ456" s="273">
        <f t="shared" si="187"/>
        <v>0</v>
      </c>
      <c r="AK456" s="273">
        <f t="shared" si="187"/>
        <v>0</v>
      </c>
      <c r="AL456" s="273">
        <f t="shared" si="187"/>
        <v>0</v>
      </c>
      <c r="AM456" s="273">
        <f t="shared" si="187"/>
        <v>0</v>
      </c>
      <c r="AN456" s="224">
        <f t="shared" si="171"/>
        <v>0</v>
      </c>
      <c r="AO456" s="273">
        <f t="shared" ref="AO456:AY456" si="188">AO28</f>
        <v>0</v>
      </c>
      <c r="AP456" s="273">
        <f t="shared" si="188"/>
        <v>0</v>
      </c>
      <c r="AQ456" s="273">
        <f t="shared" si="188"/>
        <v>0</v>
      </c>
      <c r="AR456" s="273">
        <f t="shared" si="188"/>
        <v>0</v>
      </c>
      <c r="AS456" s="273">
        <f t="shared" si="188"/>
        <v>0</v>
      </c>
      <c r="AT456" s="273">
        <f t="shared" si="188"/>
        <v>0</v>
      </c>
      <c r="AU456" s="273">
        <f t="shared" si="188"/>
        <v>0</v>
      </c>
      <c r="AV456" s="273">
        <f t="shared" si="188"/>
        <v>0</v>
      </c>
      <c r="AW456" s="273">
        <f t="shared" si="188"/>
        <v>0</v>
      </c>
      <c r="AX456" s="273">
        <f t="shared" si="188"/>
        <v>0</v>
      </c>
      <c r="AY456" s="273">
        <f t="shared" si="188"/>
        <v>0</v>
      </c>
      <c r="AZ456" s="923"/>
      <c r="BA456" s="923"/>
    </row>
    <row r="457" spans="1:53">
      <c r="A457" s="874">
        <v>427.1</v>
      </c>
      <c r="B457" s="871" t="s">
        <v>970</v>
      </c>
      <c r="E457" s="277"/>
      <c r="F457" s="273"/>
      <c r="G457" s="273"/>
      <c r="H457" s="273"/>
      <c r="I457" s="273"/>
      <c r="J457" s="273"/>
      <c r="K457" s="273"/>
      <c r="L457" s="273"/>
      <c r="M457" s="273"/>
      <c r="N457" s="224">
        <f t="shared" si="179"/>
        <v>0</v>
      </c>
      <c r="O457" s="273"/>
      <c r="P457" s="273"/>
      <c r="Q457" s="273"/>
      <c r="R457" s="273"/>
      <c r="S457" s="273"/>
      <c r="T457" s="273"/>
      <c r="U457" s="273"/>
      <c r="V457" s="273"/>
      <c r="W457" s="273"/>
      <c r="X457" s="273"/>
      <c r="Y457" s="273"/>
      <c r="Z457" s="273"/>
      <c r="AA457" s="224">
        <f t="shared" si="170"/>
        <v>0</v>
      </c>
      <c r="AB457" s="273"/>
      <c r="AC457" s="273"/>
      <c r="AD457" s="273"/>
      <c r="AE457" s="273"/>
      <c r="AF457" s="273"/>
      <c r="AG457" s="273"/>
      <c r="AH457" s="273"/>
      <c r="AI457" s="273"/>
      <c r="AJ457" s="273"/>
      <c r="AK457" s="273"/>
      <c r="AL457" s="273"/>
      <c r="AM457" s="273"/>
      <c r="AN457" s="224">
        <f t="shared" si="171"/>
        <v>0</v>
      </c>
      <c r="AO457" s="273"/>
      <c r="AP457" s="273"/>
      <c r="AQ457" s="273"/>
      <c r="AR457" s="273"/>
      <c r="AS457" s="273"/>
      <c r="AT457" s="273"/>
      <c r="AU457" s="273"/>
      <c r="AV457" s="273"/>
      <c r="AW457" s="273"/>
      <c r="AX457" s="273"/>
      <c r="AY457" s="273"/>
      <c r="AZ457" s="923"/>
      <c r="BA457" s="923"/>
    </row>
    <row r="458" spans="1:53">
      <c r="A458" s="874" t="s">
        <v>886</v>
      </c>
      <c r="B458" s="871" t="s">
        <v>971</v>
      </c>
      <c r="E458" s="277"/>
      <c r="F458" s="273"/>
      <c r="G458" s="273"/>
      <c r="H458" s="273"/>
      <c r="I458" s="273"/>
      <c r="J458" s="273"/>
      <c r="K458" s="273"/>
      <c r="L458" s="273"/>
      <c r="M458" s="273"/>
      <c r="N458" s="224">
        <f t="shared" si="179"/>
        <v>0</v>
      </c>
      <c r="O458" s="273"/>
      <c r="P458" s="273"/>
      <c r="Q458" s="273"/>
      <c r="R458" s="273"/>
      <c r="S458" s="273"/>
      <c r="T458" s="273"/>
      <c r="U458" s="273"/>
      <c r="V458" s="273"/>
      <c r="W458" s="273"/>
      <c r="X458" s="273"/>
      <c r="Y458" s="273"/>
      <c r="Z458" s="273"/>
      <c r="AA458" s="224">
        <f t="shared" si="170"/>
        <v>0</v>
      </c>
      <c r="AB458" s="273"/>
      <c r="AC458" s="273"/>
      <c r="AD458" s="273"/>
      <c r="AE458" s="273"/>
      <c r="AF458" s="273"/>
      <c r="AG458" s="273"/>
      <c r="AH458" s="273"/>
      <c r="AI458" s="273"/>
      <c r="AJ458" s="273"/>
      <c r="AK458" s="273"/>
      <c r="AL458" s="273"/>
      <c r="AM458" s="273"/>
      <c r="AN458" s="224">
        <f t="shared" si="171"/>
        <v>0</v>
      </c>
      <c r="AO458" s="273"/>
      <c r="AP458" s="273"/>
      <c r="AQ458" s="273"/>
      <c r="AR458" s="273"/>
      <c r="AS458" s="273"/>
      <c r="AT458" s="273"/>
      <c r="AU458" s="273"/>
      <c r="AV458" s="273"/>
      <c r="AW458" s="273"/>
      <c r="AX458" s="273"/>
      <c r="AY458" s="273"/>
      <c r="AZ458" s="923"/>
      <c r="BA458" s="923"/>
    </row>
    <row r="459" spans="1:53">
      <c r="A459" s="874" t="s">
        <v>895</v>
      </c>
      <c r="B459" s="871" t="s">
        <v>896</v>
      </c>
      <c r="E459" s="277"/>
      <c r="F459" s="273"/>
      <c r="G459" s="273"/>
      <c r="H459" s="273"/>
      <c r="I459" s="273"/>
      <c r="J459" s="273"/>
      <c r="K459" s="273"/>
      <c r="L459" s="273"/>
      <c r="M459" s="273"/>
      <c r="N459" s="224">
        <f t="shared" ref="N459:N468" si="189">SUM(E459:M459)</f>
        <v>0</v>
      </c>
      <c r="O459" s="273"/>
      <c r="P459" s="273"/>
      <c r="Q459" s="273"/>
      <c r="R459" s="273"/>
      <c r="S459" s="273"/>
      <c r="T459" s="273"/>
      <c r="U459" s="273"/>
      <c r="V459" s="273"/>
      <c r="W459" s="273"/>
      <c r="X459" s="273"/>
      <c r="Y459" s="273"/>
      <c r="Z459" s="273"/>
      <c r="AA459" s="224">
        <f t="shared" si="170"/>
        <v>0</v>
      </c>
      <c r="AB459" s="273"/>
      <c r="AC459" s="273"/>
      <c r="AD459" s="273"/>
      <c r="AE459" s="273"/>
      <c r="AF459" s="273"/>
      <c r="AG459" s="273"/>
      <c r="AH459" s="273"/>
      <c r="AI459" s="273"/>
      <c r="AJ459" s="273"/>
      <c r="AK459" s="273"/>
      <c r="AL459" s="273"/>
      <c r="AM459" s="273"/>
      <c r="AN459" s="224">
        <f t="shared" si="171"/>
        <v>0</v>
      </c>
      <c r="AO459" s="273"/>
      <c r="AP459" s="273"/>
      <c r="AQ459" s="273"/>
      <c r="AR459" s="273"/>
      <c r="AS459" s="273"/>
      <c r="AT459" s="273"/>
      <c r="AU459" s="273"/>
      <c r="AV459" s="273"/>
      <c r="AW459" s="273"/>
      <c r="AX459" s="273"/>
      <c r="AY459" s="273"/>
      <c r="AZ459" s="923"/>
      <c r="BA459" s="923"/>
    </row>
    <row r="460" spans="1:53">
      <c r="A460" s="874" t="s">
        <v>897</v>
      </c>
      <c r="B460" s="871" t="s">
        <v>898</v>
      </c>
      <c r="E460" s="277"/>
      <c r="F460" s="273"/>
      <c r="G460" s="273"/>
      <c r="H460" s="273"/>
      <c r="I460" s="273"/>
      <c r="J460" s="273"/>
      <c r="K460" s="273"/>
      <c r="L460" s="273"/>
      <c r="M460" s="273"/>
      <c r="N460" s="224">
        <f t="shared" si="189"/>
        <v>0</v>
      </c>
      <c r="O460" s="273"/>
      <c r="P460" s="273"/>
      <c r="Q460" s="273"/>
      <c r="R460" s="273"/>
      <c r="S460" s="273"/>
      <c r="T460" s="273"/>
      <c r="U460" s="273"/>
      <c r="V460" s="273"/>
      <c r="W460" s="273"/>
      <c r="X460" s="273"/>
      <c r="Y460" s="273"/>
      <c r="Z460" s="273"/>
      <c r="AA460" s="224">
        <f t="shared" si="170"/>
        <v>0</v>
      </c>
      <c r="AB460" s="273"/>
      <c r="AC460" s="273"/>
      <c r="AD460" s="273"/>
      <c r="AE460" s="273"/>
      <c r="AF460" s="273"/>
      <c r="AG460" s="273"/>
      <c r="AH460" s="273"/>
      <c r="AI460" s="273"/>
      <c r="AJ460" s="273"/>
      <c r="AK460" s="273"/>
      <c r="AL460" s="273"/>
      <c r="AM460" s="273"/>
      <c r="AN460" s="224">
        <f t="shared" si="171"/>
        <v>0</v>
      </c>
      <c r="AO460" s="273"/>
      <c r="AP460" s="273"/>
      <c r="AQ460" s="273"/>
      <c r="AR460" s="273"/>
      <c r="AS460" s="273"/>
      <c r="AT460" s="273"/>
      <c r="AU460" s="273"/>
      <c r="AV460" s="273"/>
      <c r="AW460" s="273"/>
      <c r="AX460" s="273"/>
      <c r="AY460" s="273"/>
      <c r="AZ460" s="923"/>
      <c r="BA460" s="923"/>
    </row>
    <row r="461" spans="1:53">
      <c r="A461" s="874" t="s">
        <v>899</v>
      </c>
      <c r="B461" s="871" t="s">
        <v>900</v>
      </c>
      <c r="E461" s="277"/>
      <c r="F461" s="273"/>
      <c r="G461" s="273"/>
      <c r="H461" s="273"/>
      <c r="I461" s="273"/>
      <c r="J461" s="273"/>
      <c r="K461" s="273"/>
      <c r="L461" s="273"/>
      <c r="M461" s="273"/>
      <c r="N461" s="224">
        <f t="shared" si="189"/>
        <v>0</v>
      </c>
      <c r="O461" s="273"/>
      <c r="P461" s="273"/>
      <c r="Q461" s="273"/>
      <c r="R461" s="273"/>
      <c r="S461" s="273"/>
      <c r="T461" s="273"/>
      <c r="U461" s="273"/>
      <c r="V461" s="273"/>
      <c r="W461" s="273"/>
      <c r="X461" s="273"/>
      <c r="Y461" s="273"/>
      <c r="Z461" s="273"/>
      <c r="AA461" s="224">
        <f t="shared" si="170"/>
        <v>0</v>
      </c>
      <c r="AB461" s="273"/>
      <c r="AC461" s="273"/>
      <c r="AD461" s="273"/>
      <c r="AE461" s="273"/>
      <c r="AF461" s="273"/>
      <c r="AG461" s="273"/>
      <c r="AH461" s="273"/>
      <c r="AI461" s="273"/>
      <c r="AJ461" s="273"/>
      <c r="AK461" s="273"/>
      <c r="AL461" s="273"/>
      <c r="AM461" s="273"/>
      <c r="AN461" s="224">
        <f t="shared" si="171"/>
        <v>0</v>
      </c>
      <c r="AO461" s="273"/>
      <c r="AP461" s="273"/>
      <c r="AQ461" s="273"/>
      <c r="AR461" s="273"/>
      <c r="AS461" s="273"/>
      <c r="AT461" s="273"/>
      <c r="AU461" s="273"/>
      <c r="AV461" s="273"/>
      <c r="AW461" s="273"/>
      <c r="AX461" s="273"/>
      <c r="AY461" s="273"/>
      <c r="AZ461" s="923"/>
      <c r="BA461" s="923"/>
    </row>
    <row r="462" spans="1:53">
      <c r="A462" s="874" t="s">
        <v>901</v>
      </c>
      <c r="B462" s="871" t="s">
        <v>902</v>
      </c>
      <c r="E462" s="277"/>
      <c r="F462" s="273"/>
      <c r="G462" s="273"/>
      <c r="H462" s="273"/>
      <c r="I462" s="273"/>
      <c r="J462" s="273"/>
      <c r="K462" s="273"/>
      <c r="L462" s="273"/>
      <c r="M462" s="273"/>
      <c r="N462" s="224">
        <f t="shared" si="189"/>
        <v>0</v>
      </c>
      <c r="O462" s="273"/>
      <c r="P462" s="273"/>
      <c r="Q462" s="273"/>
      <c r="R462" s="273"/>
      <c r="S462" s="273"/>
      <c r="T462" s="273"/>
      <c r="U462" s="273"/>
      <c r="V462" s="273"/>
      <c r="W462" s="273"/>
      <c r="X462" s="273"/>
      <c r="Y462" s="273"/>
      <c r="Z462" s="273"/>
      <c r="AA462" s="224">
        <f t="shared" si="170"/>
        <v>0</v>
      </c>
      <c r="AB462" s="273"/>
      <c r="AC462" s="273"/>
      <c r="AD462" s="273"/>
      <c r="AE462" s="273"/>
      <c r="AF462" s="273"/>
      <c r="AG462" s="273"/>
      <c r="AH462" s="273"/>
      <c r="AI462" s="273"/>
      <c r="AJ462" s="273"/>
      <c r="AK462" s="273"/>
      <c r="AL462" s="273"/>
      <c r="AM462" s="273"/>
      <c r="AN462" s="224">
        <f t="shared" si="171"/>
        <v>0</v>
      </c>
      <c r="AO462" s="273"/>
      <c r="AP462" s="273"/>
      <c r="AQ462" s="273"/>
      <c r="AR462" s="273"/>
      <c r="AS462" s="273"/>
      <c r="AT462" s="273"/>
      <c r="AU462" s="273"/>
      <c r="AV462" s="273"/>
      <c r="AW462" s="273"/>
      <c r="AX462" s="273"/>
      <c r="AY462" s="273"/>
      <c r="AZ462" s="923"/>
      <c r="BA462" s="923"/>
    </row>
    <row r="463" spans="1:53">
      <c r="A463" s="874" t="s">
        <v>903</v>
      </c>
      <c r="B463" s="871" t="s">
        <v>904</v>
      </c>
      <c r="E463" s="277"/>
      <c r="F463" s="273"/>
      <c r="G463" s="273"/>
      <c r="H463" s="273"/>
      <c r="I463" s="273"/>
      <c r="J463" s="273"/>
      <c r="K463" s="273"/>
      <c r="L463" s="273"/>
      <c r="M463" s="273"/>
      <c r="N463" s="224">
        <f t="shared" si="189"/>
        <v>0</v>
      </c>
      <c r="O463" s="273"/>
      <c r="P463" s="273"/>
      <c r="Q463" s="273"/>
      <c r="R463" s="273"/>
      <c r="S463" s="273"/>
      <c r="T463" s="273"/>
      <c r="U463" s="273"/>
      <c r="V463" s="273"/>
      <c r="W463" s="273"/>
      <c r="X463" s="273"/>
      <c r="Y463" s="273"/>
      <c r="Z463" s="273"/>
      <c r="AA463" s="224">
        <f t="shared" si="170"/>
        <v>0</v>
      </c>
      <c r="AB463" s="273"/>
      <c r="AC463" s="273"/>
      <c r="AD463" s="273"/>
      <c r="AE463" s="273"/>
      <c r="AF463" s="273"/>
      <c r="AG463" s="273"/>
      <c r="AH463" s="273"/>
      <c r="AI463" s="273"/>
      <c r="AJ463" s="273"/>
      <c r="AK463" s="273"/>
      <c r="AL463" s="273"/>
      <c r="AM463" s="273"/>
      <c r="AN463" s="224">
        <f t="shared" si="171"/>
        <v>0</v>
      </c>
      <c r="AO463" s="273"/>
      <c r="AP463" s="273"/>
      <c r="AQ463" s="273"/>
      <c r="AR463" s="273"/>
      <c r="AS463" s="273"/>
      <c r="AT463" s="273"/>
      <c r="AU463" s="273"/>
      <c r="AV463" s="273"/>
      <c r="AW463" s="273"/>
      <c r="AX463" s="273"/>
      <c r="AY463" s="273"/>
      <c r="AZ463" s="923"/>
      <c r="BA463" s="923"/>
    </row>
    <row r="464" spans="1:53">
      <c r="A464" s="874" t="s">
        <v>905</v>
      </c>
      <c r="B464" s="871" t="s">
        <v>1014</v>
      </c>
      <c r="E464" s="277"/>
      <c r="F464" s="273"/>
      <c r="G464" s="273"/>
      <c r="H464" s="273"/>
      <c r="I464" s="273"/>
      <c r="J464" s="273"/>
      <c r="K464" s="273"/>
      <c r="L464" s="273"/>
      <c r="M464" s="273"/>
      <c r="N464" s="224">
        <f t="shared" si="189"/>
        <v>0</v>
      </c>
      <c r="O464" s="273"/>
      <c r="P464" s="273"/>
      <c r="Q464" s="273"/>
      <c r="R464" s="273"/>
      <c r="S464" s="273"/>
      <c r="T464" s="273"/>
      <c r="U464" s="273"/>
      <c r="V464" s="273"/>
      <c r="W464" s="273"/>
      <c r="X464" s="273"/>
      <c r="Y464" s="273"/>
      <c r="Z464" s="273"/>
      <c r="AA464" s="224">
        <f t="shared" si="170"/>
        <v>0</v>
      </c>
      <c r="AB464" s="273"/>
      <c r="AC464" s="273"/>
      <c r="AD464" s="273"/>
      <c r="AE464" s="273"/>
      <c r="AF464" s="273"/>
      <c r="AG464" s="273"/>
      <c r="AH464" s="273"/>
      <c r="AI464" s="273"/>
      <c r="AJ464" s="273"/>
      <c r="AK464" s="273"/>
      <c r="AL464" s="273"/>
      <c r="AM464" s="273"/>
      <c r="AN464" s="224">
        <f t="shared" si="171"/>
        <v>0</v>
      </c>
      <c r="AO464" s="273"/>
      <c r="AP464" s="273"/>
      <c r="AQ464" s="273"/>
      <c r="AR464" s="273"/>
      <c r="AS464" s="273"/>
      <c r="AT464" s="273"/>
      <c r="AU464" s="273"/>
      <c r="AV464" s="273"/>
      <c r="AW464" s="273"/>
      <c r="AX464" s="273"/>
      <c r="AY464" s="273"/>
      <c r="AZ464" s="923"/>
      <c r="BA464" s="923"/>
    </row>
    <row r="465" spans="1:53">
      <c r="A465" s="874" t="s">
        <v>908</v>
      </c>
      <c r="B465" s="871" t="s">
        <v>1015</v>
      </c>
      <c r="E465" s="277"/>
      <c r="F465" s="273"/>
      <c r="G465" s="273"/>
      <c r="H465" s="273"/>
      <c r="I465" s="273"/>
      <c r="J465" s="273"/>
      <c r="K465" s="273"/>
      <c r="L465" s="273"/>
      <c r="M465" s="273"/>
      <c r="N465" s="224">
        <f t="shared" si="189"/>
        <v>0</v>
      </c>
      <c r="O465" s="273"/>
      <c r="P465" s="273"/>
      <c r="Q465" s="273"/>
      <c r="R465" s="273"/>
      <c r="S465" s="273"/>
      <c r="T465" s="273"/>
      <c r="U465" s="273"/>
      <c r="V465" s="273"/>
      <c r="W465" s="273"/>
      <c r="X465" s="273"/>
      <c r="Y465" s="273"/>
      <c r="Z465" s="273"/>
      <c r="AA465" s="224">
        <f t="shared" si="170"/>
        <v>0</v>
      </c>
      <c r="AB465" s="273"/>
      <c r="AC465" s="273"/>
      <c r="AD465" s="273"/>
      <c r="AE465" s="273"/>
      <c r="AF465" s="273"/>
      <c r="AG465" s="273"/>
      <c r="AH465" s="273"/>
      <c r="AI465" s="273"/>
      <c r="AJ465" s="273"/>
      <c r="AK465" s="273"/>
      <c r="AL465" s="273"/>
      <c r="AM465" s="273"/>
      <c r="AN465" s="224">
        <f t="shared" si="171"/>
        <v>0</v>
      </c>
      <c r="AO465" s="273"/>
      <c r="AP465" s="273"/>
      <c r="AQ465" s="273"/>
      <c r="AR465" s="273"/>
      <c r="AS465" s="273"/>
      <c r="AT465" s="273"/>
      <c r="AU465" s="273"/>
      <c r="AV465" s="273"/>
      <c r="AW465" s="273"/>
      <c r="AX465" s="273"/>
      <c r="AY465" s="273"/>
      <c r="AZ465" s="923"/>
      <c r="BA465" s="923"/>
    </row>
    <row r="466" spans="1:53">
      <c r="A466" s="874" t="s">
        <v>910</v>
      </c>
      <c r="B466" s="871" t="s">
        <v>1016</v>
      </c>
      <c r="E466" s="277"/>
      <c r="F466" s="273"/>
      <c r="G466" s="273"/>
      <c r="H466" s="273"/>
      <c r="I466" s="273"/>
      <c r="J466" s="273"/>
      <c r="K466" s="273"/>
      <c r="L466" s="273"/>
      <c r="M466" s="273"/>
      <c r="N466" s="224">
        <f t="shared" si="189"/>
        <v>0</v>
      </c>
      <c r="O466" s="273"/>
      <c r="P466" s="273"/>
      <c r="Q466" s="273"/>
      <c r="R466" s="273"/>
      <c r="S466" s="273"/>
      <c r="T466" s="273"/>
      <c r="U466" s="273"/>
      <c r="V466" s="273"/>
      <c r="W466" s="273"/>
      <c r="X466" s="273"/>
      <c r="Y466" s="273"/>
      <c r="Z466" s="273"/>
      <c r="AA466" s="224">
        <f t="shared" si="170"/>
        <v>0</v>
      </c>
      <c r="AB466" s="273"/>
      <c r="AC466" s="273"/>
      <c r="AD466" s="273"/>
      <c r="AE466" s="273"/>
      <c r="AF466" s="273"/>
      <c r="AG466" s="273"/>
      <c r="AH466" s="273"/>
      <c r="AI466" s="273"/>
      <c r="AJ466" s="273"/>
      <c r="AK466" s="273"/>
      <c r="AL466" s="273"/>
      <c r="AM466" s="273"/>
      <c r="AN466" s="224">
        <f t="shared" si="171"/>
        <v>0</v>
      </c>
      <c r="AO466" s="273"/>
      <c r="AP466" s="273"/>
      <c r="AQ466" s="273"/>
      <c r="AR466" s="273"/>
      <c r="AS466" s="273"/>
      <c r="AT466" s="273"/>
      <c r="AU466" s="273"/>
      <c r="AV466" s="273"/>
      <c r="AW466" s="273"/>
      <c r="AX466" s="273"/>
      <c r="AY466" s="273"/>
      <c r="AZ466" s="923"/>
      <c r="BA466" s="923"/>
    </row>
    <row r="467" spans="1:53">
      <c r="A467" s="874" t="s">
        <v>645</v>
      </c>
      <c r="B467" s="871" t="s">
        <v>911</v>
      </c>
      <c r="E467" s="277"/>
      <c r="F467" s="273"/>
      <c r="G467" s="273"/>
      <c r="H467" s="273"/>
      <c r="I467" s="273"/>
      <c r="J467" s="273"/>
      <c r="K467" s="273"/>
      <c r="L467" s="273"/>
      <c r="M467" s="273"/>
      <c r="N467" s="224">
        <f t="shared" si="189"/>
        <v>0</v>
      </c>
      <c r="O467" s="273"/>
      <c r="P467" s="273"/>
      <c r="Q467" s="273"/>
      <c r="R467" s="273"/>
      <c r="S467" s="273"/>
      <c r="T467" s="273"/>
      <c r="U467" s="273"/>
      <c r="V467" s="273"/>
      <c r="W467" s="273"/>
      <c r="X467" s="273"/>
      <c r="Y467" s="273"/>
      <c r="Z467" s="273"/>
      <c r="AA467" s="224">
        <f t="shared" si="170"/>
        <v>0</v>
      </c>
      <c r="AB467" s="273"/>
      <c r="AC467" s="273"/>
      <c r="AD467" s="273"/>
      <c r="AE467" s="273"/>
      <c r="AF467" s="273"/>
      <c r="AG467" s="273"/>
      <c r="AH467" s="273"/>
      <c r="AI467" s="273"/>
      <c r="AJ467" s="273"/>
      <c r="AK467" s="273"/>
      <c r="AL467" s="273"/>
      <c r="AM467" s="273"/>
      <c r="AN467" s="224">
        <f t="shared" si="171"/>
        <v>0</v>
      </c>
      <c r="AO467" s="273"/>
      <c r="AP467" s="273"/>
      <c r="AQ467" s="273"/>
      <c r="AR467" s="273"/>
      <c r="AS467" s="273"/>
      <c r="AT467" s="273"/>
      <c r="AU467" s="273"/>
      <c r="AV467" s="273"/>
      <c r="AW467" s="273"/>
      <c r="AX467" s="273"/>
      <c r="AY467" s="273"/>
      <c r="AZ467" s="923"/>
      <c r="BA467" s="923"/>
    </row>
    <row r="468" spans="1:53">
      <c r="A468" s="874">
        <v>447.24200000000002</v>
      </c>
      <c r="B468" s="871" t="s">
        <v>916</v>
      </c>
      <c r="E468" s="277"/>
      <c r="F468" s="273"/>
      <c r="G468" s="273"/>
      <c r="H468" s="273"/>
      <c r="I468" s="273"/>
      <c r="J468" s="273"/>
      <c r="K468" s="273"/>
      <c r="L468" s="273"/>
      <c r="M468" s="273"/>
      <c r="N468" s="224">
        <f t="shared" si="189"/>
        <v>0</v>
      </c>
      <c r="O468" s="273"/>
      <c r="P468" s="273"/>
      <c r="Q468" s="273"/>
      <c r="R468" s="273"/>
      <c r="S468" s="273"/>
      <c r="T468" s="273"/>
      <c r="U468" s="273"/>
      <c r="V468" s="273"/>
      <c r="W468" s="273"/>
      <c r="X468" s="273"/>
      <c r="Y468" s="273"/>
      <c r="Z468" s="273"/>
      <c r="AA468" s="224">
        <f t="shared" si="170"/>
        <v>0</v>
      </c>
      <c r="AB468" s="273"/>
      <c r="AC468" s="273"/>
      <c r="AD468" s="273"/>
      <c r="AE468" s="273"/>
      <c r="AF468" s="273"/>
      <c r="AG468" s="273"/>
      <c r="AH468" s="273"/>
      <c r="AI468" s="273"/>
      <c r="AJ468" s="273"/>
      <c r="AK468" s="273"/>
      <c r="AL468" s="273"/>
      <c r="AM468" s="273"/>
      <c r="AN468" s="224">
        <f t="shared" si="171"/>
        <v>0</v>
      </c>
      <c r="AO468" s="273"/>
      <c r="AP468" s="273"/>
      <c r="AQ468" s="273"/>
      <c r="AR468" s="273"/>
      <c r="AS468" s="273"/>
      <c r="AT468" s="273"/>
      <c r="AU468" s="273"/>
      <c r="AV468" s="273"/>
      <c r="AW468" s="273"/>
      <c r="AX468" s="273"/>
      <c r="AY468" s="273"/>
      <c r="AZ468" s="923"/>
      <c r="BA468" s="923"/>
    </row>
    <row r="469" spans="1:53">
      <c r="A469" s="874" t="s">
        <v>0</v>
      </c>
      <c r="B469" s="871" t="s">
        <v>1</v>
      </c>
      <c r="E469" s="277"/>
      <c r="F469" s="273"/>
      <c r="G469" s="273"/>
      <c r="H469" s="273"/>
      <c r="I469" s="273"/>
      <c r="J469" s="273"/>
      <c r="K469" s="273"/>
      <c r="L469" s="273"/>
      <c r="M469" s="273"/>
      <c r="N469" s="224">
        <f>SUM(E469:M469)</f>
        <v>0</v>
      </c>
      <c r="O469" s="273">
        <f t="shared" ref="O469:Z469" si="190">O51</f>
        <v>-2E-3</v>
      </c>
      <c r="P469" s="273">
        <f t="shared" si="190"/>
        <v>-2E-3</v>
      </c>
      <c r="Q469" s="273">
        <f t="shared" si="190"/>
        <v>-2E-3</v>
      </c>
      <c r="R469" s="273">
        <f t="shared" si="190"/>
        <v>-2E-3</v>
      </c>
      <c r="S469" s="273">
        <f t="shared" si="190"/>
        <v>-2E-3</v>
      </c>
      <c r="T469" s="273">
        <f t="shared" si="190"/>
        <v>-2E-3</v>
      </c>
      <c r="U469" s="273">
        <f t="shared" si="190"/>
        <v>-2E-3</v>
      </c>
      <c r="V469" s="273">
        <f t="shared" si="190"/>
        <v>-2E-3</v>
      </c>
      <c r="W469" s="273">
        <f t="shared" si="190"/>
        <v>-2E-3</v>
      </c>
      <c r="X469" s="273">
        <f t="shared" si="190"/>
        <v>-2E-3</v>
      </c>
      <c r="Y469" s="273">
        <f t="shared" si="190"/>
        <v>-2E-3</v>
      </c>
      <c r="Z469" s="273">
        <f t="shared" si="190"/>
        <v>-2E-3</v>
      </c>
      <c r="AA469" s="224">
        <f t="shared" si="170"/>
        <v>-2.4000000000000007E-2</v>
      </c>
      <c r="AB469" s="273">
        <f t="shared" ref="AB469:AM469" si="191">AB51</f>
        <v>-2E-3</v>
      </c>
      <c r="AC469" s="273">
        <f t="shared" si="191"/>
        <v>-2E-3</v>
      </c>
      <c r="AD469" s="273">
        <f t="shared" si="191"/>
        <v>-2E-3</v>
      </c>
      <c r="AE469" s="273">
        <f t="shared" si="191"/>
        <v>-2E-3</v>
      </c>
      <c r="AF469" s="273">
        <f t="shared" si="191"/>
        <v>-2E-3</v>
      </c>
      <c r="AG469" s="273">
        <f t="shared" si="191"/>
        <v>-2E-3</v>
      </c>
      <c r="AH469" s="273">
        <f t="shared" si="191"/>
        <v>-2E-3</v>
      </c>
      <c r="AI469" s="273">
        <f t="shared" si="191"/>
        <v>-2E-3</v>
      </c>
      <c r="AJ469" s="273">
        <f t="shared" si="191"/>
        <v>-2E-3</v>
      </c>
      <c r="AK469" s="273">
        <f t="shared" si="191"/>
        <v>-2E-3</v>
      </c>
      <c r="AL469" s="273">
        <f t="shared" si="191"/>
        <v>-2E-3</v>
      </c>
      <c r="AM469" s="273">
        <f t="shared" si="191"/>
        <v>-2E-3</v>
      </c>
      <c r="AN469" s="224">
        <f t="shared" si="171"/>
        <v>-2.4000000000000007E-2</v>
      </c>
      <c r="AO469" s="273">
        <f t="shared" ref="AO469:AY469" si="192">AO51</f>
        <v>-2.4E-2</v>
      </c>
      <c r="AP469" s="273">
        <f t="shared" si="192"/>
        <v>-2.4E-2</v>
      </c>
      <c r="AQ469" s="273">
        <f t="shared" si="192"/>
        <v>-2.4E-2</v>
      </c>
      <c r="AR469" s="273">
        <f t="shared" si="192"/>
        <v>-2.4E-2</v>
      </c>
      <c r="AS469" s="273">
        <f t="shared" si="192"/>
        <v>-2.4E-2</v>
      </c>
      <c r="AT469" s="273">
        <f t="shared" si="192"/>
        <v>-2.4E-2</v>
      </c>
      <c r="AU469" s="273">
        <f t="shared" si="192"/>
        <v>-2.4E-2</v>
      </c>
      <c r="AV469" s="273">
        <f t="shared" si="192"/>
        <v>-2.4E-2</v>
      </c>
      <c r="AW469" s="273">
        <f t="shared" si="192"/>
        <v>-2.4E-2</v>
      </c>
      <c r="AX469" s="273">
        <f t="shared" si="192"/>
        <v>-2.4E-2</v>
      </c>
      <c r="AY469" s="273">
        <f t="shared" si="192"/>
        <v>-2.4E-2</v>
      </c>
      <c r="AZ469" s="923"/>
      <c r="BA469" s="923"/>
    </row>
    <row r="470" spans="1:53">
      <c r="A470" s="874" t="s">
        <v>2</v>
      </c>
      <c r="B470" s="871" t="s">
        <v>37</v>
      </c>
      <c r="E470" s="277"/>
      <c r="F470" s="273"/>
      <c r="G470" s="273"/>
      <c r="H470" s="273"/>
      <c r="I470" s="273"/>
      <c r="J470" s="273"/>
      <c r="K470" s="273"/>
      <c r="L470" s="273"/>
      <c r="M470" s="273"/>
      <c r="N470" s="224">
        <f>SUM(E470:M470)</f>
        <v>0</v>
      </c>
      <c r="O470" s="273">
        <f t="shared" ref="O470:Z470" si="193">O195</f>
        <v>-6.0000000000000001E-3</v>
      </c>
      <c r="P470" s="273">
        <f t="shared" si="193"/>
        <v>-1.5E-3</v>
      </c>
      <c r="Q470" s="273">
        <f t="shared" si="193"/>
        <v>-1.5E-3</v>
      </c>
      <c r="R470" s="273">
        <f t="shared" si="193"/>
        <v>-1.5E-3</v>
      </c>
      <c r="S470" s="273">
        <f t="shared" si="193"/>
        <v>-1.5E-3</v>
      </c>
      <c r="T470" s="273">
        <f t="shared" si="193"/>
        <v>-1.5E-3</v>
      </c>
      <c r="U470" s="273">
        <f t="shared" si="193"/>
        <v>-1.5E-3</v>
      </c>
      <c r="V470" s="273">
        <f t="shared" si="193"/>
        <v>-1.5E-3</v>
      </c>
      <c r="W470" s="273">
        <f t="shared" si="193"/>
        <v>-1.5E-3</v>
      </c>
      <c r="X470" s="273">
        <f t="shared" si="193"/>
        <v>-1.5E-3</v>
      </c>
      <c r="Y470" s="273">
        <f t="shared" si="193"/>
        <v>-1.5E-3</v>
      </c>
      <c r="Z470" s="273">
        <f t="shared" si="193"/>
        <v>-1.5E-3</v>
      </c>
      <c r="AA470" s="224">
        <f t="shared" si="170"/>
        <v>-2.2500000000000003E-2</v>
      </c>
      <c r="AB470" s="273">
        <f t="shared" ref="AB470:AM470" si="194">AB195</f>
        <v>-6.0000000000000001E-3</v>
      </c>
      <c r="AC470" s="273">
        <f t="shared" si="194"/>
        <v>-1.5E-3</v>
      </c>
      <c r="AD470" s="273">
        <f t="shared" si="194"/>
        <v>-1.5E-3</v>
      </c>
      <c r="AE470" s="273">
        <f t="shared" si="194"/>
        <v>-1.5E-3</v>
      </c>
      <c r="AF470" s="273">
        <f t="shared" si="194"/>
        <v>-1.5E-3</v>
      </c>
      <c r="AG470" s="273">
        <f t="shared" si="194"/>
        <v>-1.5E-3</v>
      </c>
      <c r="AH470" s="273">
        <f t="shared" si="194"/>
        <v>-1.5E-3</v>
      </c>
      <c r="AI470" s="273">
        <f t="shared" si="194"/>
        <v>-1.5E-3</v>
      </c>
      <c r="AJ470" s="273">
        <f t="shared" si="194"/>
        <v>-1.5E-3</v>
      </c>
      <c r="AK470" s="273">
        <f t="shared" si="194"/>
        <v>-1.5E-3</v>
      </c>
      <c r="AL470" s="273">
        <f t="shared" si="194"/>
        <v>-1.5E-3</v>
      </c>
      <c r="AM470" s="273">
        <f t="shared" si="194"/>
        <v>-1.5E-3</v>
      </c>
      <c r="AN470" s="224">
        <f t="shared" si="171"/>
        <v>-2.2500000000000003E-2</v>
      </c>
      <c r="AO470" s="273">
        <f t="shared" ref="AO470:AY470" si="195">AO195</f>
        <v>-2.2499999999999999E-2</v>
      </c>
      <c r="AP470" s="273">
        <f t="shared" si="195"/>
        <v>-2.2499999999999999E-2</v>
      </c>
      <c r="AQ470" s="273">
        <f t="shared" si="195"/>
        <v>-2.3175000000000001E-2</v>
      </c>
      <c r="AR470" s="273">
        <f t="shared" si="195"/>
        <v>-2.3870250000000003E-2</v>
      </c>
      <c r="AS470" s="273">
        <f t="shared" si="195"/>
        <v>-2.4586357500000003E-2</v>
      </c>
      <c r="AT470" s="273">
        <f t="shared" si="195"/>
        <v>-2.5323948225000004E-2</v>
      </c>
      <c r="AU470" s="273">
        <f t="shared" si="195"/>
        <v>-2.6083666671750005E-2</v>
      </c>
      <c r="AV470" s="273">
        <f t="shared" si="195"/>
        <v>-2.6866176671902504E-2</v>
      </c>
      <c r="AW470" s="273">
        <f t="shared" si="195"/>
        <v>-2.7672161972059579E-2</v>
      </c>
      <c r="AX470" s="273">
        <f t="shared" si="195"/>
        <v>-2.8502326831221367E-2</v>
      </c>
      <c r="AY470" s="273">
        <f t="shared" si="195"/>
        <v>-2.9357396636158009E-2</v>
      </c>
      <c r="AZ470" s="923"/>
      <c r="BA470" s="923"/>
    </row>
    <row r="471" spans="1:53">
      <c r="A471" s="874" t="s">
        <v>38</v>
      </c>
      <c r="B471" s="871" t="s">
        <v>39</v>
      </c>
      <c r="E471" s="277"/>
      <c r="F471" s="273"/>
      <c r="G471" s="273"/>
      <c r="H471" s="273"/>
      <c r="I471" s="273"/>
      <c r="J471" s="273"/>
      <c r="K471" s="273"/>
      <c r="L471" s="273"/>
      <c r="M471" s="273"/>
      <c r="N471" s="224">
        <f>SUM(E471:M471)</f>
        <v>0</v>
      </c>
      <c r="O471" s="273">
        <f t="shared" ref="O471:Z471" si="196">+O52</f>
        <v>-0.30416700000000002</v>
      </c>
      <c r="P471" s="273">
        <f t="shared" si="196"/>
        <v>-0.30416700000000002</v>
      </c>
      <c r="Q471" s="273">
        <f t="shared" si="196"/>
        <v>-0.30416700000000002</v>
      </c>
      <c r="R471" s="273">
        <f t="shared" si="196"/>
        <v>-0.30416700000000002</v>
      </c>
      <c r="S471" s="273">
        <f t="shared" si="196"/>
        <v>-0.30416700000000002</v>
      </c>
      <c r="T471" s="273">
        <f t="shared" si="196"/>
        <v>-0.30416700000000002</v>
      </c>
      <c r="U471" s="273">
        <f t="shared" si="196"/>
        <v>-0.30416700000000002</v>
      </c>
      <c r="V471" s="273">
        <f t="shared" si="196"/>
        <v>-0.30416700000000002</v>
      </c>
      <c r="W471" s="273">
        <f t="shared" si="196"/>
        <v>-0.30416700000000002</v>
      </c>
      <c r="X471" s="273">
        <f t="shared" si="196"/>
        <v>-0.30416700000000002</v>
      </c>
      <c r="Y471" s="273">
        <f t="shared" si="196"/>
        <v>-0.30416700000000002</v>
      </c>
      <c r="Z471" s="273">
        <f t="shared" si="196"/>
        <v>-0.30416300000000002</v>
      </c>
      <c r="AA471" s="224">
        <f t="shared" si="170"/>
        <v>-3.6500000000000004</v>
      </c>
      <c r="AB471" s="273">
        <f t="shared" ref="AB471:AM471" si="197">+AB52</f>
        <v>-0.30416700000000002</v>
      </c>
      <c r="AC471" s="273">
        <f t="shared" si="197"/>
        <v>-0.30416700000000002</v>
      </c>
      <c r="AD471" s="273">
        <f t="shared" si="197"/>
        <v>-0.30416700000000002</v>
      </c>
      <c r="AE471" s="273">
        <f t="shared" si="197"/>
        <v>-0.30416700000000002</v>
      </c>
      <c r="AF471" s="273">
        <f t="shared" si="197"/>
        <v>-0.30416700000000002</v>
      </c>
      <c r="AG471" s="273">
        <f t="shared" si="197"/>
        <v>-0.30416700000000002</v>
      </c>
      <c r="AH471" s="273">
        <f t="shared" si="197"/>
        <v>-0.30416700000000002</v>
      </c>
      <c r="AI471" s="273">
        <f t="shared" si="197"/>
        <v>-0.30416700000000002</v>
      </c>
      <c r="AJ471" s="273">
        <f t="shared" si="197"/>
        <v>-0.30416700000000002</v>
      </c>
      <c r="AK471" s="273">
        <f t="shared" si="197"/>
        <v>-0.30416700000000002</v>
      </c>
      <c r="AL471" s="273">
        <f t="shared" si="197"/>
        <v>-0.30416700000000002</v>
      </c>
      <c r="AM471" s="273">
        <f t="shared" si="197"/>
        <v>-0.30416300000000002</v>
      </c>
      <c r="AN471" s="224">
        <f t="shared" si="171"/>
        <v>-3.6500000000000004</v>
      </c>
      <c r="AO471" s="273">
        <f t="shared" ref="AO471:AY471" si="198">+AO52</f>
        <v>-3.65</v>
      </c>
      <c r="AP471" s="273">
        <f t="shared" si="198"/>
        <v>-3.65</v>
      </c>
      <c r="AQ471" s="273">
        <f t="shared" si="198"/>
        <v>-3.65</v>
      </c>
      <c r="AR471" s="273">
        <f t="shared" si="198"/>
        <v>-3.65</v>
      </c>
      <c r="AS471" s="273">
        <f t="shared" si="198"/>
        <v>-3.65</v>
      </c>
      <c r="AT471" s="273">
        <f t="shared" si="198"/>
        <v>-3.65</v>
      </c>
      <c r="AU471" s="273">
        <f t="shared" si="198"/>
        <v>-3.65</v>
      </c>
      <c r="AV471" s="273">
        <f t="shared" si="198"/>
        <v>-3.65</v>
      </c>
      <c r="AW471" s="273">
        <f t="shared" si="198"/>
        <v>-3.65</v>
      </c>
      <c r="AX471" s="273">
        <f t="shared" si="198"/>
        <v>-3.65</v>
      </c>
      <c r="AY471" s="273">
        <f t="shared" si="198"/>
        <v>-3.65</v>
      </c>
      <c r="AZ471" s="923"/>
      <c r="BA471" s="923"/>
    </row>
    <row r="472" spans="1:53">
      <c r="A472" s="874" t="s">
        <v>720</v>
      </c>
      <c r="B472" s="871" t="s">
        <v>1004</v>
      </c>
      <c r="E472" s="277"/>
      <c r="F472" s="273"/>
      <c r="G472" s="273"/>
      <c r="H472" s="273"/>
      <c r="I472" s="273"/>
      <c r="J472" s="273"/>
      <c r="K472" s="273"/>
      <c r="L472" s="273"/>
      <c r="M472" s="273"/>
      <c r="N472" s="224">
        <f t="shared" ref="N472:N488" si="199">SUM(E472:M472)</f>
        <v>0</v>
      </c>
      <c r="O472" s="273">
        <f t="shared" ref="O472:Z472" si="200">+O137</f>
        <v>0.43463016635871121</v>
      </c>
      <c r="P472" s="273">
        <f t="shared" si="200"/>
        <v>0.420045261447345</v>
      </c>
      <c r="Q472" s="273">
        <f t="shared" si="200"/>
        <v>0.45213205225235048</v>
      </c>
      <c r="R472" s="273">
        <f t="shared" si="200"/>
        <v>0.44280091336085969</v>
      </c>
      <c r="S472" s="273">
        <f t="shared" si="200"/>
        <v>0.45893601576099508</v>
      </c>
      <c r="T472" s="273">
        <f t="shared" si="200"/>
        <v>0.39670941358915918</v>
      </c>
      <c r="U472" s="273">
        <f t="shared" si="200"/>
        <v>0.43171318537643788</v>
      </c>
      <c r="V472" s="273">
        <f t="shared" si="200"/>
        <v>0.45796601421689703</v>
      </c>
      <c r="W472" s="273">
        <f t="shared" si="200"/>
        <v>0.40175832845329923</v>
      </c>
      <c r="X472" s="273">
        <f t="shared" si="200"/>
        <v>0.475642539020799</v>
      </c>
      <c r="Y472" s="273">
        <f t="shared" si="200"/>
        <v>0.39587639893656551</v>
      </c>
      <c r="Z472" s="273">
        <f t="shared" si="200"/>
        <v>0.31665181645778812</v>
      </c>
      <c r="AA472" s="224">
        <f t="shared" si="170"/>
        <v>5.084862105231208</v>
      </c>
      <c r="AB472" s="273">
        <f t="shared" ref="AB472:AM472" si="201">+AB137</f>
        <v>0.33375711145444775</v>
      </c>
      <c r="AC472" s="273">
        <f t="shared" si="201"/>
        <v>0.32255720838550644</v>
      </c>
      <c r="AD472" s="273">
        <f t="shared" si="201"/>
        <v>0.36053404942798034</v>
      </c>
      <c r="AE472" s="273">
        <f t="shared" si="201"/>
        <v>0.33404467239774688</v>
      </c>
      <c r="AF472" s="273">
        <f t="shared" si="201"/>
        <v>0.35229598333896989</v>
      </c>
      <c r="AG472" s="273">
        <f t="shared" si="201"/>
        <v>0.30463736347520065</v>
      </c>
      <c r="AH472" s="273">
        <f t="shared" si="201"/>
        <v>0.33151713084065948</v>
      </c>
      <c r="AI472" s="273">
        <f t="shared" si="201"/>
        <v>0.35167695636475366</v>
      </c>
      <c r="AJ472" s="273">
        <f t="shared" si="201"/>
        <v>0.30858590434753247</v>
      </c>
      <c r="AK472" s="273">
        <f t="shared" si="201"/>
        <v>0.36531125441141715</v>
      </c>
      <c r="AL472" s="273">
        <f t="shared" si="201"/>
        <v>0.30404787634242181</v>
      </c>
      <c r="AM472" s="273">
        <f t="shared" si="201"/>
        <v>0.3131239323526433</v>
      </c>
      <c r="AN472" s="224">
        <f t="shared" si="171"/>
        <v>3.9820894431392788</v>
      </c>
      <c r="AO472" s="273">
        <f t="shared" ref="AO472:AY472" si="202">+AO137</f>
        <v>4.0885793534660877</v>
      </c>
      <c r="AP472" s="273">
        <f t="shared" si="202"/>
        <v>4.187182218473338</v>
      </c>
      <c r="AQ472" s="273">
        <f t="shared" si="202"/>
        <v>4.3127976850275385</v>
      </c>
      <c r="AR472" s="273">
        <f t="shared" si="202"/>
        <v>4.4421816155783649</v>
      </c>
      <c r="AS472" s="273">
        <f t="shared" si="202"/>
        <v>4.5754470640457159</v>
      </c>
      <c r="AT472" s="273">
        <f t="shared" si="202"/>
        <v>4.7127104759670875</v>
      </c>
      <c r="AU472" s="273">
        <f t="shared" si="202"/>
        <v>4.8540917902461</v>
      </c>
      <c r="AV472" s="273">
        <f t="shared" si="202"/>
        <v>4.9997145439534831</v>
      </c>
      <c r="AW472" s="273">
        <f t="shared" si="202"/>
        <v>5.1497059802720875</v>
      </c>
      <c r="AX472" s="273">
        <f t="shared" si="202"/>
        <v>5.3041971596802506</v>
      </c>
      <c r="AY472" s="273">
        <f t="shared" si="202"/>
        <v>5.463323074470658</v>
      </c>
      <c r="AZ472" s="923"/>
      <c r="BA472" s="923"/>
    </row>
    <row r="473" spans="1:53">
      <c r="A473" s="874">
        <v>500.1</v>
      </c>
      <c r="B473" s="871" t="s">
        <v>1004</v>
      </c>
      <c r="E473" s="277"/>
      <c r="F473" s="273"/>
      <c r="G473" s="273"/>
      <c r="H473" s="273"/>
      <c r="I473" s="273"/>
      <c r="J473" s="273"/>
      <c r="K473" s="273"/>
      <c r="L473" s="273"/>
      <c r="M473" s="273"/>
      <c r="N473" s="224">
        <f t="shared" si="199"/>
        <v>0</v>
      </c>
      <c r="O473" s="273">
        <f t="shared" ref="O473:Z473" si="203">O29</f>
        <v>0</v>
      </c>
      <c r="P473" s="273">
        <f t="shared" si="203"/>
        <v>0</v>
      </c>
      <c r="Q473" s="273">
        <f t="shared" si="203"/>
        <v>0</v>
      </c>
      <c r="R473" s="273">
        <f t="shared" si="203"/>
        <v>0</v>
      </c>
      <c r="S473" s="273">
        <f t="shared" si="203"/>
        <v>0</v>
      </c>
      <c r="T473" s="273">
        <f t="shared" si="203"/>
        <v>0</v>
      </c>
      <c r="U473" s="273">
        <f t="shared" si="203"/>
        <v>0</v>
      </c>
      <c r="V473" s="273">
        <f t="shared" si="203"/>
        <v>0</v>
      </c>
      <c r="W473" s="273">
        <f t="shared" si="203"/>
        <v>0</v>
      </c>
      <c r="X473" s="273">
        <f t="shared" si="203"/>
        <v>0</v>
      </c>
      <c r="Y473" s="273">
        <f t="shared" si="203"/>
        <v>0</v>
      </c>
      <c r="Z473" s="273">
        <f t="shared" si="203"/>
        <v>0</v>
      </c>
      <c r="AA473" s="224">
        <f t="shared" si="170"/>
        <v>0</v>
      </c>
      <c r="AB473" s="273">
        <f t="shared" ref="AB473:AM473" si="204">AB29</f>
        <v>0</v>
      </c>
      <c r="AC473" s="273">
        <f t="shared" si="204"/>
        <v>0</v>
      </c>
      <c r="AD473" s="273">
        <f t="shared" si="204"/>
        <v>0</v>
      </c>
      <c r="AE473" s="273">
        <f t="shared" si="204"/>
        <v>0</v>
      </c>
      <c r="AF473" s="273">
        <f t="shared" si="204"/>
        <v>0</v>
      </c>
      <c r="AG473" s="273">
        <f t="shared" si="204"/>
        <v>0</v>
      </c>
      <c r="AH473" s="273">
        <f t="shared" si="204"/>
        <v>0</v>
      </c>
      <c r="AI473" s="273">
        <f t="shared" si="204"/>
        <v>0</v>
      </c>
      <c r="AJ473" s="273">
        <f t="shared" si="204"/>
        <v>0</v>
      </c>
      <c r="AK473" s="273">
        <f t="shared" si="204"/>
        <v>0</v>
      </c>
      <c r="AL473" s="273">
        <f t="shared" si="204"/>
        <v>0</v>
      </c>
      <c r="AM473" s="273">
        <f t="shared" si="204"/>
        <v>0</v>
      </c>
      <c r="AN473" s="224">
        <f t="shared" si="171"/>
        <v>0</v>
      </c>
      <c r="AO473" s="273">
        <f t="shared" ref="AO473:AY473" si="205">AO29</f>
        <v>0</v>
      </c>
      <c r="AP473" s="273">
        <f t="shared" si="205"/>
        <v>0</v>
      </c>
      <c r="AQ473" s="273">
        <f t="shared" si="205"/>
        <v>0</v>
      </c>
      <c r="AR473" s="273">
        <f t="shared" si="205"/>
        <v>0</v>
      </c>
      <c r="AS473" s="273">
        <f t="shared" si="205"/>
        <v>0</v>
      </c>
      <c r="AT473" s="273">
        <f t="shared" si="205"/>
        <v>0</v>
      </c>
      <c r="AU473" s="273">
        <f t="shared" si="205"/>
        <v>0</v>
      </c>
      <c r="AV473" s="273">
        <f t="shared" si="205"/>
        <v>0</v>
      </c>
      <c r="AW473" s="273">
        <f t="shared" si="205"/>
        <v>0</v>
      </c>
      <c r="AX473" s="273">
        <f t="shared" si="205"/>
        <v>0</v>
      </c>
      <c r="AY473" s="273">
        <f t="shared" si="205"/>
        <v>0</v>
      </c>
      <c r="AZ473" s="923"/>
      <c r="BA473" s="923"/>
    </row>
    <row r="474" spans="1:53">
      <c r="A474" s="874">
        <v>501.1</v>
      </c>
      <c r="B474" s="871" t="s">
        <v>46</v>
      </c>
      <c r="E474" s="277"/>
      <c r="F474" s="273"/>
      <c r="G474" s="273"/>
      <c r="H474" s="273"/>
      <c r="I474" s="273"/>
      <c r="J474" s="273"/>
      <c r="K474" s="273"/>
      <c r="L474" s="273"/>
      <c r="M474" s="273"/>
      <c r="N474" s="224">
        <f t="shared" si="199"/>
        <v>0</v>
      </c>
      <c r="O474" s="273"/>
      <c r="P474" s="273"/>
      <c r="Q474" s="273"/>
      <c r="R474" s="273"/>
      <c r="S474" s="273"/>
      <c r="T474" s="273"/>
      <c r="U474" s="273"/>
      <c r="V474" s="273"/>
      <c r="W474" s="273"/>
      <c r="X474" s="273"/>
      <c r="Y474" s="273"/>
      <c r="Z474" s="273"/>
      <c r="AA474" s="224">
        <f t="shared" si="170"/>
        <v>0</v>
      </c>
      <c r="AB474" s="273"/>
      <c r="AC474" s="273"/>
      <c r="AD474" s="273"/>
      <c r="AE474" s="273"/>
      <c r="AF474" s="273"/>
      <c r="AG474" s="273"/>
      <c r="AH474" s="273"/>
      <c r="AI474" s="273"/>
      <c r="AJ474" s="273"/>
      <c r="AK474" s="273"/>
      <c r="AL474" s="273"/>
      <c r="AM474" s="273"/>
      <c r="AN474" s="224">
        <f t="shared" si="171"/>
        <v>0</v>
      </c>
      <c r="AO474" s="273"/>
      <c r="AP474" s="273"/>
      <c r="AQ474" s="273"/>
      <c r="AR474" s="273"/>
      <c r="AS474" s="273"/>
      <c r="AT474" s="273"/>
      <c r="AU474" s="273"/>
      <c r="AV474" s="273"/>
      <c r="AW474" s="273"/>
      <c r="AX474" s="273"/>
      <c r="AY474" s="273"/>
      <c r="AZ474" s="923"/>
      <c r="BA474" s="923"/>
    </row>
    <row r="475" spans="1:53">
      <c r="A475" s="874">
        <v>501.2</v>
      </c>
      <c r="B475" s="875" t="s">
        <v>1029</v>
      </c>
      <c r="E475" s="277"/>
      <c r="F475" s="273"/>
      <c r="G475" s="273"/>
      <c r="H475" s="273"/>
      <c r="I475" s="273"/>
      <c r="J475" s="273"/>
      <c r="K475" s="273"/>
      <c r="L475" s="273"/>
      <c r="M475" s="273"/>
      <c r="N475" s="224">
        <f t="shared" si="199"/>
        <v>0</v>
      </c>
      <c r="O475" s="273">
        <f t="shared" ref="O475:Z475" si="206">+O72</f>
        <v>8.1899999999999996E-4</v>
      </c>
      <c r="P475" s="273">
        <f t="shared" si="206"/>
        <v>8.1899999999999996E-4</v>
      </c>
      <c r="Q475" s="273">
        <f t="shared" si="206"/>
        <v>8.1899999999999996E-4</v>
      </c>
      <c r="R475" s="273">
        <f t="shared" si="206"/>
        <v>8.1899999999999996E-4</v>
      </c>
      <c r="S475" s="273">
        <f t="shared" si="206"/>
        <v>8.1899999999999996E-4</v>
      </c>
      <c r="T475" s="273">
        <f t="shared" si="206"/>
        <v>8.1899999999999996E-4</v>
      </c>
      <c r="U475" s="273">
        <f t="shared" si="206"/>
        <v>8.1899999999999996E-4</v>
      </c>
      <c r="V475" s="273">
        <f t="shared" si="206"/>
        <v>8.1899999999999996E-4</v>
      </c>
      <c r="W475" s="273">
        <f t="shared" si="206"/>
        <v>8.1899999999999996E-4</v>
      </c>
      <c r="X475" s="273">
        <f t="shared" si="206"/>
        <v>8.1899999999999996E-4</v>
      </c>
      <c r="Y475" s="273">
        <f t="shared" si="206"/>
        <v>8.1899999999999996E-4</v>
      </c>
      <c r="Z475" s="273">
        <f t="shared" si="206"/>
        <v>8.1899999999999996E-4</v>
      </c>
      <c r="AA475" s="224">
        <f t="shared" si="170"/>
        <v>9.8280000000000017E-3</v>
      </c>
      <c r="AB475" s="273">
        <f t="shared" ref="AB475:AM475" si="207">+AB72</f>
        <v>8.1899999999999996E-4</v>
      </c>
      <c r="AC475" s="273">
        <f t="shared" si="207"/>
        <v>8.1899999999999996E-4</v>
      </c>
      <c r="AD475" s="273">
        <f t="shared" si="207"/>
        <v>8.1899999999999996E-4</v>
      </c>
      <c r="AE475" s="273">
        <f t="shared" si="207"/>
        <v>8.1899999999999996E-4</v>
      </c>
      <c r="AF475" s="273">
        <f t="shared" si="207"/>
        <v>8.1899999999999996E-4</v>
      </c>
      <c r="AG475" s="273">
        <f t="shared" si="207"/>
        <v>8.1899999999999996E-4</v>
      </c>
      <c r="AH475" s="273">
        <f t="shared" si="207"/>
        <v>8.1899999999999996E-4</v>
      </c>
      <c r="AI475" s="273">
        <f t="shared" si="207"/>
        <v>8.1899999999999996E-4</v>
      </c>
      <c r="AJ475" s="273">
        <f t="shared" si="207"/>
        <v>8.1899999999999996E-4</v>
      </c>
      <c r="AK475" s="273">
        <f t="shared" si="207"/>
        <v>8.1899999999999996E-4</v>
      </c>
      <c r="AL475" s="273">
        <f t="shared" si="207"/>
        <v>8.1899999999999996E-4</v>
      </c>
      <c r="AM475" s="273">
        <f t="shared" si="207"/>
        <v>8.1899999999999996E-4</v>
      </c>
      <c r="AN475" s="224">
        <f t="shared" si="171"/>
        <v>9.8280000000000017E-3</v>
      </c>
      <c r="AO475" s="273">
        <f t="shared" ref="AO475:AY475" si="208">+AO72</f>
        <v>9.8280000000000017E-3</v>
      </c>
      <c r="AP475" s="273">
        <f t="shared" si="208"/>
        <v>9.8280000000000017E-3</v>
      </c>
      <c r="AQ475" s="273">
        <f t="shared" si="208"/>
        <v>1.0122840000000003E-2</v>
      </c>
      <c r="AR475" s="273">
        <f t="shared" si="208"/>
        <v>1.0426525200000003E-2</v>
      </c>
      <c r="AS475" s="273">
        <f t="shared" si="208"/>
        <v>1.0739320956000003E-2</v>
      </c>
      <c r="AT475" s="273">
        <f t="shared" si="208"/>
        <v>1.1061500584680004E-2</v>
      </c>
      <c r="AU475" s="273">
        <f t="shared" si="208"/>
        <v>1.1393345602220405E-2</v>
      </c>
      <c r="AV475" s="273">
        <f t="shared" si="208"/>
        <v>1.1735145970287016E-2</v>
      </c>
      <c r="AW475" s="273">
        <f t="shared" si="208"/>
        <v>1.2087200349395626E-2</v>
      </c>
      <c r="AX475" s="273">
        <f t="shared" si="208"/>
        <v>1.2449816359877495E-2</v>
      </c>
      <c r="AY475" s="273">
        <f t="shared" si="208"/>
        <v>1.2823310850673821E-2</v>
      </c>
      <c r="AZ475" s="923"/>
      <c r="BA475" s="923"/>
    </row>
    <row r="476" spans="1:53">
      <c r="A476" s="874">
        <v>501.1</v>
      </c>
      <c r="B476" s="871" t="s">
        <v>48</v>
      </c>
      <c r="E476" s="277"/>
      <c r="F476" s="273"/>
      <c r="G476" s="273"/>
      <c r="H476" s="273"/>
      <c r="I476" s="273"/>
      <c r="J476" s="273"/>
      <c r="K476" s="273"/>
      <c r="L476" s="273"/>
      <c r="M476" s="273"/>
      <c r="N476" s="224">
        <f t="shared" si="199"/>
        <v>0</v>
      </c>
      <c r="O476" s="273"/>
      <c r="P476" s="273"/>
      <c r="Q476" s="273"/>
      <c r="R476" s="273"/>
      <c r="S476" s="273"/>
      <c r="T476" s="273"/>
      <c r="U476" s="273"/>
      <c r="V476" s="273"/>
      <c r="W476" s="273"/>
      <c r="X476" s="273"/>
      <c r="Y476" s="273"/>
      <c r="Z476" s="273"/>
      <c r="AA476" s="224">
        <f t="shared" si="170"/>
        <v>0</v>
      </c>
      <c r="AB476" s="273"/>
      <c r="AC476" s="273"/>
      <c r="AD476" s="273"/>
      <c r="AE476" s="273"/>
      <c r="AF476" s="273"/>
      <c r="AG476" s="273"/>
      <c r="AH476" s="273"/>
      <c r="AI476" s="273"/>
      <c r="AJ476" s="273"/>
      <c r="AK476" s="273"/>
      <c r="AL476" s="273"/>
      <c r="AM476" s="273"/>
      <c r="AN476" s="224">
        <f t="shared" si="171"/>
        <v>0</v>
      </c>
      <c r="AO476" s="273"/>
      <c r="AP476" s="273"/>
      <c r="AQ476" s="273"/>
      <c r="AR476" s="273"/>
      <c r="AS476" s="273"/>
      <c r="AT476" s="273"/>
      <c r="AU476" s="273"/>
      <c r="AV476" s="273"/>
      <c r="AW476" s="273"/>
      <c r="AX476" s="273"/>
      <c r="AY476" s="273"/>
      <c r="AZ476" s="923"/>
      <c r="BA476" s="923"/>
    </row>
    <row r="477" spans="1:53">
      <c r="A477" s="874">
        <v>501.1</v>
      </c>
      <c r="B477" s="871" t="s">
        <v>50</v>
      </c>
      <c r="E477" s="277"/>
      <c r="F477" s="273"/>
      <c r="G477" s="273"/>
      <c r="H477" s="273"/>
      <c r="I477" s="273"/>
      <c r="J477" s="273"/>
      <c r="K477" s="273"/>
      <c r="L477" s="273"/>
      <c r="M477" s="273"/>
      <c r="N477" s="224">
        <f t="shared" si="199"/>
        <v>0</v>
      </c>
      <c r="O477" s="273"/>
      <c r="P477" s="273"/>
      <c r="Q477" s="273"/>
      <c r="R477" s="273"/>
      <c r="S477" s="273"/>
      <c r="T477" s="273"/>
      <c r="U477" s="273"/>
      <c r="V477" s="273"/>
      <c r="W477" s="273"/>
      <c r="X477" s="273"/>
      <c r="Y477" s="273"/>
      <c r="Z477" s="273"/>
      <c r="AA477" s="224">
        <f t="shared" si="170"/>
        <v>0</v>
      </c>
      <c r="AB477" s="273"/>
      <c r="AC477" s="273"/>
      <c r="AD477" s="273"/>
      <c r="AE477" s="273"/>
      <c r="AF477" s="273"/>
      <c r="AG477" s="273"/>
      <c r="AH477" s="273"/>
      <c r="AI477" s="273"/>
      <c r="AJ477" s="273"/>
      <c r="AK477" s="273"/>
      <c r="AL477" s="273"/>
      <c r="AM477" s="273"/>
      <c r="AN477" s="224">
        <f t="shared" si="171"/>
        <v>0</v>
      </c>
      <c r="AO477" s="273"/>
      <c r="AP477" s="273"/>
      <c r="AQ477" s="273"/>
      <c r="AR477" s="273"/>
      <c r="AS477" s="273"/>
      <c r="AT477" s="273"/>
      <c r="AU477" s="273"/>
      <c r="AV477" s="273"/>
      <c r="AW477" s="273"/>
      <c r="AX477" s="273"/>
      <c r="AY477" s="273"/>
      <c r="AZ477" s="923"/>
      <c r="BA477" s="923"/>
    </row>
    <row r="478" spans="1:53">
      <c r="A478" s="874" t="s">
        <v>722</v>
      </c>
      <c r="B478" s="875" t="s">
        <v>1029</v>
      </c>
      <c r="E478" s="277"/>
      <c r="F478" s="273"/>
      <c r="G478" s="273"/>
      <c r="H478" s="273"/>
      <c r="I478" s="273"/>
      <c r="J478" s="273"/>
      <c r="K478" s="273"/>
      <c r="L478" s="273"/>
      <c r="M478" s="273"/>
      <c r="N478" s="224">
        <f t="shared" si="199"/>
        <v>0</v>
      </c>
      <c r="O478" s="273">
        <f t="shared" ref="O478:Z478" si="209">+O138+O30</f>
        <v>0.36338317472501602</v>
      </c>
      <c r="P478" s="273">
        <f t="shared" si="209"/>
        <v>0.3463856222879349</v>
      </c>
      <c r="Q478" s="273">
        <f t="shared" si="209"/>
        <v>0.37645036764951323</v>
      </c>
      <c r="R478" s="273">
        <f t="shared" si="209"/>
        <v>0.36111457423759974</v>
      </c>
      <c r="S478" s="273">
        <f t="shared" si="209"/>
        <v>0.37590847862434568</v>
      </c>
      <c r="T478" s="273">
        <f t="shared" si="209"/>
        <v>0.3289309583886052</v>
      </c>
      <c r="U478" s="273">
        <f t="shared" si="209"/>
        <v>0.36214957423759975</v>
      </c>
      <c r="V478" s="273">
        <f t="shared" si="209"/>
        <v>0.37583947862434569</v>
      </c>
      <c r="W478" s="273">
        <f t="shared" si="209"/>
        <v>0.33345258881934953</v>
      </c>
      <c r="X478" s="273">
        <f t="shared" si="209"/>
        <v>0.38942448718687694</v>
      </c>
      <c r="Y478" s="273">
        <f t="shared" si="209"/>
        <v>0.32029955299442875</v>
      </c>
      <c r="Z478" s="273">
        <f t="shared" si="209"/>
        <v>0.22586498881059874</v>
      </c>
      <c r="AA478" s="224">
        <f t="shared" si="170"/>
        <v>4.1592038465862142</v>
      </c>
      <c r="AB478" s="273">
        <f t="shared" ref="AB478:AM478" si="210">+AB138+AB30</f>
        <v>0.24114186577875826</v>
      </c>
      <c r="AC478" s="273">
        <f t="shared" si="210"/>
        <v>0.22809323590239053</v>
      </c>
      <c r="AD478" s="273">
        <f t="shared" si="210"/>
        <v>0.24989259430139948</v>
      </c>
      <c r="AE478" s="273">
        <f t="shared" si="210"/>
        <v>0.2396969771034847</v>
      </c>
      <c r="AF478" s="273">
        <f t="shared" si="210"/>
        <v>0.24690877018094662</v>
      </c>
      <c r="AG478" s="273">
        <f t="shared" si="210"/>
        <v>0.21724909070020215</v>
      </c>
      <c r="AH478" s="273">
        <f t="shared" si="210"/>
        <v>0.24073197710348471</v>
      </c>
      <c r="AI478" s="273">
        <f t="shared" si="210"/>
        <v>0.24683770018094661</v>
      </c>
      <c r="AJ478" s="273">
        <f t="shared" si="210"/>
        <v>0.22747272440911986</v>
      </c>
      <c r="AK478" s="273">
        <f t="shared" si="210"/>
        <v>0.26304795291794697</v>
      </c>
      <c r="AL478" s="273">
        <f t="shared" si="210"/>
        <v>0.21740671833171366</v>
      </c>
      <c r="AM478" s="273">
        <f t="shared" si="210"/>
        <v>0.22405664488152602</v>
      </c>
      <c r="AN478" s="224">
        <f t="shared" si="171"/>
        <v>2.8425362517919193</v>
      </c>
      <c r="AO478" s="273">
        <f t="shared" ref="AO478:AY478" si="211">+AO138+AO30</f>
        <v>2.9097231713264868</v>
      </c>
      <c r="AP478" s="273">
        <f t="shared" si="211"/>
        <v>2.9172499229633768</v>
      </c>
      <c r="AQ478" s="273">
        <f t="shared" si="211"/>
        <v>3.0047674206522781</v>
      </c>
      <c r="AR478" s="273">
        <f t="shared" si="211"/>
        <v>3.0949104432718464</v>
      </c>
      <c r="AS478" s="273">
        <f t="shared" si="211"/>
        <v>3.1877577565700022</v>
      </c>
      <c r="AT478" s="273">
        <f t="shared" si="211"/>
        <v>3.2833904892671026</v>
      </c>
      <c r="AU478" s="273">
        <f t="shared" si="211"/>
        <v>3.3818922039451156</v>
      </c>
      <c r="AV478" s="273">
        <f t="shared" si="211"/>
        <v>3.4833489700634694</v>
      </c>
      <c r="AW478" s="273">
        <f t="shared" si="211"/>
        <v>3.5878494391653737</v>
      </c>
      <c r="AX478" s="273">
        <f t="shared" si="211"/>
        <v>3.6954849223403348</v>
      </c>
      <c r="AY478" s="273">
        <f t="shared" si="211"/>
        <v>3.8063494700105451</v>
      </c>
      <c r="AZ478" s="923"/>
      <c r="BA478" s="923"/>
    </row>
    <row r="479" spans="1:53">
      <c r="A479" s="874">
        <v>501.1</v>
      </c>
      <c r="B479" s="871" t="s">
        <v>52</v>
      </c>
      <c r="E479" s="277"/>
      <c r="F479" s="273"/>
      <c r="G479" s="273"/>
      <c r="H479" s="273"/>
      <c r="I479" s="273"/>
      <c r="J479" s="273"/>
      <c r="K479" s="273"/>
      <c r="L479" s="273"/>
      <c r="M479" s="273"/>
      <c r="N479" s="224">
        <f t="shared" si="199"/>
        <v>0</v>
      </c>
      <c r="O479" s="273"/>
      <c r="P479" s="273"/>
      <c r="Q479" s="273"/>
      <c r="R479" s="273"/>
      <c r="S479" s="273"/>
      <c r="T479" s="273"/>
      <c r="U479" s="273"/>
      <c r="V479" s="273"/>
      <c r="W479" s="273"/>
      <c r="X479" s="273"/>
      <c r="Y479" s="273"/>
      <c r="Z479" s="273"/>
      <c r="AA479" s="224">
        <f t="shared" si="170"/>
        <v>0</v>
      </c>
      <c r="AB479" s="273"/>
      <c r="AC479" s="273"/>
      <c r="AD479" s="273"/>
      <c r="AE479" s="273"/>
      <c r="AF479" s="273"/>
      <c r="AG479" s="273"/>
      <c r="AH479" s="273"/>
      <c r="AI479" s="273"/>
      <c r="AJ479" s="273"/>
      <c r="AK479" s="273"/>
      <c r="AL479" s="273"/>
      <c r="AM479" s="273"/>
      <c r="AN479" s="224">
        <f t="shared" si="171"/>
        <v>0</v>
      </c>
      <c r="AO479" s="273"/>
      <c r="AP479" s="273"/>
      <c r="AQ479" s="273"/>
      <c r="AR479" s="273"/>
      <c r="AS479" s="273"/>
      <c r="AT479" s="273"/>
      <c r="AU479" s="273"/>
      <c r="AV479" s="273"/>
      <c r="AW479" s="273"/>
      <c r="AX479" s="273"/>
      <c r="AY479" s="273"/>
      <c r="AZ479" s="923"/>
      <c r="BA479" s="923"/>
    </row>
    <row r="480" spans="1:53">
      <c r="A480" s="874">
        <v>501.2</v>
      </c>
      <c r="B480" s="875" t="s">
        <v>1029</v>
      </c>
      <c r="E480" s="277"/>
      <c r="F480" s="273"/>
      <c r="G480" s="273"/>
      <c r="H480" s="273"/>
      <c r="I480" s="273"/>
      <c r="J480" s="273"/>
      <c r="K480" s="273"/>
      <c r="L480" s="273"/>
      <c r="M480" s="273"/>
      <c r="N480" s="224">
        <f t="shared" si="199"/>
        <v>0</v>
      </c>
      <c r="O480" s="273">
        <f t="shared" ref="O480:Z480" si="212">+O115</f>
        <v>0.11133423692965518</v>
      </c>
      <c r="P480" s="273">
        <f t="shared" si="212"/>
        <v>0.14405124138534484</v>
      </c>
      <c r="Q480" s="273">
        <f t="shared" si="212"/>
        <v>0.14745200069034484</v>
      </c>
      <c r="R480" s="273">
        <f t="shared" si="212"/>
        <v>0.15791792856568965</v>
      </c>
      <c r="S480" s="273">
        <f t="shared" si="212"/>
        <v>0.21521575333413789</v>
      </c>
      <c r="T480" s="273">
        <f t="shared" si="212"/>
        <v>0.12887982346827587</v>
      </c>
      <c r="U480" s="273">
        <f t="shared" si="212"/>
        <v>0.1689127555298276</v>
      </c>
      <c r="V480" s="273">
        <f t="shared" si="212"/>
        <v>0.18084965755189655</v>
      </c>
      <c r="W480" s="273">
        <f t="shared" si="212"/>
        <v>8.9945370182413789E-2</v>
      </c>
      <c r="X480" s="273">
        <f t="shared" si="212"/>
        <v>0.11559932610034486</v>
      </c>
      <c r="Y480" s="273">
        <f t="shared" si="212"/>
        <v>9.9173434239655175E-2</v>
      </c>
      <c r="Z480" s="273">
        <f t="shared" si="212"/>
        <v>6.4620307821034478E-2</v>
      </c>
      <c r="AA480" s="224">
        <f t="shared" si="170"/>
        <v>1.6239518357986207</v>
      </c>
      <c r="AB480" s="273">
        <f t="shared" ref="AB480:AM480" si="213">+AB115</f>
        <v>8.100455727699743E-2</v>
      </c>
      <c r="AC480" s="273">
        <f t="shared" si="213"/>
        <v>5.8174519174843099E-2</v>
      </c>
      <c r="AD480" s="273">
        <f t="shared" si="213"/>
        <v>0.11772582212262499</v>
      </c>
      <c r="AE480" s="273">
        <f t="shared" si="213"/>
        <v>0.15532948735157329</v>
      </c>
      <c r="AF480" s="273">
        <f t="shared" si="213"/>
        <v>0.1644143422843595</v>
      </c>
      <c r="AG480" s="273">
        <f t="shared" si="213"/>
        <v>9.2027106797941363E-2</v>
      </c>
      <c r="AH480" s="273">
        <f t="shared" si="213"/>
        <v>0.11065528805557845</v>
      </c>
      <c r="AI480" s="273">
        <f t="shared" si="213"/>
        <v>0.11040621627633704</v>
      </c>
      <c r="AJ480" s="273">
        <f t="shared" si="213"/>
        <v>8.3561864521406029E-2</v>
      </c>
      <c r="AK480" s="273">
        <f t="shared" si="213"/>
        <v>0.11918278324279913</v>
      </c>
      <c r="AL480" s="273">
        <f t="shared" si="213"/>
        <v>0.10128582466870946</v>
      </c>
      <c r="AM480" s="273">
        <f t="shared" si="213"/>
        <v>6.6384445459230182E-2</v>
      </c>
      <c r="AN480" s="224">
        <f t="shared" si="171"/>
        <v>1.2601522572323998</v>
      </c>
      <c r="AO480" s="273">
        <f t="shared" ref="AO480:AY480" si="214">+AO115</f>
        <v>1.411045170553638</v>
      </c>
      <c r="AP480" s="273">
        <f t="shared" si="214"/>
        <v>1.4088001746649512</v>
      </c>
      <c r="AQ480" s="273">
        <f t="shared" si="214"/>
        <v>1.4510641799048998</v>
      </c>
      <c r="AR480" s="273">
        <f t="shared" si="214"/>
        <v>1.4945961053020469</v>
      </c>
      <c r="AS480" s="273">
        <f t="shared" si="214"/>
        <v>1.5394339884611083</v>
      </c>
      <c r="AT480" s="273">
        <f t="shared" si="214"/>
        <v>1.5856170081149417</v>
      </c>
      <c r="AU480" s="273">
        <f t="shared" si="214"/>
        <v>1.6331855183583899</v>
      </c>
      <c r="AV480" s="273">
        <f t="shared" si="214"/>
        <v>1.6821810839091416</v>
      </c>
      <c r="AW480" s="273">
        <f t="shared" si="214"/>
        <v>1.7326465164264158</v>
      </c>
      <c r="AX480" s="273">
        <f t="shared" si="214"/>
        <v>1.7846259119192083</v>
      </c>
      <c r="AY480" s="273">
        <f t="shared" si="214"/>
        <v>1.8381646892767847</v>
      </c>
      <c r="AZ480" s="923"/>
      <c r="BA480" s="923"/>
    </row>
    <row r="481" spans="1:53">
      <c r="A481" s="874">
        <v>501.1</v>
      </c>
      <c r="B481" s="871" t="s">
        <v>54</v>
      </c>
      <c r="E481" s="277"/>
      <c r="F481" s="273"/>
      <c r="G481" s="273"/>
      <c r="H481" s="273"/>
      <c r="I481" s="273"/>
      <c r="J481" s="273"/>
      <c r="K481" s="273"/>
      <c r="L481" s="273"/>
      <c r="M481" s="273"/>
      <c r="N481" s="224">
        <f t="shared" si="199"/>
        <v>0</v>
      </c>
      <c r="O481" s="273"/>
      <c r="P481" s="273"/>
      <c r="Q481" s="273"/>
      <c r="R481" s="273"/>
      <c r="S481" s="273"/>
      <c r="T481" s="273"/>
      <c r="U481" s="273"/>
      <c r="V481" s="273"/>
      <c r="W481" s="273"/>
      <c r="X481" s="273"/>
      <c r="Y481" s="273"/>
      <c r="Z481" s="273"/>
      <c r="AA481" s="224">
        <f t="shared" si="170"/>
        <v>0</v>
      </c>
      <c r="AB481" s="273"/>
      <c r="AC481" s="273"/>
      <c r="AD481" s="273"/>
      <c r="AE481" s="273"/>
      <c r="AF481" s="273"/>
      <c r="AG481" s="273"/>
      <c r="AH481" s="273"/>
      <c r="AI481" s="273"/>
      <c r="AJ481" s="273"/>
      <c r="AK481" s="273"/>
      <c r="AL481" s="273"/>
      <c r="AM481" s="273"/>
      <c r="AN481" s="224">
        <f t="shared" si="171"/>
        <v>0</v>
      </c>
      <c r="AO481" s="273"/>
      <c r="AP481" s="273"/>
      <c r="AQ481" s="273"/>
      <c r="AR481" s="273"/>
      <c r="AS481" s="273"/>
      <c r="AT481" s="273"/>
      <c r="AU481" s="273"/>
      <c r="AV481" s="273"/>
      <c r="AW481" s="273"/>
      <c r="AX481" s="273"/>
      <c r="AY481" s="273"/>
      <c r="AZ481" s="923"/>
      <c r="BA481" s="923"/>
    </row>
    <row r="482" spans="1:53">
      <c r="A482" s="874">
        <v>501.1</v>
      </c>
      <c r="B482" s="871" t="s">
        <v>57</v>
      </c>
      <c r="E482" s="277"/>
      <c r="F482" s="273"/>
      <c r="G482" s="273"/>
      <c r="H482" s="273"/>
      <c r="I482" s="273"/>
      <c r="J482" s="273"/>
      <c r="K482" s="273"/>
      <c r="L482" s="273"/>
      <c r="M482" s="273"/>
      <c r="N482" s="224">
        <f t="shared" si="199"/>
        <v>0</v>
      </c>
      <c r="O482" s="273"/>
      <c r="P482" s="273"/>
      <c r="Q482" s="273"/>
      <c r="R482" s="273"/>
      <c r="S482" s="273"/>
      <c r="T482" s="273"/>
      <c r="U482" s="273"/>
      <c r="V482" s="273"/>
      <c r="W482" s="273"/>
      <c r="X482" s="273"/>
      <c r="Y482" s="273"/>
      <c r="Z482" s="273"/>
      <c r="AA482" s="224">
        <f t="shared" si="170"/>
        <v>0</v>
      </c>
      <c r="AB482" s="273"/>
      <c r="AC482" s="273"/>
      <c r="AD482" s="273"/>
      <c r="AE482" s="273"/>
      <c r="AF482" s="273"/>
      <c r="AG482" s="273"/>
      <c r="AH482" s="273"/>
      <c r="AI482" s="273"/>
      <c r="AJ482" s="273"/>
      <c r="AK482" s="273"/>
      <c r="AL482" s="273"/>
      <c r="AM482" s="273"/>
      <c r="AN482" s="224">
        <f t="shared" si="171"/>
        <v>0</v>
      </c>
      <c r="AO482" s="273"/>
      <c r="AP482" s="273"/>
      <c r="AQ482" s="273"/>
      <c r="AR482" s="273"/>
      <c r="AS482" s="273"/>
      <c r="AT482" s="273"/>
      <c r="AU482" s="273"/>
      <c r="AV482" s="273"/>
      <c r="AW482" s="273"/>
      <c r="AX482" s="273"/>
      <c r="AY482" s="273"/>
      <c r="AZ482" s="923"/>
      <c r="BA482" s="923"/>
    </row>
    <row r="483" spans="1:53">
      <c r="A483" s="874">
        <v>501.3</v>
      </c>
      <c r="B483" s="875" t="s">
        <v>1030</v>
      </c>
      <c r="E483" s="277"/>
      <c r="F483" s="273"/>
      <c r="G483" s="273"/>
      <c r="H483" s="273"/>
      <c r="I483" s="273"/>
      <c r="J483" s="273"/>
      <c r="K483" s="273"/>
      <c r="L483" s="273"/>
      <c r="M483" s="273"/>
      <c r="N483" s="224">
        <f t="shared" si="199"/>
        <v>0</v>
      </c>
      <c r="O483" s="273"/>
      <c r="P483" s="273"/>
      <c r="Q483" s="273"/>
      <c r="R483" s="273"/>
      <c r="S483" s="273"/>
      <c r="T483" s="273"/>
      <c r="U483" s="273"/>
      <c r="V483" s="273"/>
      <c r="W483" s="273"/>
      <c r="X483" s="273"/>
      <c r="Y483" s="273"/>
      <c r="Z483" s="273"/>
      <c r="AA483" s="224">
        <f t="shared" si="170"/>
        <v>0</v>
      </c>
      <c r="AB483" s="273"/>
      <c r="AC483" s="273"/>
      <c r="AD483" s="273"/>
      <c r="AE483" s="273"/>
      <c r="AF483" s="273"/>
      <c r="AG483" s="273"/>
      <c r="AH483" s="273"/>
      <c r="AI483" s="273"/>
      <c r="AJ483" s="273"/>
      <c r="AK483" s="273"/>
      <c r="AL483" s="273"/>
      <c r="AM483" s="273"/>
      <c r="AN483" s="224">
        <f t="shared" si="171"/>
        <v>0</v>
      </c>
      <c r="AO483" s="273"/>
      <c r="AP483" s="273"/>
      <c r="AQ483" s="273"/>
      <c r="AR483" s="273"/>
      <c r="AS483" s="273"/>
      <c r="AT483" s="273"/>
      <c r="AU483" s="273"/>
      <c r="AV483" s="273"/>
      <c r="AW483" s="273"/>
      <c r="AX483" s="273"/>
      <c r="AY483" s="273"/>
      <c r="AZ483" s="923"/>
      <c r="BA483" s="923"/>
    </row>
    <row r="484" spans="1:53">
      <c r="A484" s="874">
        <v>501.1</v>
      </c>
      <c r="B484" s="871" t="s">
        <v>59</v>
      </c>
      <c r="E484" s="277"/>
      <c r="F484" s="273"/>
      <c r="G484" s="273"/>
      <c r="H484" s="273"/>
      <c r="I484" s="273"/>
      <c r="J484" s="273"/>
      <c r="K484" s="273"/>
      <c r="L484" s="273"/>
      <c r="M484" s="273"/>
      <c r="N484" s="224">
        <f t="shared" si="199"/>
        <v>0</v>
      </c>
      <c r="O484" s="273"/>
      <c r="P484" s="273"/>
      <c r="Q484" s="273"/>
      <c r="R484" s="273"/>
      <c r="S484" s="273"/>
      <c r="T484" s="273"/>
      <c r="U484" s="273"/>
      <c r="V484" s="273"/>
      <c r="W484" s="273"/>
      <c r="X484" s="273"/>
      <c r="Y484" s="273"/>
      <c r="Z484" s="273"/>
      <c r="AA484" s="224">
        <f t="shared" si="170"/>
        <v>0</v>
      </c>
      <c r="AB484" s="273"/>
      <c r="AC484" s="273"/>
      <c r="AD484" s="273"/>
      <c r="AE484" s="273"/>
      <c r="AF484" s="273"/>
      <c r="AG484" s="273"/>
      <c r="AH484" s="273"/>
      <c r="AI484" s="273"/>
      <c r="AJ484" s="273"/>
      <c r="AK484" s="273"/>
      <c r="AL484" s="273"/>
      <c r="AM484" s="273"/>
      <c r="AN484" s="224">
        <f t="shared" si="171"/>
        <v>0</v>
      </c>
      <c r="AO484" s="273"/>
      <c r="AP484" s="273"/>
      <c r="AQ484" s="273"/>
      <c r="AR484" s="273"/>
      <c r="AS484" s="273"/>
      <c r="AT484" s="273"/>
      <c r="AU484" s="273"/>
      <c r="AV484" s="273"/>
      <c r="AW484" s="273"/>
      <c r="AX484" s="273"/>
      <c r="AY484" s="273"/>
      <c r="AZ484" s="923"/>
      <c r="BA484" s="923"/>
    </row>
    <row r="485" spans="1:53">
      <c r="A485" s="874">
        <v>501.1</v>
      </c>
      <c r="B485" s="871" t="s">
        <v>61</v>
      </c>
      <c r="E485" s="277"/>
      <c r="F485" s="273"/>
      <c r="G485" s="273"/>
      <c r="H485" s="273"/>
      <c r="I485" s="273"/>
      <c r="J485" s="273"/>
      <c r="K485" s="273"/>
      <c r="L485" s="273"/>
      <c r="M485" s="273"/>
      <c r="N485" s="224">
        <f t="shared" si="199"/>
        <v>0</v>
      </c>
      <c r="O485" s="273"/>
      <c r="P485" s="273"/>
      <c r="Q485" s="273"/>
      <c r="R485" s="273"/>
      <c r="S485" s="273"/>
      <c r="T485" s="273"/>
      <c r="U485" s="273"/>
      <c r="V485" s="273"/>
      <c r="W485" s="273"/>
      <c r="X485" s="273"/>
      <c r="Y485" s="273"/>
      <c r="Z485" s="273"/>
      <c r="AA485" s="224">
        <f t="shared" si="170"/>
        <v>0</v>
      </c>
      <c r="AB485" s="273"/>
      <c r="AC485" s="273"/>
      <c r="AD485" s="273"/>
      <c r="AE485" s="273"/>
      <c r="AF485" s="273"/>
      <c r="AG485" s="273"/>
      <c r="AH485" s="273"/>
      <c r="AI485" s="273"/>
      <c r="AJ485" s="273"/>
      <c r="AK485" s="273"/>
      <c r="AL485" s="273"/>
      <c r="AM485" s="273"/>
      <c r="AN485" s="224">
        <f t="shared" si="171"/>
        <v>0</v>
      </c>
      <c r="AO485" s="273"/>
      <c r="AP485" s="273"/>
      <c r="AQ485" s="273"/>
      <c r="AR485" s="273"/>
      <c r="AS485" s="273"/>
      <c r="AT485" s="273"/>
      <c r="AU485" s="273"/>
      <c r="AV485" s="273"/>
      <c r="AW485" s="273"/>
      <c r="AX485" s="273"/>
      <c r="AY485" s="273"/>
      <c r="AZ485" s="923"/>
      <c r="BA485" s="923"/>
    </row>
    <row r="486" spans="1:53">
      <c r="A486" s="874">
        <v>501.1</v>
      </c>
      <c r="B486" s="871" t="s">
        <v>63</v>
      </c>
      <c r="E486" s="277"/>
      <c r="F486" s="273"/>
      <c r="G486" s="273"/>
      <c r="H486" s="273"/>
      <c r="I486" s="273"/>
      <c r="J486" s="273"/>
      <c r="K486" s="273"/>
      <c r="L486" s="273"/>
      <c r="M486" s="273"/>
      <c r="N486" s="224">
        <f t="shared" si="199"/>
        <v>0</v>
      </c>
      <c r="O486" s="273"/>
      <c r="P486" s="273"/>
      <c r="Q486" s="273"/>
      <c r="R486" s="273"/>
      <c r="S486" s="273"/>
      <c r="T486" s="273"/>
      <c r="U486" s="273"/>
      <c r="V486" s="273"/>
      <c r="W486" s="273"/>
      <c r="X486" s="273"/>
      <c r="Y486" s="273"/>
      <c r="Z486" s="273"/>
      <c r="AA486" s="224">
        <f t="shared" si="170"/>
        <v>0</v>
      </c>
      <c r="AB486" s="273"/>
      <c r="AC486" s="273"/>
      <c r="AD486" s="273"/>
      <c r="AE486" s="273"/>
      <c r="AF486" s="273"/>
      <c r="AG486" s="273"/>
      <c r="AH486" s="273"/>
      <c r="AI486" s="273"/>
      <c r="AJ486" s="273"/>
      <c r="AK486" s="273"/>
      <c r="AL486" s="273"/>
      <c r="AM486" s="273"/>
      <c r="AN486" s="224">
        <f t="shared" si="171"/>
        <v>0</v>
      </c>
      <c r="AO486" s="273"/>
      <c r="AP486" s="273"/>
      <c r="AQ486" s="273"/>
      <c r="AR486" s="273"/>
      <c r="AS486" s="273"/>
      <c r="AT486" s="273"/>
      <c r="AU486" s="273"/>
      <c r="AV486" s="273"/>
      <c r="AW486" s="273"/>
      <c r="AX486" s="273"/>
      <c r="AY486" s="273"/>
      <c r="AZ486" s="923"/>
      <c r="BA486" s="923"/>
    </row>
    <row r="487" spans="1:53">
      <c r="A487" s="874" t="s">
        <v>725</v>
      </c>
      <c r="B487" s="872" t="s">
        <v>1022</v>
      </c>
      <c r="E487" s="277"/>
      <c r="F487" s="273"/>
      <c r="G487" s="273"/>
      <c r="H487" s="273"/>
      <c r="I487" s="273"/>
      <c r="J487" s="273"/>
      <c r="K487" s="273"/>
      <c r="L487" s="273"/>
      <c r="M487" s="273"/>
      <c r="N487" s="224">
        <f t="shared" si="199"/>
        <v>0</v>
      </c>
      <c r="O487" s="273">
        <f t="shared" ref="O487:Z487" si="215">+O139</f>
        <v>0.43990989997453689</v>
      </c>
      <c r="P487" s="273">
        <f t="shared" si="215"/>
        <v>0.42386762145190149</v>
      </c>
      <c r="Q487" s="273">
        <f t="shared" si="215"/>
        <v>0.4591606342016995</v>
      </c>
      <c r="R487" s="273">
        <f t="shared" si="215"/>
        <v>0.4389189898668942</v>
      </c>
      <c r="S487" s="273">
        <f t="shared" si="215"/>
        <v>0.46718015685752434</v>
      </c>
      <c r="T487" s="273">
        <f t="shared" si="215"/>
        <v>0.39819997581568478</v>
      </c>
      <c r="U487" s="273">
        <f t="shared" si="215"/>
        <v>0.43670144427000984</v>
      </c>
      <c r="V487" s="273">
        <f t="shared" si="215"/>
        <v>0.46557754561075376</v>
      </c>
      <c r="W487" s="273">
        <f t="shared" si="215"/>
        <v>0.40385889897857835</v>
      </c>
      <c r="X487" s="273">
        <f t="shared" si="215"/>
        <v>0.48545404061555741</v>
      </c>
      <c r="Y487" s="273">
        <f t="shared" si="215"/>
        <v>0.39764466734462534</v>
      </c>
      <c r="Z487" s="273">
        <f t="shared" si="215"/>
        <v>0.32741564693748354</v>
      </c>
      <c r="AA487" s="224">
        <f t="shared" si="170"/>
        <v>5.1438895219252494</v>
      </c>
      <c r="AB487" s="273">
        <f t="shared" ref="AB487:AM487" si="216">+AB139</f>
        <v>0.35049530797209899</v>
      </c>
      <c r="AC487" s="273">
        <f t="shared" si="216"/>
        <v>0.33755563320793469</v>
      </c>
      <c r="AD487" s="273">
        <f t="shared" si="216"/>
        <v>0.36869032854725697</v>
      </c>
      <c r="AE487" s="273">
        <f t="shared" si="216"/>
        <v>0.34926028485850014</v>
      </c>
      <c r="AF487" s="273">
        <f t="shared" si="216"/>
        <v>0.3722215278130323</v>
      </c>
      <c r="AG487" s="273">
        <f t="shared" si="216"/>
        <v>0.31685215358527158</v>
      </c>
      <c r="AH487" s="273">
        <f t="shared" si="216"/>
        <v>0.34790737301926611</v>
      </c>
      <c r="AI487" s="273">
        <f t="shared" si="216"/>
        <v>0.37119878759476205</v>
      </c>
      <c r="AJ487" s="273">
        <f t="shared" si="216"/>
        <v>0.32113560988179413</v>
      </c>
      <c r="AK487" s="273">
        <f t="shared" si="216"/>
        <v>0.3868107840580734</v>
      </c>
      <c r="AL487" s="273">
        <f t="shared" si="216"/>
        <v>0.31605438548932818</v>
      </c>
      <c r="AM487" s="273">
        <f t="shared" si="216"/>
        <v>0.32653681490691999</v>
      </c>
      <c r="AN487" s="224">
        <f t="shared" si="171"/>
        <v>4.1647189909342393</v>
      </c>
      <c r="AO487" s="273">
        <f t="shared" ref="AO487:AY487" si="217">+AO139</f>
        <v>4.2689607106125305</v>
      </c>
      <c r="AP487" s="273">
        <f t="shared" si="217"/>
        <v>4.3720770526025792</v>
      </c>
      <c r="AQ487" s="273">
        <f t="shared" si="217"/>
        <v>4.503239364180657</v>
      </c>
      <c r="AR487" s="273">
        <f t="shared" si="217"/>
        <v>4.6383365451060765</v>
      </c>
      <c r="AS487" s="273">
        <f t="shared" si="217"/>
        <v>4.7774866414592587</v>
      </c>
      <c r="AT487" s="273">
        <f t="shared" si="217"/>
        <v>4.9208112407030367</v>
      </c>
      <c r="AU487" s="273">
        <f t="shared" si="217"/>
        <v>5.0684355779241281</v>
      </c>
      <c r="AV487" s="273">
        <f t="shared" si="217"/>
        <v>5.2204886452618524</v>
      </c>
      <c r="AW487" s="273">
        <f t="shared" si="217"/>
        <v>5.3771033046197081</v>
      </c>
      <c r="AX487" s="273">
        <f t="shared" si="217"/>
        <v>5.5384164037582995</v>
      </c>
      <c r="AY487" s="273">
        <f t="shared" si="217"/>
        <v>5.7045688958710485</v>
      </c>
      <c r="AZ487" s="923"/>
      <c r="BA487" s="923"/>
    </row>
    <row r="488" spans="1:53">
      <c r="A488" s="874" t="s">
        <v>537</v>
      </c>
      <c r="B488" s="872" t="s">
        <v>1022</v>
      </c>
      <c r="E488" s="277"/>
      <c r="F488" s="273"/>
      <c r="G488" s="273"/>
      <c r="H488" s="273"/>
      <c r="I488" s="273"/>
      <c r="J488" s="273"/>
      <c r="K488" s="273"/>
      <c r="L488" s="273"/>
      <c r="M488" s="273"/>
      <c r="N488" s="224">
        <f t="shared" si="199"/>
        <v>0</v>
      </c>
      <c r="O488" s="273">
        <f t="shared" ref="O488:Z488" si="218">+O58+O73</f>
        <v>0.25939600000000002</v>
      </c>
      <c r="P488" s="273">
        <f t="shared" si="218"/>
        <v>0.25923499999999999</v>
      </c>
      <c r="Q488" s="273">
        <f t="shared" si="218"/>
        <v>0.25923499999999999</v>
      </c>
      <c r="R488" s="273">
        <f t="shared" si="218"/>
        <v>0.25923499999999999</v>
      </c>
      <c r="S488" s="273">
        <f t="shared" si="218"/>
        <v>0.25923499999999999</v>
      </c>
      <c r="T488" s="273">
        <f t="shared" si="218"/>
        <v>0.25923499999999999</v>
      </c>
      <c r="U488" s="273">
        <f t="shared" si="218"/>
        <v>0.25923499999999999</v>
      </c>
      <c r="V488" s="273">
        <f t="shared" si="218"/>
        <v>0.25923499999999999</v>
      </c>
      <c r="W488" s="273">
        <f t="shared" si="218"/>
        <v>0.25923499999999999</v>
      </c>
      <c r="X488" s="273">
        <f t="shared" si="218"/>
        <v>0.25923499999999999</v>
      </c>
      <c r="Y488" s="273">
        <f t="shared" si="218"/>
        <v>0.25923499999999999</v>
      </c>
      <c r="Z488" s="273">
        <f t="shared" si="218"/>
        <v>0.25923499999999999</v>
      </c>
      <c r="AA488" s="224">
        <f t="shared" si="170"/>
        <v>3.1109809999999993</v>
      </c>
      <c r="AB488" s="273">
        <f t="shared" ref="AB488:AM488" si="219">+AB58+AB73</f>
        <v>0.28010000000000002</v>
      </c>
      <c r="AC488" s="273">
        <f t="shared" si="219"/>
        <v>0.27993099999999999</v>
      </c>
      <c r="AD488" s="273">
        <f t="shared" si="219"/>
        <v>0.27993099999999999</v>
      </c>
      <c r="AE488" s="273">
        <f t="shared" si="219"/>
        <v>0.27993099999999999</v>
      </c>
      <c r="AF488" s="273">
        <f t="shared" si="219"/>
        <v>0.27993099999999999</v>
      </c>
      <c r="AG488" s="273">
        <f t="shared" si="219"/>
        <v>0.27993099999999999</v>
      </c>
      <c r="AH488" s="273">
        <f t="shared" si="219"/>
        <v>0.27993099999999999</v>
      </c>
      <c r="AI488" s="273">
        <f t="shared" si="219"/>
        <v>0.27993099999999999</v>
      </c>
      <c r="AJ488" s="273">
        <f t="shared" si="219"/>
        <v>0.27993099999999999</v>
      </c>
      <c r="AK488" s="273">
        <f t="shared" si="219"/>
        <v>0.27993099999999999</v>
      </c>
      <c r="AL488" s="273">
        <f t="shared" si="219"/>
        <v>0.27993099999999999</v>
      </c>
      <c r="AM488" s="273">
        <f t="shared" si="219"/>
        <v>0.27993099999999999</v>
      </c>
      <c r="AN488" s="224">
        <f t="shared" si="171"/>
        <v>3.3593409999999992</v>
      </c>
      <c r="AO488" s="273">
        <f t="shared" ref="AO488:AY488" si="220">+AO58+AO73</f>
        <v>3.5542540000000002</v>
      </c>
      <c r="AP488" s="273">
        <f t="shared" si="220"/>
        <v>3.7137539999999998</v>
      </c>
      <c r="AQ488" s="273">
        <f t="shared" si="220"/>
        <v>3.8251666199999996</v>
      </c>
      <c r="AR488" s="273">
        <f t="shared" si="220"/>
        <v>3.9399216185999997</v>
      </c>
      <c r="AS488" s="273">
        <f t="shared" si="220"/>
        <v>4.0581192671580002</v>
      </c>
      <c r="AT488" s="273">
        <f t="shared" si="220"/>
        <v>4.1798628451727398</v>
      </c>
      <c r="AU488" s="273">
        <f t="shared" si="220"/>
        <v>4.3052587305279229</v>
      </c>
      <c r="AV488" s="273">
        <f t="shared" si="220"/>
        <v>4.4344164924437601</v>
      </c>
      <c r="AW488" s="273">
        <f t="shared" si="220"/>
        <v>4.5674489872170732</v>
      </c>
      <c r="AX488" s="273">
        <f t="shared" si="220"/>
        <v>4.7044724568335852</v>
      </c>
      <c r="AY488" s="273">
        <f t="shared" si="220"/>
        <v>4.8456066305385939</v>
      </c>
      <c r="AZ488" s="923"/>
      <c r="BA488" s="923"/>
    </row>
    <row r="489" spans="1:53">
      <c r="A489" s="874">
        <v>502.1</v>
      </c>
      <c r="B489" s="872" t="s">
        <v>1022</v>
      </c>
      <c r="E489" s="277"/>
      <c r="F489" s="273"/>
      <c r="G489" s="273"/>
      <c r="H489" s="273"/>
      <c r="I489" s="273"/>
      <c r="J489" s="273"/>
      <c r="K489" s="273"/>
      <c r="L489" s="273"/>
      <c r="M489" s="273"/>
      <c r="N489" s="224">
        <f>SUM(E489:M489)</f>
        <v>0</v>
      </c>
      <c r="O489" s="273">
        <f>+O116</f>
        <v>0.13002374856934482</v>
      </c>
      <c r="P489" s="273">
        <f t="shared" ref="P489:AY489" si="221">+P116</f>
        <v>0.11692601194320688</v>
      </c>
      <c r="Q489" s="273">
        <f t="shared" si="221"/>
        <v>0.17533978254748273</v>
      </c>
      <c r="R489" s="273">
        <f t="shared" si="221"/>
        <v>9.211177712623278E-2</v>
      </c>
      <c r="S489" s="273">
        <f t="shared" si="221"/>
        <v>0.21653208239554311</v>
      </c>
      <c r="T489" s="273">
        <f t="shared" si="221"/>
        <v>0.19767806802622415</v>
      </c>
      <c r="U489" s="273">
        <f t="shared" si="221"/>
        <v>0.14603473653772414</v>
      </c>
      <c r="V489" s="273">
        <f t="shared" si="221"/>
        <v>0.1092106164856293</v>
      </c>
      <c r="W489" s="273">
        <f t="shared" si="221"/>
        <v>9.9347736634681036E-2</v>
      </c>
      <c r="X489" s="273">
        <f t="shared" si="221"/>
        <v>8.7975149524724156E-2</v>
      </c>
      <c r="Y489" s="273">
        <f t="shared" si="221"/>
        <v>9.4339456002474148E-2</v>
      </c>
      <c r="Z489" s="273">
        <f t="shared" si="221"/>
        <v>0.1045995825628362</v>
      </c>
      <c r="AA489" s="224">
        <f t="shared" si="170"/>
        <v>1.5701187483561034</v>
      </c>
      <c r="AB489" s="273">
        <f t="shared" si="221"/>
        <v>0.13392480742961668</v>
      </c>
      <c r="AC489" s="273">
        <f t="shared" si="221"/>
        <v>0.1160599793319088</v>
      </c>
      <c r="AD489" s="273">
        <f t="shared" si="221"/>
        <v>0.18635757055680921</v>
      </c>
      <c r="AE489" s="273">
        <f t="shared" si="221"/>
        <v>0.20885462706780764</v>
      </c>
      <c r="AF489" s="273">
        <f t="shared" si="221"/>
        <v>0.25793808445180094</v>
      </c>
      <c r="AG489" s="273">
        <f t="shared" si="221"/>
        <v>0.27941044974679718</v>
      </c>
      <c r="AH489" s="273">
        <f t="shared" si="221"/>
        <v>0.15016530300619962</v>
      </c>
      <c r="AI489" s="273">
        <f t="shared" si="221"/>
        <v>0.11153734254538494</v>
      </c>
      <c r="AJ489" s="273">
        <f t="shared" si="221"/>
        <v>0.10383076799448107</v>
      </c>
      <c r="AK489" s="273">
        <f t="shared" si="221"/>
        <v>9.3167252047744661E-2</v>
      </c>
      <c r="AL489" s="273">
        <f t="shared" si="221"/>
        <v>9.9729877852215904E-2</v>
      </c>
      <c r="AM489" s="273">
        <f t="shared" si="221"/>
        <v>0.11025893890253546</v>
      </c>
      <c r="AN489" s="224">
        <f t="shared" si="171"/>
        <v>1.8512350009333023</v>
      </c>
      <c r="AO489" s="273">
        <f t="shared" si="221"/>
        <v>1.7522018149949681</v>
      </c>
      <c r="AP489" s="273">
        <f t="shared" si="221"/>
        <v>1.8211272621783763</v>
      </c>
      <c r="AQ489" s="273">
        <f t="shared" si="221"/>
        <v>1.8757610800437277</v>
      </c>
      <c r="AR489" s="273">
        <f t="shared" si="221"/>
        <v>1.9320339124450396</v>
      </c>
      <c r="AS489" s="273">
        <f t="shared" si="221"/>
        <v>1.9899949298183908</v>
      </c>
      <c r="AT489" s="273">
        <f t="shared" si="221"/>
        <v>2.0496947777129426</v>
      </c>
      <c r="AU489" s="273">
        <f t="shared" si="221"/>
        <v>2.1111856210443309</v>
      </c>
      <c r="AV489" s="273">
        <f t="shared" si="221"/>
        <v>2.1745211896756609</v>
      </c>
      <c r="AW489" s="273">
        <f t="shared" si="221"/>
        <v>2.2397568253659306</v>
      </c>
      <c r="AX489" s="273">
        <f t="shared" si="221"/>
        <v>2.3069495301269085</v>
      </c>
      <c r="AY489" s="273">
        <f t="shared" si="221"/>
        <v>2.3761580160307156</v>
      </c>
      <c r="AZ489" s="923"/>
      <c r="BA489" s="923"/>
    </row>
    <row r="490" spans="1:53">
      <c r="A490" s="874">
        <v>502.11</v>
      </c>
      <c r="B490" s="872" t="s">
        <v>1022</v>
      </c>
      <c r="E490" s="277"/>
      <c r="F490" s="273"/>
      <c r="G490" s="273"/>
      <c r="H490" s="273"/>
      <c r="I490" s="273"/>
      <c r="J490" s="273"/>
      <c r="K490" s="273"/>
      <c r="L490" s="273"/>
      <c r="M490" s="273"/>
      <c r="N490" s="224">
        <f>SUM(E490:M490)</f>
        <v>0</v>
      </c>
      <c r="O490" s="273">
        <f>+O140</f>
        <v>0.13864265078239343</v>
      </c>
      <c r="P490" s="273">
        <f t="shared" ref="P490:AY490" si="222">+P140</f>
        <v>0.13399021283667553</v>
      </c>
      <c r="Q490" s="273">
        <f t="shared" si="222"/>
        <v>0.14422557631725488</v>
      </c>
      <c r="R490" s="273">
        <f t="shared" si="222"/>
        <v>0.13771216319324983</v>
      </c>
      <c r="S490" s="273">
        <f t="shared" si="222"/>
        <v>0.14608655149554209</v>
      </c>
      <c r="T490" s="273">
        <f t="shared" si="222"/>
        <v>0.12654631212352691</v>
      </c>
      <c r="U490" s="273">
        <f t="shared" si="222"/>
        <v>0.13771216319324983</v>
      </c>
      <c r="V490" s="273">
        <f t="shared" si="222"/>
        <v>0.14608655149554209</v>
      </c>
      <c r="W490" s="273">
        <f t="shared" si="222"/>
        <v>0.12979381833372841</v>
      </c>
      <c r="X490" s="273">
        <f t="shared" si="222"/>
        <v>0.15366841584169399</v>
      </c>
      <c r="Y490" s="273">
        <f t="shared" si="222"/>
        <v>0.12789793616637887</v>
      </c>
      <c r="Z490" s="273">
        <f t="shared" si="222"/>
        <v>6.9468858526588517E-2</v>
      </c>
      <c r="AA490" s="224">
        <f t="shared" si="170"/>
        <v>1.5918312103058245</v>
      </c>
      <c r="AB490" s="273">
        <f t="shared" si="222"/>
        <v>7.2668100127634069E-2</v>
      </c>
      <c r="AC490" s="273">
        <f t="shared" si="222"/>
        <v>7.0229573277713481E-2</v>
      </c>
      <c r="AD490" s="273">
        <f t="shared" si="222"/>
        <v>7.5594332347538803E-2</v>
      </c>
      <c r="AE490" s="273">
        <f t="shared" si="222"/>
        <v>7.2180394757649965E-2</v>
      </c>
      <c r="AF490" s="273">
        <f t="shared" si="222"/>
        <v>7.6569743087507053E-2</v>
      </c>
      <c r="AG490" s="273">
        <f t="shared" si="222"/>
        <v>6.6327930317840511E-2</v>
      </c>
      <c r="AH490" s="273">
        <f t="shared" si="222"/>
        <v>7.2180394757649965E-2</v>
      </c>
      <c r="AI490" s="273">
        <f t="shared" si="222"/>
        <v>7.6569743087507053E-2</v>
      </c>
      <c r="AJ490" s="273">
        <f t="shared" si="222"/>
        <v>6.7442514702561837E-2</v>
      </c>
      <c r="AK490" s="273">
        <f t="shared" si="222"/>
        <v>7.984974862353772E-2</v>
      </c>
      <c r="AL490" s="273">
        <f t="shared" si="222"/>
        <v>6.6458796991018962E-2</v>
      </c>
      <c r="AM490" s="273">
        <f t="shared" si="222"/>
        <v>6.8442641677318033E-2</v>
      </c>
      <c r="AN490" s="224">
        <f t="shared" si="171"/>
        <v>0.86451391375547748</v>
      </c>
      <c r="AO490" s="273">
        <f t="shared" si="222"/>
        <v>0.88304145160567127</v>
      </c>
      <c r="AP490" s="273">
        <f t="shared" si="222"/>
        <v>0.90415358641630306</v>
      </c>
      <c r="AQ490" s="273">
        <f t="shared" si="222"/>
        <v>0.93127819400879219</v>
      </c>
      <c r="AR490" s="273">
        <f t="shared" si="222"/>
        <v>0.95921653982905597</v>
      </c>
      <c r="AS490" s="273">
        <f t="shared" si="222"/>
        <v>0.98799303602392763</v>
      </c>
      <c r="AT490" s="273">
        <f t="shared" si="222"/>
        <v>1.0176328271046455</v>
      </c>
      <c r="AU490" s="273">
        <f t="shared" si="222"/>
        <v>1.0481618119177849</v>
      </c>
      <c r="AV490" s="273">
        <f t="shared" si="222"/>
        <v>1.0796066662753185</v>
      </c>
      <c r="AW490" s="273">
        <f t="shared" si="222"/>
        <v>1.1119948662635781</v>
      </c>
      <c r="AX490" s="273">
        <f t="shared" si="222"/>
        <v>1.1453547122514856</v>
      </c>
      <c r="AY490" s="273">
        <f t="shared" si="222"/>
        <v>1.1797153536190301</v>
      </c>
      <c r="AZ490" s="923"/>
      <c r="BA490" s="923"/>
    </row>
    <row r="491" spans="1:53">
      <c r="A491" s="874">
        <v>502.11</v>
      </c>
      <c r="B491" s="872" t="s">
        <v>1022</v>
      </c>
      <c r="E491" s="277"/>
      <c r="F491" s="273"/>
      <c r="G491" s="273"/>
      <c r="H491" s="273"/>
      <c r="I491" s="273"/>
      <c r="J491" s="273"/>
      <c r="K491" s="273"/>
      <c r="L491" s="273"/>
      <c r="M491" s="273"/>
      <c r="N491" s="224">
        <f>SUM(E491:M491)</f>
        <v>0</v>
      </c>
      <c r="O491" s="273">
        <f t="shared" ref="O491:Z491" si="223">+O117</f>
        <v>4.6430744620431036E-2</v>
      </c>
      <c r="P491" s="273">
        <f t="shared" si="223"/>
        <v>7.384394608594827E-2</v>
      </c>
      <c r="Q491" s="273">
        <f t="shared" si="223"/>
        <v>7.5699910585948271E-2</v>
      </c>
      <c r="R491" s="273">
        <f t="shared" si="223"/>
        <v>7.317060170922414E-2</v>
      </c>
      <c r="S491" s="273">
        <f t="shared" si="223"/>
        <v>0.17329758990922417</v>
      </c>
      <c r="T491" s="273">
        <f t="shared" si="223"/>
        <v>0.11270998476017242</v>
      </c>
      <c r="U491" s="273">
        <f t="shared" si="223"/>
        <v>4.7415058486896547E-2</v>
      </c>
      <c r="V491" s="273">
        <f t="shared" si="223"/>
        <v>3.3643633774913792E-2</v>
      </c>
      <c r="W491" s="273">
        <f t="shared" si="223"/>
        <v>8.4597848261982758E-2</v>
      </c>
      <c r="X491" s="273">
        <f t="shared" si="223"/>
        <v>4.671464208525862E-2</v>
      </c>
      <c r="Y491" s="273">
        <f t="shared" si="223"/>
        <v>1.2684853089568966E-2</v>
      </c>
      <c r="Z491" s="273">
        <f t="shared" si="223"/>
        <v>8.5292063240517239E-3</v>
      </c>
      <c r="AA491" s="224">
        <f t="shared" si="170"/>
        <v>0.78873801969362078</v>
      </c>
      <c r="AB491" s="273">
        <f t="shared" ref="AB491:AM491" si="224">+AB117</f>
        <v>1.2158971639926292E-2</v>
      </c>
      <c r="AC491" s="273">
        <f t="shared" si="224"/>
        <v>1.4917773105443533E-2</v>
      </c>
      <c r="AD491" s="273">
        <f t="shared" si="224"/>
        <v>2.6767832777857329E-2</v>
      </c>
      <c r="AE491" s="273">
        <f t="shared" si="224"/>
        <v>1.2321408728719396E-2</v>
      </c>
      <c r="AF491" s="273">
        <f t="shared" si="224"/>
        <v>2.8399492790788364E-2</v>
      </c>
      <c r="AG491" s="273">
        <f t="shared" si="224"/>
        <v>3.1632843459989651E-2</v>
      </c>
      <c r="AH491" s="273">
        <f t="shared" si="224"/>
        <v>9.9889571867137934E-3</v>
      </c>
      <c r="AI491" s="273">
        <f t="shared" si="224"/>
        <v>1.0208846224018535E-2</v>
      </c>
      <c r="AJ491" s="273">
        <f t="shared" si="224"/>
        <v>1.34508607110875E-2</v>
      </c>
      <c r="AK491" s="273">
        <f t="shared" si="224"/>
        <v>1.0708009706777155E-2</v>
      </c>
      <c r="AL491" s="273">
        <f t="shared" si="224"/>
        <v>1.1148464849018533E-2</v>
      </c>
      <c r="AM491" s="273">
        <f t="shared" si="224"/>
        <v>9.148407738673708E-3</v>
      </c>
      <c r="AN491" s="224">
        <f t="shared" si="171"/>
        <v>0.19085186891901379</v>
      </c>
      <c r="AO491" s="273">
        <f t="shared" ref="AO491:AY491" si="225">+AO117</f>
        <v>0.29254866014324821</v>
      </c>
      <c r="AP491" s="273">
        <f t="shared" si="225"/>
        <v>0.21160334740271813</v>
      </c>
      <c r="AQ491" s="273">
        <f t="shared" si="225"/>
        <v>0.21795144782479969</v>
      </c>
      <c r="AR491" s="273">
        <f t="shared" si="225"/>
        <v>0.22448999125954369</v>
      </c>
      <c r="AS491" s="273">
        <f t="shared" si="225"/>
        <v>0.23122469099733001</v>
      </c>
      <c r="AT491" s="273">
        <f t="shared" si="225"/>
        <v>0.23816143172724991</v>
      </c>
      <c r="AU491" s="273">
        <f t="shared" si="225"/>
        <v>0.2453062746790674</v>
      </c>
      <c r="AV491" s="273">
        <f t="shared" si="225"/>
        <v>0.25266546291943942</v>
      </c>
      <c r="AW491" s="273">
        <f t="shared" si="225"/>
        <v>0.26024542680702262</v>
      </c>
      <c r="AX491" s="273">
        <f t="shared" si="225"/>
        <v>0.2680527896112333</v>
      </c>
      <c r="AY491" s="273">
        <f t="shared" si="225"/>
        <v>0.27609437329957032</v>
      </c>
      <c r="AZ491" s="923"/>
      <c r="BA491" s="923"/>
    </row>
    <row r="492" spans="1:53">
      <c r="A492" s="874" t="s">
        <v>729</v>
      </c>
      <c r="B492" s="872" t="s">
        <v>1022</v>
      </c>
      <c r="E492" s="277"/>
      <c r="F492" s="273"/>
      <c r="G492" s="273"/>
      <c r="H492" s="273"/>
      <c r="I492" s="273"/>
      <c r="J492" s="273"/>
      <c r="K492" s="273"/>
      <c r="L492" s="273"/>
      <c r="M492" s="273"/>
      <c r="N492" s="224">
        <f>SUM(E492:M492)</f>
        <v>0</v>
      </c>
      <c r="O492" s="273"/>
      <c r="P492" s="273"/>
      <c r="Q492" s="273"/>
      <c r="R492" s="273"/>
      <c r="S492" s="273"/>
      <c r="T492" s="273"/>
      <c r="U492" s="273"/>
      <c r="V492" s="273"/>
      <c r="W492" s="273"/>
      <c r="X492" s="273"/>
      <c r="Y492" s="273"/>
      <c r="Z492" s="273"/>
      <c r="AA492" s="224">
        <f t="shared" si="170"/>
        <v>0</v>
      </c>
      <c r="AB492" s="273"/>
      <c r="AC492" s="273"/>
      <c r="AD492" s="273"/>
      <c r="AE492" s="273"/>
      <c r="AF492" s="273"/>
      <c r="AG492" s="273"/>
      <c r="AH492" s="273"/>
      <c r="AI492" s="273"/>
      <c r="AJ492" s="273"/>
      <c r="AK492" s="273"/>
      <c r="AL492" s="273"/>
      <c r="AM492" s="273"/>
      <c r="AN492" s="224">
        <f t="shared" si="171"/>
        <v>0</v>
      </c>
      <c r="AO492" s="273"/>
      <c r="AP492" s="273"/>
      <c r="AQ492" s="273"/>
      <c r="AR492" s="273"/>
      <c r="AS492" s="273"/>
      <c r="AT492" s="273"/>
      <c r="AU492" s="273"/>
      <c r="AV492" s="273"/>
      <c r="AW492" s="273"/>
      <c r="AX492" s="273"/>
      <c r="AY492" s="273"/>
      <c r="AZ492" s="923"/>
      <c r="BA492" s="923"/>
    </row>
    <row r="493" spans="1:53">
      <c r="A493" s="874">
        <v>502.1</v>
      </c>
      <c r="B493" s="872" t="s">
        <v>1022</v>
      </c>
      <c r="E493" s="277"/>
      <c r="F493" s="273"/>
      <c r="G493" s="273"/>
      <c r="H493" s="273"/>
      <c r="I493" s="273"/>
      <c r="J493" s="273"/>
      <c r="K493" s="273"/>
      <c r="L493" s="273"/>
      <c r="M493" s="273"/>
      <c r="N493" s="224">
        <f>SUM(E493:M493)</f>
        <v>0</v>
      </c>
      <c r="O493" s="273">
        <f t="shared" ref="O493:Z493" si="226">+O31</f>
        <v>2.2901342849999992E-2</v>
      </c>
      <c r="P493" s="273">
        <f t="shared" si="226"/>
        <v>2.686246019999999E-2</v>
      </c>
      <c r="Q493" s="273">
        <f t="shared" si="226"/>
        <v>2.6345055149999994E-2</v>
      </c>
      <c r="R493" s="273">
        <f t="shared" si="226"/>
        <v>2.6322436349999992E-2</v>
      </c>
      <c r="S493" s="273">
        <f t="shared" si="226"/>
        <v>3.7711002149999999E-2</v>
      </c>
      <c r="T493" s="273">
        <f t="shared" si="226"/>
        <v>4.3450522650000011E-2</v>
      </c>
      <c r="U493" s="273">
        <f t="shared" si="226"/>
        <v>2.8151166329999994E-2</v>
      </c>
      <c r="V493" s="273">
        <f t="shared" si="226"/>
        <v>2.1427728029999996E-2</v>
      </c>
      <c r="W493" s="273">
        <f t="shared" si="226"/>
        <v>2.381853518999999E-2</v>
      </c>
      <c r="X493" s="273">
        <f t="shared" si="226"/>
        <v>1.8541569149999996E-2</v>
      </c>
      <c r="Y493" s="273">
        <f t="shared" si="226"/>
        <v>2.0973090149999991E-2</v>
      </c>
      <c r="Z493" s="273">
        <f t="shared" si="226"/>
        <v>2.1377977649999991E-2</v>
      </c>
      <c r="AA493" s="224">
        <f t="shared" si="170"/>
        <v>0.31788288584999996</v>
      </c>
      <c r="AB493" s="273">
        <f t="shared" ref="AB493:AM493" si="227">+AB31</f>
        <v>2.3129919000000002E-2</v>
      </c>
      <c r="AC493" s="273">
        <f t="shared" si="227"/>
        <v>2.7130482000000004E-2</v>
      </c>
      <c r="AD493" s="273">
        <f t="shared" si="227"/>
        <v>2.6607834000000004E-2</v>
      </c>
      <c r="AE493" s="273">
        <f t="shared" si="227"/>
        <v>2.6585325000000003E-2</v>
      </c>
      <c r="AF493" s="273">
        <f t="shared" si="227"/>
        <v>3.8087424000000002E-2</v>
      </c>
      <c r="AG493" s="273">
        <f t="shared" si="227"/>
        <v>4.3884864000000003E-2</v>
      </c>
      <c r="AH493" s="273">
        <f t="shared" si="227"/>
        <v>2.8431612000000002E-2</v>
      </c>
      <c r="AI493" s="273">
        <f t="shared" si="227"/>
        <v>2.1641031000000002E-2</v>
      </c>
      <c r="AJ493" s="273">
        <f t="shared" si="227"/>
        <v>2.4056631000000002E-2</v>
      </c>
      <c r="AK493" s="273">
        <f t="shared" si="227"/>
        <v>1.8726389999999999E-2</v>
      </c>
      <c r="AL493" s="273">
        <f t="shared" si="227"/>
        <v>2.1182067000000002E-2</v>
      </c>
      <c r="AM493" s="273">
        <f t="shared" si="227"/>
        <v>2.1591071999999996E-2</v>
      </c>
      <c r="AN493" s="224">
        <f t="shared" si="171"/>
        <v>0.32105465100000002</v>
      </c>
      <c r="AO493" s="273">
        <f t="shared" ref="AO493:AY493" si="228">+AO31</f>
        <v>0.32745873600000008</v>
      </c>
      <c r="AP493" s="273">
        <f t="shared" si="228"/>
        <v>0.33398689500000001</v>
      </c>
      <c r="AQ493" s="273">
        <f t="shared" si="228"/>
        <v>0.34400650185000003</v>
      </c>
      <c r="AR493" s="273">
        <f t="shared" si="228"/>
        <v>0.35432669690550006</v>
      </c>
      <c r="AS493" s="273">
        <f t="shared" si="228"/>
        <v>0.36495649781266509</v>
      </c>
      <c r="AT493" s="273">
        <f t="shared" si="228"/>
        <v>0.37590519274704504</v>
      </c>
      <c r="AU493" s="273">
        <f t="shared" si="228"/>
        <v>0.38718234852945638</v>
      </c>
      <c r="AV493" s="273">
        <f t="shared" si="228"/>
        <v>0.39879781898534006</v>
      </c>
      <c r="AW493" s="273">
        <f t="shared" si="228"/>
        <v>0.41076175355490024</v>
      </c>
      <c r="AX493" s="273">
        <f t="shared" si="228"/>
        <v>0.42308460616154725</v>
      </c>
      <c r="AY493" s="273">
        <f t="shared" si="228"/>
        <v>0.4357771443463937</v>
      </c>
      <c r="AZ493" s="923"/>
      <c r="BA493" s="923"/>
    </row>
    <row r="494" spans="1:53">
      <c r="A494" s="874" t="s">
        <v>730</v>
      </c>
      <c r="B494" s="871" t="s">
        <v>972</v>
      </c>
      <c r="E494" s="277"/>
      <c r="F494" s="273"/>
      <c r="G494" s="273"/>
      <c r="H494" s="273"/>
      <c r="I494" s="273"/>
      <c r="J494" s="273"/>
      <c r="K494" s="273"/>
      <c r="L494" s="273"/>
      <c r="M494" s="273"/>
      <c r="N494" s="224">
        <f t="shared" ref="N494:N502" si="229">SUM(E494:M494)</f>
        <v>0</v>
      </c>
      <c r="O494" s="273">
        <f t="shared" ref="O494:Z494" si="230">+O141</f>
        <v>0.50846585402106781</v>
      </c>
      <c r="P494" s="273">
        <f t="shared" si="230"/>
        <v>0.49140324147002523</v>
      </c>
      <c r="Q494" s="273">
        <f t="shared" si="230"/>
        <v>0.5289409890823189</v>
      </c>
      <c r="R494" s="273">
        <f t="shared" si="230"/>
        <v>0.5347684425091096</v>
      </c>
      <c r="S494" s="273">
        <f t="shared" si="230"/>
        <v>0.53736864534950657</v>
      </c>
      <c r="T494" s="273">
        <f t="shared" si="230"/>
        <v>0.46410306138835722</v>
      </c>
      <c r="U494" s="273">
        <f t="shared" si="230"/>
        <v>0.5050533315108594</v>
      </c>
      <c r="V494" s="273">
        <f t="shared" si="230"/>
        <v>0.53576603410273593</v>
      </c>
      <c r="W494" s="273">
        <f t="shared" si="230"/>
        <v>0.47182602403043383</v>
      </c>
      <c r="X494" s="273">
        <f t="shared" si="230"/>
        <v>0.55855874903602831</v>
      </c>
      <c r="Y494" s="273">
        <f t="shared" si="230"/>
        <v>0.46488740602998629</v>
      </c>
      <c r="Z494" s="273">
        <f t="shared" si="230"/>
        <v>0.42433498790433755</v>
      </c>
      <c r="AA494" s="224">
        <f t="shared" si="170"/>
        <v>6.0254767664347666</v>
      </c>
      <c r="AB494" s="273">
        <f t="shared" ref="AB494:AM494" si="231">+AB141</f>
        <v>0.44582191288544926</v>
      </c>
      <c r="AC494" s="273">
        <f t="shared" si="231"/>
        <v>0.43086144601009857</v>
      </c>
      <c r="AD494" s="273">
        <f t="shared" si="231"/>
        <v>0.4995177786352224</v>
      </c>
      <c r="AE494" s="273">
        <f t="shared" si="231"/>
        <v>0.44900385185949349</v>
      </c>
      <c r="AF494" s="273">
        <f t="shared" si="231"/>
        <v>0.47078140010428049</v>
      </c>
      <c r="AG494" s="273">
        <f t="shared" si="231"/>
        <v>0.40692469900953765</v>
      </c>
      <c r="AH494" s="273">
        <f t="shared" si="231"/>
        <v>0.44282981951037909</v>
      </c>
      <c r="AI494" s="273">
        <f t="shared" si="231"/>
        <v>0.46975865988601029</v>
      </c>
      <c r="AJ494" s="273">
        <f t="shared" si="231"/>
        <v>0.41378670735804651</v>
      </c>
      <c r="AK494" s="273">
        <f t="shared" si="231"/>
        <v>0.48985044032827579</v>
      </c>
      <c r="AL494" s="273">
        <f t="shared" si="231"/>
        <v>0.40770160872042827</v>
      </c>
      <c r="AM494" s="273">
        <f t="shared" si="231"/>
        <v>0.41987180599566493</v>
      </c>
      <c r="AN494" s="224">
        <f t="shared" si="171"/>
        <v>5.3467101303028866</v>
      </c>
      <c r="AO494" s="273">
        <f t="shared" ref="AO494:AY494" si="232">+AO141</f>
        <v>5.5041062683236621</v>
      </c>
      <c r="AP494" s="273">
        <f t="shared" si="232"/>
        <v>5.6331698731850741</v>
      </c>
      <c r="AQ494" s="273">
        <f t="shared" si="232"/>
        <v>5.8021649693806268</v>
      </c>
      <c r="AR494" s="273">
        <f t="shared" si="232"/>
        <v>5.976229918462046</v>
      </c>
      <c r="AS494" s="273">
        <f t="shared" si="232"/>
        <v>6.1555168160159077</v>
      </c>
      <c r="AT494" s="273">
        <f t="shared" si="232"/>
        <v>6.3401823204963854</v>
      </c>
      <c r="AU494" s="273">
        <f t="shared" si="232"/>
        <v>6.530387790111277</v>
      </c>
      <c r="AV494" s="273">
        <f t="shared" si="232"/>
        <v>6.7262994238146154</v>
      </c>
      <c r="AW494" s="273">
        <f t="shared" si="232"/>
        <v>6.9280884065290538</v>
      </c>
      <c r="AX494" s="273">
        <f t="shared" si="232"/>
        <v>7.1359310587249256</v>
      </c>
      <c r="AY494" s="273">
        <f t="shared" si="232"/>
        <v>7.3500089904866739</v>
      </c>
      <c r="AZ494" s="923"/>
      <c r="BA494" s="923"/>
    </row>
    <row r="495" spans="1:53">
      <c r="A495" s="874" t="s">
        <v>730</v>
      </c>
      <c r="B495" s="871" t="s">
        <v>972</v>
      </c>
      <c r="E495" s="277"/>
      <c r="F495" s="273"/>
      <c r="G495" s="273"/>
      <c r="H495" s="273"/>
      <c r="I495" s="273"/>
      <c r="J495" s="273"/>
      <c r="K495" s="273"/>
      <c r="L495" s="273"/>
      <c r="M495" s="273"/>
      <c r="N495" s="224">
        <f t="shared" si="229"/>
        <v>0</v>
      </c>
      <c r="O495" s="273">
        <f t="shared" ref="O495:Z495" si="233">+O59+O74</f>
        <v>0.12492800000000001</v>
      </c>
      <c r="P495" s="273">
        <f t="shared" si="233"/>
        <v>0.124767</v>
      </c>
      <c r="Q495" s="273">
        <f t="shared" si="233"/>
        <v>0.124767</v>
      </c>
      <c r="R495" s="273">
        <f t="shared" si="233"/>
        <v>0.124767</v>
      </c>
      <c r="S495" s="273">
        <f t="shared" si="233"/>
        <v>0.124767</v>
      </c>
      <c r="T495" s="273">
        <f t="shared" si="233"/>
        <v>0.124767</v>
      </c>
      <c r="U495" s="273">
        <f t="shared" si="233"/>
        <v>0.124767</v>
      </c>
      <c r="V495" s="273">
        <f t="shared" si="233"/>
        <v>0.124767</v>
      </c>
      <c r="W495" s="273">
        <f t="shared" si="233"/>
        <v>0.124767</v>
      </c>
      <c r="X495" s="273">
        <f t="shared" si="233"/>
        <v>0.124767</v>
      </c>
      <c r="Y495" s="273">
        <f t="shared" si="233"/>
        <v>0.124767</v>
      </c>
      <c r="Z495" s="273">
        <f t="shared" si="233"/>
        <v>0.124767</v>
      </c>
      <c r="AA495" s="224">
        <f t="shared" si="170"/>
        <v>1.4973650000000001</v>
      </c>
      <c r="AB495" s="273">
        <f t="shared" ref="AB495:AM495" si="234">+AB59+AB74</f>
        <v>0.13584299999999999</v>
      </c>
      <c r="AC495" s="273">
        <f t="shared" si="234"/>
        <v>0.13567399999999999</v>
      </c>
      <c r="AD495" s="273">
        <f t="shared" si="234"/>
        <v>0.13567399999999999</v>
      </c>
      <c r="AE495" s="273">
        <f t="shared" si="234"/>
        <v>0.13567399999999999</v>
      </c>
      <c r="AF495" s="273">
        <f t="shared" si="234"/>
        <v>0.13567399999999999</v>
      </c>
      <c r="AG495" s="273">
        <f t="shared" si="234"/>
        <v>0.13567399999999999</v>
      </c>
      <c r="AH495" s="273">
        <f t="shared" si="234"/>
        <v>0.13567399999999999</v>
      </c>
      <c r="AI495" s="273">
        <f t="shared" si="234"/>
        <v>0.13567399999999999</v>
      </c>
      <c r="AJ495" s="273">
        <f t="shared" si="234"/>
        <v>0.13567399999999999</v>
      </c>
      <c r="AK495" s="273">
        <f t="shared" si="234"/>
        <v>0.13567399999999999</v>
      </c>
      <c r="AL495" s="273">
        <f t="shared" si="234"/>
        <v>0.13567399999999999</v>
      </c>
      <c r="AM495" s="273">
        <f t="shared" si="234"/>
        <v>0.13567399999999999</v>
      </c>
      <c r="AN495" s="224">
        <f t="shared" si="171"/>
        <v>1.6282570000000001</v>
      </c>
      <c r="AO495" s="273">
        <f t="shared" ref="AO495:AY495" si="235">+AO59+AO74</f>
        <v>1.6996420000000001</v>
      </c>
      <c r="AP495" s="273">
        <f t="shared" si="235"/>
        <v>1.7746139999999997</v>
      </c>
      <c r="AQ495" s="273">
        <f t="shared" si="235"/>
        <v>1.8278524199999997</v>
      </c>
      <c r="AR495" s="273">
        <f t="shared" si="235"/>
        <v>1.8826879925999997</v>
      </c>
      <c r="AS495" s="273">
        <f t="shared" si="235"/>
        <v>1.939168632378</v>
      </c>
      <c r="AT495" s="273">
        <f t="shared" si="235"/>
        <v>1.9973436913493401</v>
      </c>
      <c r="AU495" s="273">
        <f t="shared" si="235"/>
        <v>2.0572640020898203</v>
      </c>
      <c r="AV495" s="273">
        <f t="shared" si="235"/>
        <v>2.118981922152515</v>
      </c>
      <c r="AW495" s="273">
        <f t="shared" si="235"/>
        <v>2.1825513798170904</v>
      </c>
      <c r="AX495" s="273">
        <f t="shared" si="235"/>
        <v>2.248027921211603</v>
      </c>
      <c r="AY495" s="273">
        <f t="shared" si="235"/>
        <v>2.3154687588479517</v>
      </c>
      <c r="AZ495" s="923"/>
      <c r="BA495" s="923"/>
    </row>
    <row r="496" spans="1:53">
      <c r="A496" s="874" t="s">
        <v>730</v>
      </c>
      <c r="B496" s="871" t="s">
        <v>972</v>
      </c>
      <c r="E496" s="277"/>
      <c r="F496" s="273"/>
      <c r="G496" s="273"/>
      <c r="H496" s="273"/>
      <c r="I496" s="273"/>
      <c r="J496" s="273"/>
      <c r="K496" s="273"/>
      <c r="L496" s="273"/>
      <c r="M496" s="273"/>
      <c r="N496" s="224">
        <f t="shared" si="229"/>
        <v>0</v>
      </c>
      <c r="O496" s="273">
        <f t="shared" ref="O496:Z496" si="236">+O75+O119</f>
        <v>7.5806094059999996E-3</v>
      </c>
      <c r="P496" s="273">
        <f t="shared" si="236"/>
        <v>9.2292439380000004E-3</v>
      </c>
      <c r="Q496" s="273">
        <f t="shared" si="236"/>
        <v>8.3751936419999996E-3</v>
      </c>
      <c r="R496" s="273">
        <f t="shared" si="236"/>
        <v>5.3604745694999997E-3</v>
      </c>
      <c r="S496" s="273">
        <f t="shared" si="236"/>
        <v>1.0149332829499999E-2</v>
      </c>
      <c r="T496" s="273">
        <f t="shared" si="236"/>
        <v>8.2253204329999999E-3</v>
      </c>
      <c r="U496" s="273">
        <f t="shared" si="236"/>
        <v>8.0609279239999988E-3</v>
      </c>
      <c r="V496" s="273">
        <f t="shared" si="236"/>
        <v>6.0871452545000005E-3</v>
      </c>
      <c r="W496" s="273">
        <f t="shared" si="236"/>
        <v>4.2990793395000001E-3</v>
      </c>
      <c r="X496" s="273">
        <f t="shared" si="236"/>
        <v>3.9499672819999993E-3</v>
      </c>
      <c r="Y496" s="273">
        <f t="shared" si="236"/>
        <v>3.072283375499999E-3</v>
      </c>
      <c r="Z496" s="273">
        <f t="shared" si="236"/>
        <v>3.4075693484999997E-3</v>
      </c>
      <c r="AA496" s="224">
        <f t="shared" ref="AA496:AA559" si="237">SUM(O496:Z496)</f>
        <v>7.7797147342000009E-2</v>
      </c>
      <c r="AB496" s="273">
        <f t="shared" ref="AB496:AM496" si="238">+AB75+AB119</f>
        <v>6.018066435209999E-3</v>
      </c>
      <c r="AC496" s="273">
        <f t="shared" si="238"/>
        <v>4.7496031758299997E-3</v>
      </c>
      <c r="AD496" s="273">
        <f t="shared" si="238"/>
        <v>1.9570117686696031E-2</v>
      </c>
      <c r="AE496" s="273">
        <f t="shared" si="238"/>
        <v>1.7192045320608942E-2</v>
      </c>
      <c r="AF496" s="273">
        <f t="shared" si="238"/>
        <v>8.3179375785324989E-3</v>
      </c>
      <c r="AG496" s="273">
        <f t="shared" si="238"/>
        <v>7.7949449481549997E-3</v>
      </c>
      <c r="AH496" s="273">
        <f t="shared" si="238"/>
        <v>6.5746379013399995E-3</v>
      </c>
      <c r="AI496" s="273">
        <f t="shared" si="238"/>
        <v>4.3556278384074996E-3</v>
      </c>
      <c r="AJ496" s="273">
        <f t="shared" si="238"/>
        <v>4.0684705163824995E-3</v>
      </c>
      <c r="AK496" s="273">
        <f t="shared" si="238"/>
        <v>4.3227933368699999E-3</v>
      </c>
      <c r="AL496" s="273">
        <f t="shared" si="238"/>
        <v>3.4212995936424993E-3</v>
      </c>
      <c r="AM496" s="273">
        <f t="shared" si="238"/>
        <v>3.7697000756974994E-3</v>
      </c>
      <c r="AN496" s="224">
        <f t="shared" ref="AN496:AN559" si="239">SUM(AB496:AM496)</f>
        <v>9.0155244407372451E-2</v>
      </c>
      <c r="AO496" s="273">
        <f t="shared" ref="AO496:AY496" si="240">+AO75+AO119</f>
        <v>7.811115372131551E-2</v>
      </c>
      <c r="AP496" s="273">
        <f t="shared" si="240"/>
        <v>8.0996823530447778E-2</v>
      </c>
      <c r="AQ496" s="273">
        <f t="shared" si="240"/>
        <v>8.3426728236361214E-2</v>
      </c>
      <c r="AR496" s="273">
        <f t="shared" si="240"/>
        <v>8.5929530083452055E-2</v>
      </c>
      <c r="AS496" s="273">
        <f t="shared" si="240"/>
        <v>8.8507415985955615E-2</v>
      </c>
      <c r="AT496" s="273">
        <f t="shared" si="240"/>
        <v>9.1162638465534282E-2</v>
      </c>
      <c r="AU496" s="273">
        <f t="shared" si="240"/>
        <v>9.3897517619500312E-2</v>
      </c>
      <c r="AV496" s="273">
        <f t="shared" si="240"/>
        <v>9.6714443148085319E-2</v>
      </c>
      <c r="AW496" s="273">
        <f t="shared" si="240"/>
        <v>9.9615876442527881E-2</v>
      </c>
      <c r="AX496" s="273">
        <f t="shared" si="240"/>
        <v>0.10260435273580372</v>
      </c>
      <c r="AY496" s="273">
        <f t="shared" si="240"/>
        <v>0.10568248331787783</v>
      </c>
      <c r="AZ496" s="923"/>
      <c r="BA496" s="923"/>
    </row>
    <row r="497" spans="1:53">
      <c r="A497" s="874" t="s">
        <v>730</v>
      </c>
      <c r="B497" s="871" t="s">
        <v>972</v>
      </c>
      <c r="E497" s="277"/>
      <c r="F497" s="273"/>
      <c r="G497" s="273"/>
      <c r="H497" s="273"/>
      <c r="I497" s="273"/>
      <c r="J497" s="273"/>
      <c r="K497" s="273"/>
      <c r="L497" s="273"/>
      <c r="M497" s="273"/>
      <c r="N497" s="224">
        <f t="shared" si="229"/>
        <v>0</v>
      </c>
      <c r="O497" s="273">
        <f t="shared" ref="O497:Z497" si="241">+O76</f>
        <v>0</v>
      </c>
      <c r="P497" s="273">
        <f t="shared" si="241"/>
        <v>0</v>
      </c>
      <c r="Q497" s="273">
        <f t="shared" si="241"/>
        <v>0</v>
      </c>
      <c r="R497" s="273">
        <f t="shared" si="241"/>
        <v>0</v>
      </c>
      <c r="S497" s="273">
        <f t="shared" si="241"/>
        <v>0</v>
      </c>
      <c r="T497" s="273">
        <f t="shared" si="241"/>
        <v>0</v>
      </c>
      <c r="U497" s="273">
        <f t="shared" si="241"/>
        <v>0</v>
      </c>
      <c r="V497" s="273">
        <f t="shared" si="241"/>
        <v>0</v>
      </c>
      <c r="W497" s="273">
        <f t="shared" si="241"/>
        <v>0</v>
      </c>
      <c r="X497" s="273">
        <f t="shared" si="241"/>
        <v>0</v>
      </c>
      <c r="Y497" s="273">
        <f t="shared" si="241"/>
        <v>0</v>
      </c>
      <c r="Z497" s="273">
        <f t="shared" si="241"/>
        <v>0</v>
      </c>
      <c r="AA497" s="224">
        <f t="shared" si="237"/>
        <v>0</v>
      </c>
      <c r="AB497" s="273">
        <f t="shared" ref="AB497:AM497" si="242">+AB76</f>
        <v>0</v>
      </c>
      <c r="AC497" s="273">
        <f t="shared" si="242"/>
        <v>0</v>
      </c>
      <c r="AD497" s="273">
        <f t="shared" si="242"/>
        <v>0</v>
      </c>
      <c r="AE497" s="273">
        <f t="shared" si="242"/>
        <v>0</v>
      </c>
      <c r="AF497" s="273">
        <f t="shared" si="242"/>
        <v>0</v>
      </c>
      <c r="AG497" s="273">
        <f t="shared" si="242"/>
        <v>0</v>
      </c>
      <c r="AH497" s="273">
        <f t="shared" si="242"/>
        <v>0</v>
      </c>
      <c r="AI497" s="273">
        <f t="shared" si="242"/>
        <v>0</v>
      </c>
      <c r="AJ497" s="273">
        <f t="shared" si="242"/>
        <v>0</v>
      </c>
      <c r="AK497" s="273">
        <f t="shared" si="242"/>
        <v>0</v>
      </c>
      <c r="AL497" s="273">
        <f t="shared" si="242"/>
        <v>0</v>
      </c>
      <c r="AM497" s="273">
        <f t="shared" si="242"/>
        <v>0</v>
      </c>
      <c r="AN497" s="224">
        <f t="shared" si="239"/>
        <v>0</v>
      </c>
      <c r="AO497" s="273">
        <f t="shared" ref="AO497:AY497" si="243">+AO76</f>
        <v>0</v>
      </c>
      <c r="AP497" s="273">
        <f t="shared" si="243"/>
        <v>0</v>
      </c>
      <c r="AQ497" s="273">
        <f t="shared" si="243"/>
        <v>0</v>
      </c>
      <c r="AR497" s="273">
        <f t="shared" si="243"/>
        <v>0</v>
      </c>
      <c r="AS497" s="273">
        <f t="shared" si="243"/>
        <v>0</v>
      </c>
      <c r="AT497" s="273">
        <f t="shared" si="243"/>
        <v>0</v>
      </c>
      <c r="AU497" s="273">
        <f t="shared" si="243"/>
        <v>0</v>
      </c>
      <c r="AV497" s="273">
        <f t="shared" si="243"/>
        <v>0</v>
      </c>
      <c r="AW497" s="273">
        <f t="shared" si="243"/>
        <v>0</v>
      </c>
      <c r="AX497" s="273">
        <f t="shared" si="243"/>
        <v>0</v>
      </c>
      <c r="AY497" s="273">
        <f t="shared" si="243"/>
        <v>0</v>
      </c>
      <c r="AZ497" s="923"/>
      <c r="BA497" s="923"/>
    </row>
    <row r="498" spans="1:53">
      <c r="A498" s="874" t="s">
        <v>732</v>
      </c>
      <c r="B498" s="871" t="s">
        <v>973</v>
      </c>
      <c r="E498" s="277"/>
      <c r="F498" s="273"/>
      <c r="G498" s="273"/>
      <c r="H498" s="273"/>
      <c r="I498" s="273"/>
      <c r="J498" s="273"/>
      <c r="K498" s="273"/>
      <c r="L498" s="273"/>
      <c r="M498" s="273"/>
      <c r="N498" s="224">
        <f t="shared" si="229"/>
        <v>0</v>
      </c>
      <c r="O498" s="273">
        <f t="shared" ref="O498:Z498" si="244">+O142+O118</f>
        <v>0.22817411486731654</v>
      </c>
      <c r="P498" s="273">
        <f t="shared" si="244"/>
        <v>0.22388186269056093</v>
      </c>
      <c r="Q498" s="273">
        <f t="shared" si="244"/>
        <v>0.23332481747942324</v>
      </c>
      <c r="R498" s="273">
        <f t="shared" si="244"/>
        <v>0.22864619179009599</v>
      </c>
      <c r="S498" s="273">
        <f t="shared" si="244"/>
        <v>0.23508389233030363</v>
      </c>
      <c r="T498" s="273">
        <f t="shared" si="244"/>
        <v>0.217014259207752</v>
      </c>
      <c r="U498" s="273">
        <f t="shared" si="244"/>
        <v>0.22731566443196538</v>
      </c>
      <c r="V498" s="273">
        <f t="shared" si="244"/>
        <v>0.23504171835012544</v>
      </c>
      <c r="W498" s="273">
        <f t="shared" si="244"/>
        <v>0.21915514947420889</v>
      </c>
      <c r="X498" s="273">
        <f t="shared" si="244"/>
        <v>0.24101192990414039</v>
      </c>
      <c r="Y498" s="273">
        <f t="shared" si="244"/>
        <v>0.217408407497856</v>
      </c>
      <c r="Z498" s="273">
        <f t="shared" si="244"/>
        <v>0.20419354834259529</v>
      </c>
      <c r="AA498" s="224">
        <f t="shared" si="237"/>
        <v>2.7102515563663436</v>
      </c>
      <c r="AB498" s="273">
        <f t="shared" ref="AB498:AM498" si="245">+AB142+AB118</f>
        <v>0.21428082963996159</v>
      </c>
      <c r="AC498" s="273">
        <f t="shared" si="245"/>
        <v>0.21062298300774809</v>
      </c>
      <c r="AD498" s="273">
        <f t="shared" si="245"/>
        <v>0.22027069211351413</v>
      </c>
      <c r="AE498" s="273">
        <f t="shared" si="245"/>
        <v>0.21380791170129881</v>
      </c>
      <c r="AF498" s="273">
        <f t="shared" si="245"/>
        <v>0.22016029846777341</v>
      </c>
      <c r="AG498" s="273">
        <f t="shared" si="245"/>
        <v>0.20477042839620652</v>
      </c>
      <c r="AH498" s="273">
        <f t="shared" si="245"/>
        <v>0.2135492603135189</v>
      </c>
      <c r="AI498" s="273">
        <f t="shared" si="245"/>
        <v>0.22013338425150314</v>
      </c>
      <c r="AJ498" s="273">
        <f t="shared" si="245"/>
        <v>0.20657498051634043</v>
      </c>
      <c r="AK498" s="273">
        <f t="shared" si="245"/>
        <v>0.22519593281713834</v>
      </c>
      <c r="AL498" s="273">
        <f t="shared" si="245"/>
        <v>0.20508530433227662</v>
      </c>
      <c r="AM498" s="273">
        <f t="shared" si="245"/>
        <v>0.20806465670040428</v>
      </c>
      <c r="AN498" s="224">
        <f t="shared" si="239"/>
        <v>2.5625166622576838</v>
      </c>
      <c r="AO498" s="273">
        <f t="shared" ref="AO498:AY498" si="246">+AO142+AO118</f>
        <v>2.6581198667610275</v>
      </c>
      <c r="AP498" s="273">
        <f t="shared" si="246"/>
        <v>2.7568845865195075</v>
      </c>
      <c r="AQ498" s="273">
        <f t="shared" si="246"/>
        <v>2.8395911241150928</v>
      </c>
      <c r="AR498" s="273">
        <f t="shared" si="246"/>
        <v>2.9247788578385459</v>
      </c>
      <c r="AS498" s="273">
        <f t="shared" si="246"/>
        <v>3.0125222235737019</v>
      </c>
      <c r="AT498" s="273">
        <f t="shared" si="246"/>
        <v>3.102897890280913</v>
      </c>
      <c r="AU498" s="273">
        <f t="shared" si="246"/>
        <v>3.1959848269893403</v>
      </c>
      <c r="AV498" s="273">
        <f t="shared" si="246"/>
        <v>3.2918643717990208</v>
      </c>
      <c r="AW498" s="273">
        <f t="shared" si="246"/>
        <v>3.3906203029529918</v>
      </c>
      <c r="AX498" s="273">
        <f t="shared" si="246"/>
        <v>3.4923389120415815</v>
      </c>
      <c r="AY498" s="273">
        <f t="shared" si="246"/>
        <v>3.5971090794028289</v>
      </c>
      <c r="AZ498" s="923"/>
      <c r="BA498" s="923"/>
    </row>
    <row r="499" spans="1:53">
      <c r="A499" s="874">
        <v>506.1</v>
      </c>
      <c r="B499" s="871" t="s">
        <v>973</v>
      </c>
      <c r="E499" s="277"/>
      <c r="F499" s="273"/>
      <c r="G499" s="273"/>
      <c r="H499" s="273"/>
      <c r="I499" s="273"/>
      <c r="J499" s="273"/>
      <c r="K499" s="273"/>
      <c r="L499" s="273"/>
      <c r="M499" s="273"/>
      <c r="N499" s="224">
        <f t="shared" si="229"/>
        <v>0</v>
      </c>
      <c r="O499" s="273">
        <f t="shared" ref="O499:Z499" si="247">+O120+O32</f>
        <v>0.44038654827243096</v>
      </c>
      <c r="P499" s="273">
        <f t="shared" si="247"/>
        <v>0.40519347218618534</v>
      </c>
      <c r="Q499" s="273">
        <f t="shared" si="247"/>
        <v>0.5089551442241077</v>
      </c>
      <c r="R499" s="273">
        <f t="shared" si="247"/>
        <v>0.43906672020141807</v>
      </c>
      <c r="S499" s="273">
        <f t="shared" si="247"/>
        <v>0.75623802452170252</v>
      </c>
      <c r="T499" s="273">
        <f t="shared" si="247"/>
        <v>0.42971336466147408</v>
      </c>
      <c r="U499" s="273">
        <f t="shared" si="247"/>
        <v>0.49299590502305174</v>
      </c>
      <c r="V499" s="273">
        <f t="shared" si="247"/>
        <v>0.37024642818191816</v>
      </c>
      <c r="W499" s="273">
        <f t="shared" si="247"/>
        <v>0.29606690277387071</v>
      </c>
      <c r="X499" s="273">
        <f t="shared" si="247"/>
        <v>0.30285274943898705</v>
      </c>
      <c r="Y499" s="273">
        <f t="shared" si="247"/>
        <v>0.27996676847148727</v>
      </c>
      <c r="Z499" s="273">
        <f t="shared" si="247"/>
        <v>0.23535147917657859</v>
      </c>
      <c r="AA499" s="224">
        <f t="shared" si="237"/>
        <v>4.9570335071332128</v>
      </c>
      <c r="AB499" s="273">
        <f t="shared" ref="AB499:AM499" si="248">+AB120+AB32</f>
        <v>0.34895616415783015</v>
      </c>
      <c r="AC499" s="273">
        <f t="shared" si="248"/>
        <v>0.27603485216998863</v>
      </c>
      <c r="AD499" s="273">
        <f t="shared" si="248"/>
        <v>0.63810257716399976</v>
      </c>
      <c r="AE499" s="273">
        <f t="shared" si="248"/>
        <v>0.69320812955541511</v>
      </c>
      <c r="AF499" s="273">
        <f t="shared" si="248"/>
        <v>0.46217625684744179</v>
      </c>
      <c r="AG499" s="273">
        <f t="shared" si="248"/>
        <v>0.35534524798686218</v>
      </c>
      <c r="AH499" s="273">
        <f t="shared" si="248"/>
        <v>0.33197937235347602</v>
      </c>
      <c r="AI499" s="273">
        <f t="shared" si="248"/>
        <v>0.28767760485573318</v>
      </c>
      <c r="AJ499" s="273">
        <f t="shared" si="248"/>
        <v>0.30488084135433569</v>
      </c>
      <c r="AK499" s="273">
        <f t="shared" si="248"/>
        <v>0.2836478587987904</v>
      </c>
      <c r="AL499" s="273">
        <f t="shared" si="248"/>
        <v>0.30167716994527249</v>
      </c>
      <c r="AM499" s="273">
        <f t="shared" si="248"/>
        <v>0.24991001968612619</v>
      </c>
      <c r="AN499" s="224">
        <f t="shared" si="239"/>
        <v>4.5335960948752723</v>
      </c>
      <c r="AO499" s="273">
        <f t="shared" ref="AO499:AY499" si="249">+AO120+AO32</f>
        <v>4.4354875414787847</v>
      </c>
      <c r="AP499" s="273">
        <f t="shared" si="249"/>
        <v>4.9046309214721546</v>
      </c>
      <c r="AQ499" s="273">
        <f t="shared" si="249"/>
        <v>5.0517698491163197</v>
      </c>
      <c r="AR499" s="273">
        <f t="shared" si="249"/>
        <v>5.2033229445898099</v>
      </c>
      <c r="AS499" s="273">
        <f t="shared" si="249"/>
        <v>19.527436876388396</v>
      </c>
      <c r="AT499" s="273">
        <f t="shared" si="249"/>
        <v>20.113259982680049</v>
      </c>
      <c r="AU499" s="273">
        <f t="shared" si="249"/>
        <v>20.71665778216045</v>
      </c>
      <c r="AV499" s="273">
        <f t="shared" si="249"/>
        <v>21.338157515625262</v>
      </c>
      <c r="AW499" s="273">
        <f t="shared" si="249"/>
        <v>21.978302241094021</v>
      </c>
      <c r="AX499" s="273">
        <f t="shared" si="249"/>
        <v>22.637651308326841</v>
      </c>
      <c r="AY499" s="273">
        <f t="shared" si="249"/>
        <v>23.316780847576648</v>
      </c>
      <c r="AZ499" s="923"/>
      <c r="BA499" s="923"/>
    </row>
    <row r="500" spans="1:53">
      <c r="A500" s="874" t="s">
        <v>734</v>
      </c>
      <c r="B500" s="871" t="s">
        <v>973</v>
      </c>
      <c r="E500" s="277"/>
      <c r="F500" s="273"/>
      <c r="G500" s="273"/>
      <c r="H500" s="273"/>
      <c r="I500" s="273"/>
      <c r="J500" s="273"/>
      <c r="K500" s="273"/>
      <c r="L500" s="273"/>
      <c r="M500" s="273"/>
      <c r="N500" s="224">
        <f t="shared" si="229"/>
        <v>0</v>
      </c>
      <c r="O500" s="273"/>
      <c r="P500" s="273"/>
      <c r="Q500" s="273"/>
      <c r="R500" s="273"/>
      <c r="S500" s="273"/>
      <c r="T500" s="273"/>
      <c r="U500" s="273"/>
      <c r="V500" s="273"/>
      <c r="W500" s="273"/>
      <c r="X500" s="273"/>
      <c r="Y500" s="273"/>
      <c r="Z500" s="273"/>
      <c r="AA500" s="224">
        <f t="shared" si="237"/>
        <v>0</v>
      </c>
      <c r="AB500" s="273"/>
      <c r="AC500" s="273"/>
      <c r="AD500" s="273"/>
      <c r="AE500" s="273"/>
      <c r="AF500" s="273"/>
      <c r="AG500" s="273"/>
      <c r="AH500" s="273"/>
      <c r="AI500" s="273"/>
      <c r="AJ500" s="273"/>
      <c r="AK500" s="273"/>
      <c r="AL500" s="273"/>
      <c r="AM500" s="273"/>
      <c r="AN500" s="224">
        <f t="shared" si="239"/>
        <v>0</v>
      </c>
      <c r="AO500" s="273"/>
      <c r="AP500" s="273"/>
      <c r="AQ500" s="273"/>
      <c r="AR500" s="273"/>
      <c r="AS500" s="273"/>
      <c r="AT500" s="273"/>
      <c r="AU500" s="273"/>
      <c r="AV500" s="273"/>
      <c r="AW500" s="273"/>
      <c r="AX500" s="273"/>
      <c r="AY500" s="273"/>
      <c r="AZ500" s="923"/>
      <c r="BA500" s="923"/>
    </row>
    <row r="501" spans="1:53">
      <c r="A501" s="874" t="s">
        <v>70</v>
      </c>
      <c r="B501" s="871" t="s">
        <v>974</v>
      </c>
      <c r="E501" s="277"/>
      <c r="F501" s="273"/>
      <c r="G501" s="273"/>
      <c r="H501" s="273"/>
      <c r="I501" s="273"/>
      <c r="J501" s="273"/>
      <c r="K501" s="273"/>
      <c r="L501" s="273"/>
      <c r="M501" s="273"/>
      <c r="N501" s="224">
        <f t="shared" si="229"/>
        <v>0</v>
      </c>
      <c r="O501" s="273"/>
      <c r="P501" s="273"/>
      <c r="Q501" s="273"/>
      <c r="R501" s="273"/>
      <c r="S501" s="273"/>
      <c r="T501" s="273"/>
      <c r="U501" s="273"/>
      <c r="V501" s="273"/>
      <c r="W501" s="273"/>
      <c r="X501" s="273"/>
      <c r="Y501" s="273"/>
      <c r="Z501" s="273"/>
      <c r="AA501" s="224">
        <f t="shared" si="237"/>
        <v>0</v>
      </c>
      <c r="AB501" s="273"/>
      <c r="AC501" s="273"/>
      <c r="AD501" s="273"/>
      <c r="AE501" s="273"/>
      <c r="AF501" s="273"/>
      <c r="AG501" s="273"/>
      <c r="AH501" s="273"/>
      <c r="AI501" s="273"/>
      <c r="AJ501" s="273"/>
      <c r="AK501" s="273"/>
      <c r="AL501" s="273"/>
      <c r="AM501" s="273"/>
      <c r="AN501" s="224">
        <f t="shared" si="239"/>
        <v>0</v>
      </c>
      <c r="AO501" s="273"/>
      <c r="AP501" s="273"/>
      <c r="AQ501" s="273"/>
      <c r="AR501" s="273"/>
      <c r="AS501" s="273"/>
      <c r="AT501" s="273"/>
      <c r="AU501" s="273"/>
      <c r="AV501" s="273"/>
      <c r="AW501" s="273"/>
      <c r="AX501" s="273"/>
      <c r="AY501" s="273"/>
      <c r="AZ501" s="923"/>
      <c r="BA501" s="923"/>
    </row>
    <row r="502" spans="1:53">
      <c r="A502" s="874">
        <v>510</v>
      </c>
      <c r="B502" s="871" t="s">
        <v>975</v>
      </c>
      <c r="E502" s="277"/>
      <c r="F502" s="273"/>
      <c r="G502" s="273"/>
      <c r="H502" s="273"/>
      <c r="I502" s="273"/>
      <c r="J502" s="273"/>
      <c r="K502" s="273"/>
      <c r="L502" s="273"/>
      <c r="M502" s="273"/>
      <c r="N502" s="224">
        <f t="shared" si="229"/>
        <v>0</v>
      </c>
      <c r="O502" s="273">
        <f t="shared" ref="O502:Z502" si="250">+O143</f>
        <v>0.4447032585611993</v>
      </c>
      <c r="P502" s="273">
        <f t="shared" si="250"/>
        <v>0.42978033042156183</v>
      </c>
      <c r="Q502" s="273">
        <f t="shared" si="250"/>
        <v>0.45840296098216238</v>
      </c>
      <c r="R502" s="273">
        <f t="shared" si="250"/>
        <v>0.43770089177651633</v>
      </c>
      <c r="S502" s="273">
        <f t="shared" si="250"/>
        <v>0.50266474070605449</v>
      </c>
      <c r="T502" s="273">
        <f t="shared" si="250"/>
        <v>0.40221163028112311</v>
      </c>
      <c r="U502" s="273">
        <f t="shared" si="250"/>
        <v>0.43770089177651633</v>
      </c>
      <c r="V502" s="273">
        <f t="shared" si="250"/>
        <v>0.46431783789806125</v>
      </c>
      <c r="W502" s="273">
        <f t="shared" si="250"/>
        <v>0.40818317203604215</v>
      </c>
      <c r="X502" s="273">
        <f t="shared" si="250"/>
        <v>0.48321684336619691</v>
      </c>
      <c r="Y502" s="273">
        <f t="shared" si="250"/>
        <v>0.40218047832962983</v>
      </c>
      <c r="Z502" s="273">
        <f t="shared" si="250"/>
        <v>0.31037774310343585</v>
      </c>
      <c r="AA502" s="224">
        <f t="shared" si="237"/>
        <v>5.1814407792384989</v>
      </c>
      <c r="AB502" s="273">
        <f t="shared" ref="AB502:AM502" si="251">+AB143</f>
        <v>0.32651730722003419</v>
      </c>
      <c r="AC502" s="273">
        <f t="shared" si="251"/>
        <v>0.31556035060191223</v>
      </c>
      <c r="AD502" s="273">
        <f t="shared" si="251"/>
        <v>0.3662737961416801</v>
      </c>
      <c r="AE502" s="273">
        <f t="shared" si="251"/>
        <v>0.35409916926368645</v>
      </c>
      <c r="AF502" s="273">
        <f t="shared" si="251"/>
        <v>0.37378545214343123</v>
      </c>
      <c r="AG502" s="273">
        <f t="shared" si="251"/>
        <v>0.29425260438484996</v>
      </c>
      <c r="AH502" s="273">
        <f t="shared" si="251"/>
        <v>0.32021606947763082</v>
      </c>
      <c r="AI502" s="273">
        <f t="shared" si="251"/>
        <v>0.33968866829721656</v>
      </c>
      <c r="AJ502" s="273">
        <f t="shared" si="251"/>
        <v>0.29834853154815694</v>
      </c>
      <c r="AK502" s="273">
        <f t="shared" si="251"/>
        <v>0.35319201161215635</v>
      </c>
      <c r="AL502" s="273">
        <f t="shared" si="251"/>
        <v>0.293961053143037</v>
      </c>
      <c r="AM502" s="273">
        <f t="shared" si="251"/>
        <v>0.30665438751355939</v>
      </c>
      <c r="AN502" s="224">
        <f t="shared" si="239"/>
        <v>3.9425494013473514</v>
      </c>
      <c r="AO502" s="273">
        <f t="shared" ref="AO502:AY502" si="252">+AO143</f>
        <v>4.0232758586236281</v>
      </c>
      <c r="AP502" s="273">
        <f t="shared" si="252"/>
        <v>4.1369850104280772</v>
      </c>
      <c r="AQ502" s="273">
        <f t="shared" si="252"/>
        <v>4.2610945607409194</v>
      </c>
      <c r="AR502" s="273">
        <f t="shared" si="252"/>
        <v>4.3889273975631475</v>
      </c>
      <c r="AS502" s="273">
        <f t="shared" si="252"/>
        <v>4.5205952194900423</v>
      </c>
      <c r="AT502" s="273">
        <f t="shared" si="252"/>
        <v>4.656213076074744</v>
      </c>
      <c r="AU502" s="273">
        <f t="shared" si="252"/>
        <v>4.7958994683569864</v>
      </c>
      <c r="AV502" s="273">
        <f t="shared" si="252"/>
        <v>4.9397764524076964</v>
      </c>
      <c r="AW502" s="273">
        <f t="shared" si="252"/>
        <v>5.0879697459799278</v>
      </c>
      <c r="AX502" s="273">
        <f t="shared" si="252"/>
        <v>5.2406088383593259</v>
      </c>
      <c r="AY502" s="273">
        <f t="shared" si="252"/>
        <v>5.3978271035101058</v>
      </c>
      <c r="AZ502" s="923"/>
      <c r="BA502" s="923"/>
    </row>
    <row r="503" spans="1:53">
      <c r="A503" s="874">
        <v>511.1</v>
      </c>
      <c r="B503" s="871" t="s">
        <v>103</v>
      </c>
      <c r="E503" s="277"/>
      <c r="F503" s="273"/>
      <c r="G503" s="273"/>
      <c r="H503" s="273"/>
      <c r="I503" s="273"/>
      <c r="J503" s="273"/>
      <c r="K503" s="273"/>
      <c r="L503" s="273"/>
      <c r="M503" s="273"/>
      <c r="N503" s="224">
        <f t="shared" ref="N503:N508" si="253">SUM(E503:M503)</f>
        <v>0</v>
      </c>
      <c r="O503" s="273">
        <f t="shared" ref="O503:Z503" si="254">O144</f>
        <v>8.6761873037813284E-2</v>
      </c>
      <c r="P503" s="273">
        <f t="shared" si="254"/>
        <v>8.3850400788222257E-2</v>
      </c>
      <c r="Q503" s="273">
        <f t="shared" si="254"/>
        <v>8.9122767451698934E-2</v>
      </c>
      <c r="R503" s="273">
        <f t="shared" si="254"/>
        <v>8.5097868276460945E-2</v>
      </c>
      <c r="S503" s="273">
        <f t="shared" si="254"/>
        <v>9.7244902791531931E-2</v>
      </c>
      <c r="T503" s="273">
        <f t="shared" si="254"/>
        <v>7.8198041118910044E-2</v>
      </c>
      <c r="U503" s="273">
        <f t="shared" si="254"/>
        <v>8.5097868276460945E-2</v>
      </c>
      <c r="V503" s="273">
        <f t="shared" si="254"/>
        <v>9.0272738644624068E-2</v>
      </c>
      <c r="W503" s="273">
        <f t="shared" si="254"/>
        <v>7.9612083882932089E-2</v>
      </c>
      <c r="X503" s="273">
        <f t="shared" si="254"/>
        <v>9.4246658126118127E-2</v>
      </c>
      <c r="Y503" s="273">
        <f t="shared" si="254"/>
        <v>7.844131794347721E-2</v>
      </c>
      <c r="Z503" s="273">
        <f t="shared" si="254"/>
        <v>6.0438998773599949E-2</v>
      </c>
      <c r="AA503" s="224">
        <f t="shared" si="237"/>
        <v>1.0083855191118498</v>
      </c>
      <c r="AB503" s="273">
        <f t="shared" ref="AB503:AM503" si="255">AB144</f>
        <v>6.3387937415794141E-2</v>
      </c>
      <c r="AC503" s="273">
        <f t="shared" si="255"/>
        <v>6.1260825421975536E-2</v>
      </c>
      <c r="AD503" s="273">
        <f t="shared" si="255"/>
        <v>7.3104202072195562E-2</v>
      </c>
      <c r="AE503" s="273">
        <f t="shared" si="255"/>
        <v>6.816875883080295E-2</v>
      </c>
      <c r="AF503" s="273">
        <f t="shared" si="255"/>
        <v>7.1816947751335986E-2</v>
      </c>
      <c r="AG503" s="273">
        <f t="shared" si="255"/>
        <v>5.6840665101232327E-2</v>
      </c>
      <c r="AH503" s="273">
        <f t="shared" si="255"/>
        <v>6.1856017904282252E-2</v>
      </c>
      <c r="AI503" s="273">
        <f t="shared" si="255"/>
        <v>6.5617532506569667E-2</v>
      </c>
      <c r="AJ503" s="273">
        <f t="shared" si="255"/>
        <v>5.7824488787937646E-2</v>
      </c>
      <c r="AK503" s="273">
        <f t="shared" si="255"/>
        <v>6.845399040336736E-2</v>
      </c>
      <c r="AL503" s="273">
        <f t="shared" si="255"/>
        <v>5.6974128658703271E-2</v>
      </c>
      <c r="AM503" s="273">
        <f t="shared" si="255"/>
        <v>5.9729796721863453E-2</v>
      </c>
      <c r="AN503" s="224">
        <f t="shared" si="239"/>
        <v>0.76503529157606021</v>
      </c>
      <c r="AO503" s="273">
        <f t="shared" ref="AO503:AY503" si="256">AO144</f>
        <v>0.78208207187081935</v>
      </c>
      <c r="AP503" s="273">
        <f t="shared" si="256"/>
        <v>0.80512858853608815</v>
      </c>
      <c r="AQ503" s="273">
        <f t="shared" si="256"/>
        <v>0.82928244619217084</v>
      </c>
      <c r="AR503" s="273">
        <f t="shared" si="256"/>
        <v>0.85416091957793594</v>
      </c>
      <c r="AS503" s="273">
        <f t="shared" si="256"/>
        <v>0.87978574716527402</v>
      </c>
      <c r="AT503" s="273">
        <f t="shared" si="256"/>
        <v>0.90617931958023223</v>
      </c>
      <c r="AU503" s="273">
        <f t="shared" si="256"/>
        <v>0.9333646991676392</v>
      </c>
      <c r="AV503" s="273">
        <f t="shared" si="256"/>
        <v>0.96136564014266845</v>
      </c>
      <c r="AW503" s="273">
        <f t="shared" si="256"/>
        <v>0.99020660934694849</v>
      </c>
      <c r="AX503" s="273">
        <f t="shared" si="256"/>
        <v>1.0199128076273569</v>
      </c>
      <c r="AY503" s="273">
        <f t="shared" si="256"/>
        <v>1.0505101918561777</v>
      </c>
      <c r="AZ503" s="923"/>
      <c r="BA503" s="923"/>
    </row>
    <row r="504" spans="1:53">
      <c r="A504" s="874">
        <v>511.1</v>
      </c>
      <c r="B504" s="871" t="s">
        <v>104</v>
      </c>
      <c r="E504" s="277"/>
      <c r="F504" s="273"/>
      <c r="G504" s="273"/>
      <c r="H504" s="273"/>
      <c r="I504" s="273"/>
      <c r="J504" s="273"/>
      <c r="K504" s="273"/>
      <c r="L504" s="273"/>
      <c r="M504" s="273"/>
      <c r="N504" s="224">
        <f t="shared" si="253"/>
        <v>0</v>
      </c>
      <c r="O504" s="273">
        <f t="shared" ref="O504:Z504" si="257">+O123</f>
        <v>0.13211560686736415</v>
      </c>
      <c r="P504" s="273">
        <f t="shared" si="257"/>
        <v>0.19711287703754204</v>
      </c>
      <c r="Q504" s="273">
        <f t="shared" si="257"/>
        <v>0.18895580541496049</v>
      </c>
      <c r="R504" s="273">
        <f t="shared" si="257"/>
        <v>0.27334107036975375</v>
      </c>
      <c r="S504" s="273">
        <f t="shared" si="257"/>
        <v>0.6522991344636675</v>
      </c>
      <c r="T504" s="273">
        <f t="shared" si="257"/>
        <v>0.15373924972827446</v>
      </c>
      <c r="U504" s="273">
        <f t="shared" si="257"/>
        <v>0.2097168367388848</v>
      </c>
      <c r="V504" s="273">
        <f t="shared" si="257"/>
        <v>0.2098016661163814</v>
      </c>
      <c r="W504" s="273">
        <f t="shared" si="257"/>
        <v>0.19153921348891792</v>
      </c>
      <c r="X504" s="273">
        <f t="shared" si="257"/>
        <v>0.23207903670263313</v>
      </c>
      <c r="Y504" s="273">
        <f t="shared" si="257"/>
        <v>0.13943489761935035</v>
      </c>
      <c r="Z504" s="273">
        <f t="shared" si="257"/>
        <v>0.11292492131259863</v>
      </c>
      <c r="AA504" s="224">
        <f t="shared" si="237"/>
        <v>2.6930603158603286</v>
      </c>
      <c r="AB504" s="273">
        <f t="shared" ref="AB504:AM504" si="258">+AB123</f>
        <v>0.14898837806517434</v>
      </c>
      <c r="AC504" s="273">
        <f t="shared" si="258"/>
        <v>0.13774157893743769</v>
      </c>
      <c r="AD504" s="273">
        <f t="shared" si="258"/>
        <v>0.3963037638611861</v>
      </c>
      <c r="AE504" s="273">
        <f t="shared" si="258"/>
        <v>0.88341200001403475</v>
      </c>
      <c r="AF504" s="273">
        <f t="shared" si="258"/>
        <v>0.53449469486760981</v>
      </c>
      <c r="AG504" s="273">
        <f t="shared" si="258"/>
        <v>0.11496884388816715</v>
      </c>
      <c r="AH504" s="273">
        <f t="shared" si="258"/>
        <v>0.17682979916169378</v>
      </c>
      <c r="AI504" s="273">
        <f t="shared" si="258"/>
        <v>0.18642605308133658</v>
      </c>
      <c r="AJ504" s="273">
        <f t="shared" si="258"/>
        <v>0.18100933197001104</v>
      </c>
      <c r="AK504" s="273">
        <f t="shared" si="258"/>
        <v>0.2775430618421838</v>
      </c>
      <c r="AL504" s="273">
        <f t="shared" si="258"/>
        <v>0.14800980558540486</v>
      </c>
      <c r="AM504" s="273">
        <f t="shared" si="258"/>
        <v>0.12142955429501107</v>
      </c>
      <c r="AN504" s="224">
        <f t="shared" si="239"/>
        <v>3.3071568655692509</v>
      </c>
      <c r="AO504" s="273">
        <f t="shared" ref="AO504:AY504" si="259">+AO123</f>
        <v>2.7459707789452183</v>
      </c>
      <c r="AP504" s="273">
        <f t="shared" si="259"/>
        <v>3.3759248723602706</v>
      </c>
      <c r="AQ504" s="273">
        <f t="shared" si="259"/>
        <v>3.4772026185310789</v>
      </c>
      <c r="AR504" s="273">
        <f t="shared" si="259"/>
        <v>3.5815186970870112</v>
      </c>
      <c r="AS504" s="273">
        <f t="shared" si="259"/>
        <v>3.6889642579996216</v>
      </c>
      <c r="AT504" s="273">
        <f t="shared" si="259"/>
        <v>3.7996331857396104</v>
      </c>
      <c r="AU504" s="273">
        <f t="shared" si="259"/>
        <v>3.9136221813117986</v>
      </c>
      <c r="AV504" s="273">
        <f t="shared" si="259"/>
        <v>4.0310308467511531</v>
      </c>
      <c r="AW504" s="273">
        <f t="shared" si="259"/>
        <v>4.1519617721536877</v>
      </c>
      <c r="AX504" s="273">
        <f t="shared" si="259"/>
        <v>4.2765206253182981</v>
      </c>
      <c r="AY504" s="273">
        <f t="shared" si="259"/>
        <v>4.4048162440778471</v>
      </c>
      <c r="AZ504" s="923"/>
      <c r="BA504" s="923"/>
    </row>
    <row r="505" spans="1:53">
      <c r="A505" s="874" t="s">
        <v>737</v>
      </c>
      <c r="B505" s="871" t="s">
        <v>976</v>
      </c>
      <c r="E505" s="277"/>
      <c r="F505" s="273"/>
      <c r="G505" s="273"/>
      <c r="H505" s="273"/>
      <c r="I505" s="273"/>
      <c r="J505" s="273"/>
      <c r="K505" s="273"/>
      <c r="L505" s="273"/>
      <c r="M505" s="273"/>
      <c r="N505" s="224">
        <f t="shared" si="253"/>
        <v>0</v>
      </c>
      <c r="O505" s="273">
        <f t="shared" ref="O505:Z505" si="260">+O145+O33+O187</f>
        <v>0.45457515609497928</v>
      </c>
      <c r="P505" s="273">
        <f t="shared" si="260"/>
        <v>0.43778474817232893</v>
      </c>
      <c r="Q505" s="273">
        <f t="shared" si="260"/>
        <v>0.46905928417404136</v>
      </c>
      <c r="R505" s="273">
        <f t="shared" si="260"/>
        <v>0.44580852295327833</v>
      </c>
      <c r="S505" s="273">
        <f t="shared" si="260"/>
        <v>0.50940115218526671</v>
      </c>
      <c r="T505" s="273">
        <f t="shared" si="260"/>
        <v>0.40595007514625575</v>
      </c>
      <c r="U505" s="273">
        <f t="shared" si="260"/>
        <v>0.44580852295327833</v>
      </c>
      <c r="V505" s="273">
        <f t="shared" si="260"/>
        <v>0.47570235880854533</v>
      </c>
      <c r="W505" s="273">
        <f t="shared" si="260"/>
        <v>0.41293341706774211</v>
      </c>
      <c r="X505" s="273">
        <f t="shared" si="260"/>
        <v>0.49725555255813569</v>
      </c>
      <c r="Y505" s="273">
        <f t="shared" si="260"/>
        <v>0.40586331530730346</v>
      </c>
      <c r="Z505" s="273">
        <f t="shared" si="260"/>
        <v>0.29946173768909667</v>
      </c>
      <c r="AA505" s="224">
        <f t="shared" si="237"/>
        <v>5.2596038431102521</v>
      </c>
      <c r="AB505" s="273">
        <f t="shared" ref="AB505:AM505" si="261">+AB145+AB33+AB187</f>
        <v>0.32717933686826717</v>
      </c>
      <c r="AC505" s="273">
        <f t="shared" si="261"/>
        <v>0.3150220772418153</v>
      </c>
      <c r="AD505" s="273">
        <f t="shared" si="261"/>
        <v>0.37758669973910497</v>
      </c>
      <c r="AE505" s="273">
        <f t="shared" si="261"/>
        <v>0.34980509821966793</v>
      </c>
      <c r="AF505" s="273">
        <f t="shared" si="261"/>
        <v>0.37072587212362296</v>
      </c>
      <c r="AG505" s="273">
        <f t="shared" si="261"/>
        <v>0.29048655618632485</v>
      </c>
      <c r="AH505" s="273">
        <f t="shared" si="261"/>
        <v>0.31921539937923593</v>
      </c>
      <c r="AI505" s="273">
        <f t="shared" si="261"/>
        <v>0.34076203177391917</v>
      </c>
      <c r="AJ505" s="273">
        <f t="shared" si="261"/>
        <v>0.29600107169587725</v>
      </c>
      <c r="AK505" s="273">
        <f t="shared" si="261"/>
        <v>0.35686652605173708</v>
      </c>
      <c r="AL505" s="273">
        <f t="shared" si="261"/>
        <v>0.29113183534740844</v>
      </c>
      <c r="AM505" s="273">
        <f t="shared" si="261"/>
        <v>0.30614504706780321</v>
      </c>
      <c r="AN505" s="224">
        <f t="shared" si="239"/>
        <v>3.9409275516947848</v>
      </c>
      <c r="AO505" s="273">
        <f t="shared" ref="AO505:AY505" si="262">+AO145+AO33+AO187</f>
        <v>4.0303749075724316</v>
      </c>
      <c r="AP505" s="273">
        <f t="shared" si="262"/>
        <v>4.1492563703303453</v>
      </c>
      <c r="AQ505" s="273">
        <f t="shared" si="262"/>
        <v>4.2737340614402557</v>
      </c>
      <c r="AR505" s="273">
        <f t="shared" si="262"/>
        <v>4.4019460832834634</v>
      </c>
      <c r="AS505" s="273">
        <f t="shared" si="262"/>
        <v>4.5340044657819671</v>
      </c>
      <c r="AT505" s="273">
        <f t="shared" si="262"/>
        <v>4.6700245997554264</v>
      </c>
      <c r="AU505" s="273">
        <f t="shared" si="262"/>
        <v>4.8101253377480893</v>
      </c>
      <c r="AV505" s="273">
        <f t="shared" si="262"/>
        <v>4.9544290978805323</v>
      </c>
      <c r="AW505" s="273">
        <f t="shared" si="262"/>
        <v>5.103061970816948</v>
      </c>
      <c r="AX505" s="273">
        <f t="shared" si="262"/>
        <v>5.2561538299414563</v>
      </c>
      <c r="AY505" s="273">
        <f t="shared" si="262"/>
        <v>5.4138384448397003</v>
      </c>
      <c r="AZ505" s="923"/>
      <c r="BA505" s="923"/>
    </row>
    <row r="506" spans="1:53">
      <c r="A506" s="874" t="s">
        <v>737</v>
      </c>
      <c r="B506" s="871" t="s">
        <v>976</v>
      </c>
      <c r="E506" s="277"/>
      <c r="F506" s="273"/>
      <c r="G506" s="273"/>
      <c r="H506" s="273"/>
      <c r="I506" s="273"/>
      <c r="J506" s="273"/>
      <c r="K506" s="273"/>
      <c r="L506" s="273"/>
      <c r="M506" s="273"/>
      <c r="N506" s="224">
        <f t="shared" si="253"/>
        <v>0</v>
      </c>
      <c r="O506" s="273">
        <f t="shared" ref="O506:Z506" si="263">+O146</f>
        <v>0.25272634199926264</v>
      </c>
      <c r="P506" s="273">
        <f t="shared" si="263"/>
        <v>0.24424559226774381</v>
      </c>
      <c r="Q506" s="273">
        <f t="shared" si="263"/>
        <v>0.25999014151405314</v>
      </c>
      <c r="R506" s="273">
        <f t="shared" si="263"/>
        <v>0.24824865125212817</v>
      </c>
      <c r="S506" s="273">
        <f t="shared" si="263"/>
        <v>0.26799296244873216</v>
      </c>
      <c r="T506" s="273">
        <f t="shared" si="263"/>
        <v>0.22812038223168532</v>
      </c>
      <c r="U506" s="273">
        <f t="shared" si="263"/>
        <v>0.24824865125212817</v>
      </c>
      <c r="V506" s="273">
        <f t="shared" si="263"/>
        <v>0.2633448530174603</v>
      </c>
      <c r="W506" s="273">
        <f t="shared" si="263"/>
        <v>0.23290055736848023</v>
      </c>
      <c r="X506" s="273">
        <f t="shared" si="263"/>
        <v>0.27571315982592148</v>
      </c>
      <c r="Y506" s="273">
        <f t="shared" si="263"/>
        <v>0.22947554917188492</v>
      </c>
      <c r="Z506" s="273">
        <f t="shared" si="263"/>
        <v>0.16328100384474351</v>
      </c>
      <c r="AA506" s="224">
        <f t="shared" si="237"/>
        <v>2.9142878461942239</v>
      </c>
      <c r="AB506" s="273">
        <f t="shared" ref="AB506:AM506" si="264">+AB146</f>
        <v>0.17098184891354884</v>
      </c>
      <c r="AC506" s="273">
        <f t="shared" si="264"/>
        <v>0.16524420297685255</v>
      </c>
      <c r="AD506" s="273">
        <f t="shared" si="264"/>
        <v>0.19628804471597638</v>
      </c>
      <c r="AE506" s="273">
        <f t="shared" si="264"/>
        <v>0.17209030905109488</v>
      </c>
      <c r="AF506" s="273">
        <f t="shared" si="264"/>
        <v>0.18127672393905717</v>
      </c>
      <c r="AG506" s="273">
        <f t="shared" si="264"/>
        <v>0.1534493894279382</v>
      </c>
      <c r="AH506" s="273">
        <f t="shared" si="264"/>
        <v>0.16698904143628571</v>
      </c>
      <c r="AI506" s="273">
        <f t="shared" si="264"/>
        <v>0.17714378044254633</v>
      </c>
      <c r="AJ506" s="273">
        <f t="shared" si="264"/>
        <v>0.15616964072175826</v>
      </c>
      <c r="AK506" s="273">
        <f t="shared" si="264"/>
        <v>0.18487729526619917</v>
      </c>
      <c r="AL506" s="273">
        <f t="shared" si="264"/>
        <v>0.15387302835820305</v>
      </c>
      <c r="AM506" s="273">
        <f t="shared" si="264"/>
        <v>0.16117897601166298</v>
      </c>
      <c r="AN506" s="224">
        <f t="shared" si="239"/>
        <v>2.0395622812611238</v>
      </c>
      <c r="AO506" s="273">
        <f t="shared" ref="AO506:AY506" si="265">+AO146</f>
        <v>2.0929142748974461</v>
      </c>
      <c r="AP506" s="273">
        <f t="shared" si="265"/>
        <v>2.1535439199803368</v>
      </c>
      <c r="AQ506" s="273">
        <f t="shared" si="265"/>
        <v>2.2181502375797471</v>
      </c>
      <c r="AR506" s="273">
        <f t="shared" si="265"/>
        <v>2.2846947447071395</v>
      </c>
      <c r="AS506" s="273">
        <f t="shared" si="265"/>
        <v>2.3532355870483537</v>
      </c>
      <c r="AT506" s="273">
        <f t="shared" si="265"/>
        <v>2.4238326546598041</v>
      </c>
      <c r="AU506" s="273">
        <f t="shared" si="265"/>
        <v>2.4965476342995983</v>
      </c>
      <c r="AV506" s="273">
        <f t="shared" si="265"/>
        <v>2.5714440633285864</v>
      </c>
      <c r="AW506" s="273">
        <f t="shared" si="265"/>
        <v>2.6485873852284443</v>
      </c>
      <c r="AX506" s="273">
        <f t="shared" si="265"/>
        <v>2.7280450067852975</v>
      </c>
      <c r="AY506" s="273">
        <f t="shared" si="265"/>
        <v>2.8098863569888564</v>
      </c>
      <c r="AZ506" s="923"/>
      <c r="BA506" s="923"/>
    </row>
    <row r="507" spans="1:53">
      <c r="A507" s="874" t="s">
        <v>737</v>
      </c>
      <c r="B507" s="871" t="s">
        <v>976</v>
      </c>
      <c r="E507" s="277"/>
      <c r="F507" s="273"/>
      <c r="G507" s="273"/>
      <c r="H507" s="273"/>
      <c r="I507" s="273"/>
      <c r="J507" s="273"/>
      <c r="K507" s="273"/>
      <c r="L507" s="273"/>
      <c r="M507" s="273"/>
      <c r="N507" s="224">
        <f t="shared" si="253"/>
        <v>0</v>
      </c>
      <c r="O507" s="273">
        <f t="shared" ref="O507:Z507" si="266">+O124</f>
        <v>0.67585289020641814</v>
      </c>
      <c r="P507" s="273">
        <f t="shared" si="266"/>
        <v>0.94230510319196314</v>
      </c>
      <c r="Q507" s="273">
        <f t="shared" si="266"/>
        <v>1.0324907628509015</v>
      </c>
      <c r="R507" s="273">
        <f t="shared" si="266"/>
        <v>1.3125105770293328</v>
      </c>
      <c r="S507" s="273">
        <f t="shared" si="266"/>
        <v>2.5868456671967093</v>
      </c>
      <c r="T507" s="273">
        <f t="shared" si="266"/>
        <v>0.73920740051233957</v>
      </c>
      <c r="U507" s="273">
        <f t="shared" si="266"/>
        <v>1.0674232852456347</v>
      </c>
      <c r="V507" s="273">
        <f t="shared" si="266"/>
        <v>0.99419978026429956</v>
      </c>
      <c r="W507" s="273">
        <f t="shared" si="266"/>
        <v>0.88119833680663462</v>
      </c>
      <c r="X507" s="273">
        <f t="shared" si="266"/>
        <v>1.0945051557951684</v>
      </c>
      <c r="Y507" s="273">
        <f t="shared" si="266"/>
        <v>0.66220786120454844</v>
      </c>
      <c r="Z507" s="273">
        <f t="shared" si="266"/>
        <v>0.54896959993791217</v>
      </c>
      <c r="AA507" s="224">
        <f t="shared" si="237"/>
        <v>12.537716420241862</v>
      </c>
      <c r="AB507" s="273">
        <f t="shared" ref="AB507:AM507" si="267">+AB124</f>
        <v>0.75234170187174843</v>
      </c>
      <c r="AC507" s="273">
        <f t="shared" si="267"/>
        <v>0.67235367773475863</v>
      </c>
      <c r="AD507" s="273">
        <f t="shared" si="267"/>
        <v>2.0547792758164234</v>
      </c>
      <c r="AE507" s="273">
        <f t="shared" si="267"/>
        <v>3.8660682285057999</v>
      </c>
      <c r="AF507" s="273">
        <f t="shared" si="267"/>
        <v>2.1276052589051142</v>
      </c>
      <c r="AG507" s="273">
        <f t="shared" si="267"/>
        <v>0.58375078699501981</v>
      </c>
      <c r="AH507" s="273">
        <f t="shared" si="267"/>
        <v>0.86643102389790039</v>
      </c>
      <c r="AI507" s="273">
        <f t="shared" si="267"/>
        <v>0.92573800656517646</v>
      </c>
      <c r="AJ507" s="273">
        <f t="shared" si="267"/>
        <v>1.1772479609611366</v>
      </c>
      <c r="AK507" s="273">
        <f t="shared" si="267"/>
        <v>1.4831299480311542</v>
      </c>
      <c r="AL507" s="273">
        <f t="shared" si="267"/>
        <v>0.73936311037304669</v>
      </c>
      <c r="AM507" s="273">
        <f t="shared" si="267"/>
        <v>0.58374703378103288</v>
      </c>
      <c r="AN507" s="224">
        <f t="shared" si="239"/>
        <v>15.83255601343831</v>
      </c>
      <c r="AO507" s="273">
        <f t="shared" ref="AO507:AY507" si="268">+AO124</f>
        <v>13.475508800587582</v>
      </c>
      <c r="AP507" s="273">
        <f t="shared" si="268"/>
        <v>16.684372065203583</v>
      </c>
      <c r="AQ507" s="273">
        <f t="shared" si="268"/>
        <v>17.18490322715969</v>
      </c>
      <c r="AR507" s="273">
        <f t="shared" si="268"/>
        <v>17.700450323974483</v>
      </c>
      <c r="AS507" s="273">
        <f t="shared" si="268"/>
        <v>32.399478077154612</v>
      </c>
      <c r="AT507" s="273">
        <f t="shared" si="268"/>
        <v>33.371462419469253</v>
      </c>
      <c r="AU507" s="273">
        <f t="shared" si="268"/>
        <v>34.372606292053334</v>
      </c>
      <c r="AV507" s="273">
        <f t="shared" si="268"/>
        <v>35.403784480814934</v>
      </c>
      <c r="AW507" s="273">
        <f t="shared" si="268"/>
        <v>36.465898015239382</v>
      </c>
      <c r="AX507" s="273">
        <f t="shared" si="268"/>
        <v>37.559874955696564</v>
      </c>
      <c r="AY507" s="273">
        <f t="shared" si="268"/>
        <v>38.686671204367464</v>
      </c>
      <c r="AZ507" s="923"/>
      <c r="BA507" s="923"/>
    </row>
    <row r="508" spans="1:53">
      <c r="A508" s="874">
        <v>512.11</v>
      </c>
      <c r="B508" s="872" t="s">
        <v>976</v>
      </c>
      <c r="E508" s="277"/>
      <c r="F508" s="273"/>
      <c r="G508" s="273"/>
      <c r="H508" s="273"/>
      <c r="I508" s="273"/>
      <c r="J508" s="273"/>
      <c r="K508" s="273"/>
      <c r="L508" s="273"/>
      <c r="M508" s="273"/>
      <c r="N508" s="224">
        <f t="shared" si="253"/>
        <v>0</v>
      </c>
      <c r="O508" s="273">
        <f t="shared" ref="O508:Z508" si="269">+O125</f>
        <v>0.17805219434249997</v>
      </c>
      <c r="P508" s="273">
        <f t="shared" si="269"/>
        <v>0.27232290059249997</v>
      </c>
      <c r="Q508" s="273">
        <f t="shared" si="269"/>
        <v>0.34184352734250006</v>
      </c>
      <c r="R508" s="273">
        <f t="shared" si="269"/>
        <v>0.34751239641750004</v>
      </c>
      <c r="S508" s="273">
        <f t="shared" si="269"/>
        <v>1.3248337802174999</v>
      </c>
      <c r="T508" s="273">
        <f t="shared" si="269"/>
        <v>0.49002156194500002</v>
      </c>
      <c r="U508" s="273">
        <f t="shared" si="269"/>
        <v>0.18793259052000003</v>
      </c>
      <c r="V508" s="273">
        <f t="shared" si="269"/>
        <v>0.14077010742250001</v>
      </c>
      <c r="W508" s="273">
        <f t="shared" si="269"/>
        <v>0.31064968104750001</v>
      </c>
      <c r="X508" s="273">
        <f t="shared" si="269"/>
        <v>0.20428206842249999</v>
      </c>
      <c r="Y508" s="273">
        <f t="shared" si="269"/>
        <v>9.1428415047500003E-2</v>
      </c>
      <c r="Z508" s="273">
        <f t="shared" si="269"/>
        <v>6.7787300847500009E-2</v>
      </c>
      <c r="AA508" s="224">
        <f t="shared" si="237"/>
        <v>3.9574365241649998</v>
      </c>
      <c r="AB508" s="273">
        <f t="shared" ref="AB508:AM508" si="270">+AB125</f>
        <v>6.8260988207612491E-2</v>
      </c>
      <c r="AC508" s="273">
        <f t="shared" si="270"/>
        <v>0.1245427544576125</v>
      </c>
      <c r="AD508" s="273">
        <f t="shared" si="270"/>
        <v>0.17201272120761249</v>
      </c>
      <c r="AE508" s="273">
        <f t="shared" si="270"/>
        <v>6.0661370282612495E-2</v>
      </c>
      <c r="AF508" s="273">
        <f t="shared" si="270"/>
        <v>0.19859715408261244</v>
      </c>
      <c r="AG508" s="273">
        <f t="shared" si="270"/>
        <v>0.26016629955370002</v>
      </c>
      <c r="AH508" s="273">
        <f t="shared" si="270"/>
        <v>5.4999868128699995E-2</v>
      </c>
      <c r="AI508" s="273">
        <f t="shared" si="270"/>
        <v>5.05327487747875E-2</v>
      </c>
      <c r="AJ508" s="273">
        <f t="shared" si="270"/>
        <v>9.64792723997875E-2</v>
      </c>
      <c r="AK508" s="273">
        <f t="shared" si="270"/>
        <v>6.2689399774787491E-2</v>
      </c>
      <c r="AL508" s="273">
        <f t="shared" si="270"/>
        <v>6.9539546399787502E-2</v>
      </c>
      <c r="AM508" s="273">
        <f t="shared" si="270"/>
        <v>7.16333321997875E-2</v>
      </c>
      <c r="AN508" s="224">
        <f t="shared" si="239"/>
        <v>1.2901154554693999</v>
      </c>
      <c r="AO508" s="273">
        <f t="shared" ref="AO508:AY508" si="271">+AO125</f>
        <v>2.1509034614608287</v>
      </c>
      <c r="AP508" s="273">
        <f t="shared" si="271"/>
        <v>1.3664023294046539</v>
      </c>
      <c r="AQ508" s="273">
        <f t="shared" si="271"/>
        <v>1.4073943992867934</v>
      </c>
      <c r="AR508" s="273">
        <f t="shared" si="271"/>
        <v>1.4496162312653973</v>
      </c>
      <c r="AS508" s="273">
        <f t="shared" si="271"/>
        <v>1.4931047182033592</v>
      </c>
      <c r="AT508" s="273">
        <f t="shared" si="271"/>
        <v>1.5378978597494601</v>
      </c>
      <c r="AU508" s="273">
        <f t="shared" si="271"/>
        <v>1.584034795541944</v>
      </c>
      <c r="AV508" s="273">
        <f t="shared" si="271"/>
        <v>1.6315558394082024</v>
      </c>
      <c r="AW508" s="273">
        <f t="shared" si="271"/>
        <v>1.6805025145904484</v>
      </c>
      <c r="AX508" s="273">
        <f t="shared" si="271"/>
        <v>1.7309175900281619</v>
      </c>
      <c r="AY508" s="273">
        <f t="shared" si="271"/>
        <v>1.7828451177290068</v>
      </c>
      <c r="AZ508" s="923"/>
      <c r="BA508" s="923"/>
    </row>
    <row r="509" spans="1:53">
      <c r="A509" s="874" t="s">
        <v>741</v>
      </c>
      <c r="B509" s="871" t="s">
        <v>977</v>
      </c>
      <c r="E509" s="277"/>
      <c r="F509" s="273"/>
      <c r="G509" s="273"/>
      <c r="H509" s="273"/>
      <c r="I509" s="273"/>
      <c r="J509" s="273"/>
      <c r="K509" s="273"/>
      <c r="L509" s="273"/>
      <c r="M509" s="273"/>
      <c r="N509" s="224">
        <f t="shared" ref="N509:N514" si="272">SUM(E509:M509)</f>
        <v>0</v>
      </c>
      <c r="O509" s="273">
        <f t="shared" ref="O509:Z509" si="273">+O147</f>
        <v>0.14602875479137273</v>
      </c>
      <c r="P509" s="273">
        <f t="shared" si="273"/>
        <v>0.14112846100642731</v>
      </c>
      <c r="Q509" s="273">
        <f t="shared" si="273"/>
        <v>0.15045255725179107</v>
      </c>
      <c r="R509" s="273">
        <f t="shared" si="273"/>
        <v>0.14365792563396826</v>
      </c>
      <c r="S509" s="273">
        <f t="shared" si="273"/>
        <v>0.16285212679153085</v>
      </c>
      <c r="T509" s="273">
        <f t="shared" si="273"/>
        <v>0.13200998571770053</v>
      </c>
      <c r="U509" s="273">
        <f t="shared" si="273"/>
        <v>0.14365792563396826</v>
      </c>
      <c r="V509" s="273">
        <f t="shared" si="273"/>
        <v>0.15239388057116904</v>
      </c>
      <c r="W509" s="273">
        <f t="shared" si="273"/>
        <v>0.13431349845714613</v>
      </c>
      <c r="X509" s="273">
        <f t="shared" si="273"/>
        <v>0.15900347979118037</v>
      </c>
      <c r="Y509" s="273">
        <f t="shared" si="273"/>
        <v>0.1323382999504234</v>
      </c>
      <c r="Z509" s="273">
        <f t="shared" si="273"/>
        <v>8.6855492197870351E-2</v>
      </c>
      <c r="AA509" s="224">
        <f t="shared" si="237"/>
        <v>1.6846923877945483</v>
      </c>
      <c r="AB509" s="273">
        <f t="shared" ref="AB509:AM509" si="274">+AB147</f>
        <v>9.1127927936151751E-2</v>
      </c>
      <c r="AC509" s="273">
        <f t="shared" si="274"/>
        <v>8.8069943777220494E-2</v>
      </c>
      <c r="AD509" s="273">
        <f t="shared" si="274"/>
        <v>0.10400801926606527</v>
      </c>
      <c r="AE509" s="273">
        <f t="shared" si="274"/>
        <v>9.846236631200761E-2</v>
      </c>
      <c r="AF509" s="273">
        <f t="shared" si="274"/>
        <v>0.10381067447273298</v>
      </c>
      <c r="AG509" s="273">
        <f t="shared" si="274"/>
        <v>8.1869879097830306E-2</v>
      </c>
      <c r="AH509" s="273">
        <f t="shared" si="274"/>
        <v>8.9093691959403559E-2</v>
      </c>
      <c r="AI509" s="273">
        <f t="shared" si="274"/>
        <v>9.4511551605583499E-2</v>
      </c>
      <c r="AJ509" s="273">
        <f t="shared" si="274"/>
        <v>8.3251987334570496E-2</v>
      </c>
      <c r="AK509" s="273">
        <f t="shared" si="274"/>
        <v>9.8555661476954784E-2</v>
      </c>
      <c r="AL509" s="273">
        <f t="shared" si="274"/>
        <v>8.2027693403179766E-2</v>
      </c>
      <c r="AM509" s="273">
        <f t="shared" si="274"/>
        <v>8.5832642729135933E-2</v>
      </c>
      <c r="AN509" s="224">
        <f t="shared" si="239"/>
        <v>1.1006220393708364</v>
      </c>
      <c r="AO509" s="273">
        <f t="shared" ref="AO509:AY509" si="275">+AO147</f>
        <v>1.1242674697796078</v>
      </c>
      <c r="AP509" s="273">
        <f t="shared" si="275"/>
        <v>1.156854430370982</v>
      </c>
      <c r="AQ509" s="273">
        <f t="shared" si="275"/>
        <v>1.1915600632821115</v>
      </c>
      <c r="AR509" s="273">
        <f t="shared" si="275"/>
        <v>1.227306865180575</v>
      </c>
      <c r="AS509" s="273">
        <f t="shared" si="275"/>
        <v>1.2641260711359923</v>
      </c>
      <c r="AT509" s="273">
        <f t="shared" si="275"/>
        <v>1.3020498532700722</v>
      </c>
      <c r="AU509" s="273">
        <f t="shared" si="275"/>
        <v>1.3411113488681743</v>
      </c>
      <c r="AV509" s="273">
        <f t="shared" si="275"/>
        <v>1.3813446893342196</v>
      </c>
      <c r="AW509" s="273">
        <f t="shared" si="275"/>
        <v>1.4227850300142462</v>
      </c>
      <c r="AX509" s="273">
        <f t="shared" si="275"/>
        <v>1.4654685809146737</v>
      </c>
      <c r="AY509" s="273">
        <f t="shared" si="275"/>
        <v>1.5094326383421139</v>
      </c>
      <c r="AZ509" s="923"/>
      <c r="BA509" s="923"/>
    </row>
    <row r="510" spans="1:53">
      <c r="A510" s="874">
        <v>513.1</v>
      </c>
      <c r="B510" s="871" t="s">
        <v>977</v>
      </c>
      <c r="E510" s="277"/>
      <c r="F510" s="273"/>
      <c r="G510" s="273"/>
      <c r="H510" s="273"/>
      <c r="I510" s="273"/>
      <c r="J510" s="273"/>
      <c r="K510" s="273"/>
      <c r="L510" s="273"/>
      <c r="M510" s="273"/>
      <c r="N510" s="224">
        <f t="shared" si="272"/>
        <v>0</v>
      </c>
      <c r="O510" s="273">
        <f t="shared" ref="O510:Z510" si="276">+O126</f>
        <v>0.16298555852386984</v>
      </c>
      <c r="P510" s="273">
        <f t="shared" si="276"/>
        <v>0.20844244939489268</v>
      </c>
      <c r="Q510" s="273">
        <f t="shared" si="276"/>
        <v>0.24724324683001844</v>
      </c>
      <c r="R510" s="273">
        <f t="shared" si="276"/>
        <v>0.36391942782860692</v>
      </c>
      <c r="S510" s="273">
        <f t="shared" si="276"/>
        <v>0.51653216227068022</v>
      </c>
      <c r="T510" s="273">
        <f t="shared" si="276"/>
        <v>0.19216107828510259</v>
      </c>
      <c r="U510" s="273">
        <f t="shared" si="276"/>
        <v>0.23043925652174052</v>
      </c>
      <c r="V510" s="273">
        <f t="shared" si="276"/>
        <v>0.2255007302392793</v>
      </c>
      <c r="W510" s="273">
        <f t="shared" si="276"/>
        <v>0.21638120611241854</v>
      </c>
      <c r="X510" s="273">
        <f t="shared" si="276"/>
        <v>0.3037655356878311</v>
      </c>
      <c r="Y510" s="273">
        <f t="shared" si="276"/>
        <v>0.18261122693770607</v>
      </c>
      <c r="Z510" s="273">
        <f t="shared" si="276"/>
        <v>0.12795571895682675</v>
      </c>
      <c r="AA510" s="224">
        <f t="shared" si="237"/>
        <v>2.9779375975889728</v>
      </c>
      <c r="AB510" s="273">
        <f t="shared" ref="AB510:AM510" si="277">+AB126</f>
        <v>0.15953823605857326</v>
      </c>
      <c r="AC510" s="273">
        <f t="shared" si="277"/>
        <v>0.16025465481126777</v>
      </c>
      <c r="AD510" s="273">
        <f t="shared" si="277"/>
        <v>0.63513391910461414</v>
      </c>
      <c r="AE510" s="273">
        <f t="shared" si="277"/>
        <v>0.94352115699121153</v>
      </c>
      <c r="AF510" s="273">
        <f t="shared" si="277"/>
        <v>0.43220541559767384</v>
      </c>
      <c r="AG510" s="273">
        <f t="shared" si="277"/>
        <v>0.1500749135457522</v>
      </c>
      <c r="AH510" s="273">
        <f t="shared" si="277"/>
        <v>0.19191532519085702</v>
      </c>
      <c r="AI510" s="273">
        <f t="shared" si="277"/>
        <v>0.20779598121705517</v>
      </c>
      <c r="AJ510" s="273">
        <f t="shared" si="277"/>
        <v>0.23025177817205361</v>
      </c>
      <c r="AK510" s="273">
        <f t="shared" si="277"/>
        <v>0.29497008027129307</v>
      </c>
      <c r="AL510" s="273">
        <f t="shared" si="277"/>
        <v>0.21298455813516878</v>
      </c>
      <c r="AM510" s="273">
        <f t="shared" si="277"/>
        <v>0.13543072639071363</v>
      </c>
      <c r="AN510" s="224">
        <f t="shared" si="239"/>
        <v>3.754076745486234</v>
      </c>
      <c r="AO510" s="273">
        <f t="shared" ref="AO510:AY510" si="278">+AO126</f>
        <v>3.3488333570544819</v>
      </c>
      <c r="AP510" s="273">
        <f t="shared" si="278"/>
        <v>4.3939622707959698</v>
      </c>
      <c r="AQ510" s="273">
        <f t="shared" si="278"/>
        <v>4.5257811389198492</v>
      </c>
      <c r="AR510" s="273">
        <f t="shared" si="278"/>
        <v>4.6615545730874448</v>
      </c>
      <c r="AS510" s="273">
        <f t="shared" si="278"/>
        <v>4.8014012102800683</v>
      </c>
      <c r="AT510" s="273">
        <f t="shared" si="278"/>
        <v>4.9454432465884706</v>
      </c>
      <c r="AU510" s="273">
        <f t="shared" si="278"/>
        <v>5.0938065439861244</v>
      </c>
      <c r="AV510" s="273">
        <f t="shared" si="278"/>
        <v>5.2466207403057084</v>
      </c>
      <c r="AW510" s="273">
        <f t="shared" si="278"/>
        <v>5.4040193625148794</v>
      </c>
      <c r="AX510" s="273">
        <f t="shared" si="278"/>
        <v>5.5661399433903256</v>
      </c>
      <c r="AY510" s="273">
        <f t="shared" si="278"/>
        <v>5.7331241416920351</v>
      </c>
      <c r="AZ510" s="923"/>
      <c r="BA510" s="923"/>
    </row>
    <row r="511" spans="1:53">
      <c r="A511" s="874">
        <v>514.1</v>
      </c>
      <c r="B511" s="871" t="s">
        <v>978</v>
      </c>
      <c r="E511" s="277"/>
      <c r="F511" s="273"/>
      <c r="G511" s="273"/>
      <c r="H511" s="273"/>
      <c r="I511" s="273"/>
      <c r="J511" s="273"/>
      <c r="K511" s="273"/>
      <c r="L511" s="273"/>
      <c r="M511" s="273"/>
      <c r="N511" s="224">
        <f t="shared" si="272"/>
        <v>0</v>
      </c>
      <c r="O511" s="273">
        <f t="shared" ref="O511:Z511" si="279">O34</f>
        <v>7.5289400000000015E-4</v>
      </c>
      <c r="P511" s="273">
        <f t="shared" si="279"/>
        <v>7.5289400000000015E-4</v>
      </c>
      <c r="Q511" s="273">
        <f t="shared" si="279"/>
        <v>7.7098200000000013E-4</v>
      </c>
      <c r="R511" s="273">
        <f t="shared" si="279"/>
        <v>7.7991200000000012E-4</v>
      </c>
      <c r="S511" s="273">
        <f t="shared" si="279"/>
        <v>7.3070200000000007E-4</v>
      </c>
      <c r="T511" s="273">
        <f t="shared" si="279"/>
        <v>7.5084200000000005E-4</v>
      </c>
      <c r="U511" s="273">
        <f t="shared" si="279"/>
        <v>7.5084200000000005E-4</v>
      </c>
      <c r="V511" s="273">
        <f t="shared" si="279"/>
        <v>7.3070200000000007E-4</v>
      </c>
      <c r="W511" s="273">
        <f t="shared" si="279"/>
        <v>7.7098200000000013E-4</v>
      </c>
      <c r="X511" s="273">
        <f t="shared" si="279"/>
        <v>7.3070200000000007E-4</v>
      </c>
      <c r="Y511" s="273">
        <f t="shared" si="279"/>
        <v>7.3070200000000007E-4</v>
      </c>
      <c r="Z511" s="273">
        <f t="shared" si="279"/>
        <v>7.51032E-4</v>
      </c>
      <c r="AA511" s="224">
        <f t="shared" si="237"/>
        <v>9.0031880000000005E-3</v>
      </c>
      <c r="AB511" s="273">
        <f t="shared" ref="AB511:AM511" si="280">AB34</f>
        <v>7.802540000000003E-4</v>
      </c>
      <c r="AC511" s="273">
        <f t="shared" si="280"/>
        <v>7.802540000000003E-4</v>
      </c>
      <c r="AD511" s="273">
        <f t="shared" si="280"/>
        <v>7.9887400000000042E-4</v>
      </c>
      <c r="AE511" s="273">
        <f t="shared" si="280"/>
        <v>8.0807000000000025E-4</v>
      </c>
      <c r="AF511" s="273">
        <f t="shared" si="280"/>
        <v>7.5737800000000028E-4</v>
      </c>
      <c r="AG511" s="273">
        <f t="shared" si="280"/>
        <v>7.7812600000000029E-4</v>
      </c>
      <c r="AH511" s="273">
        <f t="shared" si="280"/>
        <v>7.7812600000000029E-4</v>
      </c>
      <c r="AI511" s="273">
        <f t="shared" si="280"/>
        <v>7.5737800000000028E-4</v>
      </c>
      <c r="AJ511" s="273">
        <f t="shared" si="280"/>
        <v>7.9887400000000042E-4</v>
      </c>
      <c r="AK511" s="273">
        <f t="shared" si="280"/>
        <v>7.5737800000000028E-4</v>
      </c>
      <c r="AL511" s="273">
        <f t="shared" si="280"/>
        <v>7.5737800000000028E-4</v>
      </c>
      <c r="AM511" s="273">
        <f t="shared" si="280"/>
        <v>7.7831600000000036E-4</v>
      </c>
      <c r="AN511" s="224">
        <f t="shared" si="239"/>
        <v>9.3304060000000046E-3</v>
      </c>
      <c r="AO511" s="273">
        <f t="shared" ref="AO511:AY511" si="281">AO34</f>
        <v>9.6654139999999989E-3</v>
      </c>
      <c r="AP511" s="273">
        <f t="shared" si="281"/>
        <v>9.9903140000000019E-3</v>
      </c>
      <c r="AQ511" s="273">
        <f t="shared" si="281"/>
        <v>1.0290023420000002E-2</v>
      </c>
      <c r="AR511" s="273">
        <f t="shared" si="281"/>
        <v>1.0598724122600003E-2</v>
      </c>
      <c r="AS511" s="273">
        <f t="shared" si="281"/>
        <v>1.0916685846278003E-2</v>
      </c>
      <c r="AT511" s="273">
        <f t="shared" si="281"/>
        <v>1.1244186421666344E-2</v>
      </c>
      <c r="AU511" s="273">
        <f t="shared" si="281"/>
        <v>1.1581512014316335E-2</v>
      </c>
      <c r="AV511" s="273">
        <f t="shared" si="281"/>
        <v>1.1928957374745825E-2</v>
      </c>
      <c r="AW511" s="273">
        <f t="shared" si="281"/>
        <v>1.2286826095988201E-2</v>
      </c>
      <c r="AX511" s="273">
        <f t="shared" si="281"/>
        <v>1.2655430878867847E-2</v>
      </c>
      <c r="AY511" s="273">
        <f t="shared" si="281"/>
        <v>1.3035093805233882E-2</v>
      </c>
      <c r="AZ511" s="923"/>
      <c r="BA511" s="923"/>
    </row>
    <row r="512" spans="1:53">
      <c r="A512" s="874">
        <v>514.1</v>
      </c>
      <c r="B512" s="871" t="s">
        <v>978</v>
      </c>
      <c r="E512" s="277"/>
      <c r="F512" s="273"/>
      <c r="G512" s="273"/>
      <c r="H512" s="273"/>
      <c r="I512" s="273"/>
      <c r="J512" s="273"/>
      <c r="K512" s="273"/>
      <c r="L512" s="273"/>
      <c r="M512" s="273"/>
      <c r="N512" s="224">
        <f t="shared" si="272"/>
        <v>0</v>
      </c>
      <c r="O512" s="273">
        <f t="shared" ref="O512:Z512" si="282">O148</f>
        <v>0.11220480926914954</v>
      </c>
      <c r="P512" s="273">
        <f t="shared" si="282"/>
        <v>0.10843954721313782</v>
      </c>
      <c r="Q512" s="273">
        <f t="shared" si="282"/>
        <v>0.11591392924663245</v>
      </c>
      <c r="R512" s="273">
        <f t="shared" si="282"/>
        <v>0.1106791066354942</v>
      </c>
      <c r="S512" s="273">
        <f t="shared" si="282"/>
        <v>0.13948811264835637</v>
      </c>
      <c r="T512" s="273">
        <f t="shared" si="282"/>
        <v>0.10170512501640007</v>
      </c>
      <c r="U512" s="273">
        <f t="shared" si="282"/>
        <v>0.1106791066354942</v>
      </c>
      <c r="V512" s="273">
        <f t="shared" si="282"/>
        <v>0.1174095928498148</v>
      </c>
      <c r="W512" s="273">
        <f t="shared" si="282"/>
        <v>0.10339508954068745</v>
      </c>
      <c r="X512" s="273">
        <f t="shared" si="282"/>
        <v>0.12240153982390206</v>
      </c>
      <c r="Y512" s="273">
        <f t="shared" si="282"/>
        <v>0.10187457351803028</v>
      </c>
      <c r="Z512" s="273">
        <f t="shared" si="282"/>
        <v>9.8528356875353329E-2</v>
      </c>
      <c r="AA512" s="224">
        <f t="shared" si="237"/>
        <v>1.3427188892724526</v>
      </c>
      <c r="AB512" s="273">
        <f t="shared" ref="AB512:AM512" si="283">AB148</f>
        <v>0.10346412507495502</v>
      </c>
      <c r="AC512" s="273">
        <f t="shared" si="283"/>
        <v>9.9992174569084047E-2</v>
      </c>
      <c r="AD512" s="273">
        <f t="shared" si="283"/>
        <v>0.11274741587044243</v>
      </c>
      <c r="AE512" s="273">
        <f t="shared" si="283"/>
        <v>0.12082028006842539</v>
      </c>
      <c r="AF512" s="273">
        <f t="shared" si="283"/>
        <v>0.12781231027896509</v>
      </c>
      <c r="AG512" s="273">
        <f t="shared" si="283"/>
        <v>9.3710781523523717E-2</v>
      </c>
      <c r="AH512" s="273">
        <f t="shared" si="283"/>
        <v>0.10197937989324643</v>
      </c>
      <c r="AI512" s="273">
        <f t="shared" si="283"/>
        <v>0.10818082867053842</v>
      </c>
      <c r="AJ512" s="273">
        <f t="shared" si="283"/>
        <v>9.5222240938878752E-2</v>
      </c>
      <c r="AK512" s="273">
        <f t="shared" si="283"/>
        <v>0.11272632934676087</v>
      </c>
      <c r="AL512" s="273">
        <f t="shared" si="283"/>
        <v>9.3821913866248191E-2</v>
      </c>
      <c r="AM512" s="273">
        <f t="shared" si="283"/>
        <v>9.7376102157717498E-2</v>
      </c>
      <c r="AN512" s="224">
        <f t="shared" si="239"/>
        <v>1.2678538822587859</v>
      </c>
      <c r="AO512" s="273">
        <f t="shared" ref="AO512:AY512" si="284">AO148</f>
        <v>1.2849027713269727</v>
      </c>
      <c r="AP512" s="273">
        <f t="shared" si="284"/>
        <v>1.319613149666597</v>
      </c>
      <c r="AQ512" s="273">
        <f t="shared" si="284"/>
        <v>1.359201544156595</v>
      </c>
      <c r="AR512" s="273">
        <f t="shared" si="284"/>
        <v>1.3999775904812928</v>
      </c>
      <c r="AS512" s="273">
        <f t="shared" si="284"/>
        <v>1.4419769181957316</v>
      </c>
      <c r="AT512" s="273">
        <f t="shared" si="284"/>
        <v>1.4852362257416036</v>
      </c>
      <c r="AU512" s="273">
        <f t="shared" si="284"/>
        <v>1.5297933125138519</v>
      </c>
      <c r="AV512" s="273">
        <f t="shared" si="284"/>
        <v>1.5756871118892675</v>
      </c>
      <c r="AW512" s="273">
        <f t="shared" si="284"/>
        <v>1.6229577252459455</v>
      </c>
      <c r="AX512" s="273">
        <f t="shared" si="284"/>
        <v>1.6716464570033238</v>
      </c>
      <c r="AY512" s="273">
        <f t="shared" si="284"/>
        <v>1.7217958507134237</v>
      </c>
      <c r="AZ512" s="923"/>
      <c r="BA512" s="923"/>
    </row>
    <row r="513" spans="1:53">
      <c r="A513" s="874">
        <v>514.1</v>
      </c>
      <c r="B513" s="871" t="s">
        <v>978</v>
      </c>
      <c r="E513" s="277"/>
      <c r="F513" s="273"/>
      <c r="G513" s="273"/>
      <c r="H513" s="273"/>
      <c r="I513" s="273"/>
      <c r="J513" s="273"/>
      <c r="K513" s="273"/>
      <c r="L513" s="273"/>
      <c r="M513" s="273"/>
      <c r="N513" s="224">
        <f t="shared" si="272"/>
        <v>0</v>
      </c>
      <c r="O513" s="273">
        <f t="shared" ref="O513:Z513" si="285">+O127</f>
        <v>8.8450399603046112E-2</v>
      </c>
      <c r="P513" s="273">
        <f t="shared" si="285"/>
        <v>0.14677203293992519</v>
      </c>
      <c r="Q513" s="273">
        <f t="shared" si="285"/>
        <v>0.12154400368468277</v>
      </c>
      <c r="R513" s="273">
        <f t="shared" si="285"/>
        <v>0.16736588174635861</v>
      </c>
      <c r="S513" s="273">
        <f t="shared" si="285"/>
        <v>0.533568876470503</v>
      </c>
      <c r="T513" s="273">
        <f t="shared" si="285"/>
        <v>9.2536043089033182E-2</v>
      </c>
      <c r="U513" s="273">
        <f t="shared" si="285"/>
        <v>0.14601062244157628</v>
      </c>
      <c r="V513" s="273">
        <f t="shared" si="285"/>
        <v>0.13619813936409139</v>
      </c>
      <c r="W513" s="273">
        <f t="shared" si="285"/>
        <v>0.13305988710000707</v>
      </c>
      <c r="X513" s="273">
        <f t="shared" si="285"/>
        <v>0.13985316636622933</v>
      </c>
      <c r="Y513" s="273">
        <f t="shared" si="285"/>
        <v>7.4817816347593533E-2</v>
      </c>
      <c r="Z513" s="273">
        <f t="shared" si="285"/>
        <v>7.4453145871102147E-2</v>
      </c>
      <c r="AA513" s="224">
        <f t="shared" si="237"/>
        <v>1.8546300150241486</v>
      </c>
      <c r="AB513" s="273">
        <f t="shared" ref="AB513:AM513" si="286">+AB127</f>
        <v>0.10946829031169691</v>
      </c>
      <c r="AC513" s="273">
        <f t="shared" si="286"/>
        <v>9.4311453238028295E-2</v>
      </c>
      <c r="AD513" s="273">
        <f t="shared" si="286"/>
        <v>0.21465107231867936</v>
      </c>
      <c r="AE513" s="273">
        <f t="shared" si="286"/>
        <v>0.66062570133872978</v>
      </c>
      <c r="AF513" s="273">
        <f t="shared" si="286"/>
        <v>0.42595686468743038</v>
      </c>
      <c r="AG513" s="273">
        <f t="shared" si="286"/>
        <v>6.1821539835548091E-2</v>
      </c>
      <c r="AH513" s="273">
        <f t="shared" si="286"/>
        <v>0.11791842233313293</v>
      </c>
      <c r="AI513" s="273">
        <f t="shared" si="286"/>
        <v>0.12549918437454041</v>
      </c>
      <c r="AJ513" s="273">
        <f t="shared" si="286"/>
        <v>9.8052249575169115E-2</v>
      </c>
      <c r="AK513" s="273">
        <f t="shared" si="286"/>
        <v>0.17373187212698354</v>
      </c>
      <c r="AL513" s="273">
        <f t="shared" si="286"/>
        <v>7.3327024687372913E-2</v>
      </c>
      <c r="AM513" s="273">
        <f t="shared" si="286"/>
        <v>8.1324563329328095E-2</v>
      </c>
      <c r="AN513" s="224">
        <f t="shared" si="239"/>
        <v>2.2366882381566398</v>
      </c>
      <c r="AO513" s="273">
        <f t="shared" ref="AO513:AY513" si="287">+AO127</f>
        <v>1.7589639429574564</v>
      </c>
      <c r="AP513" s="273">
        <f t="shared" si="287"/>
        <v>2.1163660504453503</v>
      </c>
      <c r="AQ513" s="273">
        <f t="shared" si="287"/>
        <v>2.1798570319587109</v>
      </c>
      <c r="AR513" s="273">
        <f t="shared" si="287"/>
        <v>2.2452527429174722</v>
      </c>
      <c r="AS513" s="273">
        <f t="shared" si="287"/>
        <v>2.3126103252049965</v>
      </c>
      <c r="AT513" s="273">
        <f t="shared" si="287"/>
        <v>2.3819886349611465</v>
      </c>
      <c r="AU513" s="273">
        <f t="shared" si="287"/>
        <v>2.4534482940099811</v>
      </c>
      <c r="AV513" s="273">
        <f t="shared" si="287"/>
        <v>2.5270517428302806</v>
      </c>
      <c r="AW513" s="273">
        <f t="shared" si="287"/>
        <v>2.6028632951151889</v>
      </c>
      <c r="AX513" s="273">
        <f t="shared" si="287"/>
        <v>2.6809491939686447</v>
      </c>
      <c r="AY513" s="273">
        <f t="shared" si="287"/>
        <v>2.7613776697877039</v>
      </c>
      <c r="AZ513" s="923"/>
      <c r="BA513" s="923"/>
    </row>
    <row r="514" spans="1:53">
      <c r="A514" s="874">
        <v>548.1</v>
      </c>
      <c r="B514" s="871" t="s">
        <v>979</v>
      </c>
      <c r="E514" s="277"/>
      <c r="F514" s="273"/>
      <c r="G514" s="273"/>
      <c r="H514" s="273"/>
      <c r="I514" s="273"/>
      <c r="J514" s="273"/>
      <c r="K514" s="273"/>
      <c r="L514" s="273"/>
      <c r="M514" s="273"/>
      <c r="N514" s="224">
        <f t="shared" si="272"/>
        <v>0</v>
      </c>
      <c r="O514" s="273">
        <f t="shared" ref="O514:Z514" si="288">+O60+O77</f>
        <v>2.8400000000000001E-3</v>
      </c>
      <c r="P514" s="273">
        <f t="shared" si="288"/>
        <v>2.8370000000000001E-3</v>
      </c>
      <c r="Q514" s="273">
        <f t="shared" si="288"/>
        <v>2.8370000000000001E-3</v>
      </c>
      <c r="R514" s="273">
        <f t="shared" si="288"/>
        <v>2.8370000000000001E-3</v>
      </c>
      <c r="S514" s="273">
        <f t="shared" si="288"/>
        <v>2.8370000000000001E-3</v>
      </c>
      <c r="T514" s="273">
        <f t="shared" si="288"/>
        <v>2.8370000000000001E-3</v>
      </c>
      <c r="U514" s="273">
        <f t="shared" si="288"/>
        <v>2.8370000000000001E-3</v>
      </c>
      <c r="V514" s="273">
        <f t="shared" si="288"/>
        <v>2.8370000000000001E-3</v>
      </c>
      <c r="W514" s="273">
        <f t="shared" si="288"/>
        <v>2.8370000000000001E-3</v>
      </c>
      <c r="X514" s="273">
        <f t="shared" si="288"/>
        <v>2.8370000000000001E-3</v>
      </c>
      <c r="Y514" s="273">
        <f t="shared" si="288"/>
        <v>2.8370000000000001E-3</v>
      </c>
      <c r="Z514" s="273">
        <f t="shared" si="288"/>
        <v>2.8370000000000001E-3</v>
      </c>
      <c r="AA514" s="224">
        <f t="shared" si="237"/>
        <v>3.4046999999999994E-2</v>
      </c>
      <c r="AB514" s="273">
        <f t="shared" ref="AB514:AM514" si="289">+AB60+AB77</f>
        <v>3.0630000000000002E-3</v>
      </c>
      <c r="AC514" s="273">
        <f t="shared" si="289"/>
        <v>3.0590000000000001E-3</v>
      </c>
      <c r="AD514" s="273">
        <f t="shared" si="289"/>
        <v>3.0590000000000001E-3</v>
      </c>
      <c r="AE514" s="273">
        <f t="shared" si="289"/>
        <v>3.0590000000000001E-3</v>
      </c>
      <c r="AF514" s="273">
        <f t="shared" si="289"/>
        <v>3.0590000000000001E-3</v>
      </c>
      <c r="AG514" s="273">
        <f t="shared" si="289"/>
        <v>3.0590000000000001E-3</v>
      </c>
      <c r="AH514" s="273">
        <f t="shared" si="289"/>
        <v>3.0590000000000001E-3</v>
      </c>
      <c r="AI514" s="273">
        <f t="shared" si="289"/>
        <v>3.0590000000000001E-3</v>
      </c>
      <c r="AJ514" s="273">
        <f t="shared" si="289"/>
        <v>3.0590000000000001E-3</v>
      </c>
      <c r="AK514" s="273">
        <f t="shared" si="289"/>
        <v>3.0590000000000001E-3</v>
      </c>
      <c r="AL514" s="273">
        <f t="shared" si="289"/>
        <v>3.0590000000000001E-3</v>
      </c>
      <c r="AM514" s="273">
        <f t="shared" si="289"/>
        <v>3.0590000000000001E-3</v>
      </c>
      <c r="AN514" s="224">
        <f t="shared" si="239"/>
        <v>3.6711999999999995E-2</v>
      </c>
      <c r="AO514" s="273">
        <f t="shared" ref="AO514:AY514" si="290">+AO60+AO77</f>
        <v>3.8223000000000007E-2</v>
      </c>
      <c r="AP514" s="273">
        <f t="shared" si="290"/>
        <v>3.9807000000000009E-2</v>
      </c>
      <c r="AQ514" s="273">
        <f t="shared" si="290"/>
        <v>4.100121000000001E-2</v>
      </c>
      <c r="AR514" s="273">
        <f t="shared" si="290"/>
        <v>4.2231246300000011E-2</v>
      </c>
      <c r="AS514" s="273">
        <f t="shared" si="290"/>
        <v>4.3498183689000006E-2</v>
      </c>
      <c r="AT514" s="273">
        <f t="shared" si="290"/>
        <v>4.4803129199670007E-2</v>
      </c>
      <c r="AU514" s="273">
        <f t="shared" si="290"/>
        <v>4.6147223075660111E-2</v>
      </c>
      <c r="AV514" s="273">
        <f t="shared" si="290"/>
        <v>4.7531639767929915E-2</v>
      </c>
      <c r="AW514" s="273">
        <f t="shared" si="290"/>
        <v>4.8957588960967816E-2</v>
      </c>
      <c r="AX514" s="273">
        <f t="shared" si="290"/>
        <v>5.0426316629796852E-2</v>
      </c>
      <c r="AY514" s="273">
        <f t="shared" si="290"/>
        <v>5.1939106128690758E-2</v>
      </c>
      <c r="AZ514" s="923"/>
      <c r="BA514" s="923"/>
    </row>
    <row r="515" spans="1:53">
      <c r="A515" s="874" t="s">
        <v>83</v>
      </c>
      <c r="B515" s="871" t="s">
        <v>84</v>
      </c>
      <c r="E515" s="277"/>
      <c r="F515" s="273"/>
      <c r="G515" s="273"/>
      <c r="H515" s="273"/>
      <c r="I515" s="273"/>
      <c r="J515" s="273"/>
      <c r="K515" s="273"/>
      <c r="L515" s="273"/>
      <c r="M515" s="273"/>
      <c r="N515" s="224">
        <f>SUM(E515:M515)</f>
        <v>0</v>
      </c>
      <c r="O515" s="273"/>
      <c r="P515" s="273"/>
      <c r="Q515" s="273"/>
      <c r="R515" s="273"/>
      <c r="S515" s="273"/>
      <c r="T515" s="273"/>
      <c r="U515" s="273"/>
      <c r="V515" s="273"/>
      <c r="W515" s="273"/>
      <c r="X515" s="273"/>
      <c r="Y515" s="273"/>
      <c r="Z515" s="273"/>
      <c r="AA515" s="224">
        <f t="shared" si="237"/>
        <v>0</v>
      </c>
      <c r="AB515" s="273"/>
      <c r="AC515" s="273"/>
      <c r="AD515" s="273"/>
      <c r="AE515" s="273"/>
      <c r="AF515" s="273"/>
      <c r="AG515" s="273"/>
      <c r="AH515" s="273"/>
      <c r="AI515" s="273"/>
      <c r="AJ515" s="273"/>
      <c r="AK515" s="273"/>
      <c r="AL515" s="273"/>
      <c r="AM515" s="273"/>
      <c r="AN515" s="224">
        <f t="shared" si="239"/>
        <v>0</v>
      </c>
      <c r="AO515" s="273"/>
      <c r="AP515" s="273"/>
      <c r="AQ515" s="273"/>
      <c r="AR515" s="273"/>
      <c r="AS515" s="273"/>
      <c r="AT515" s="273"/>
      <c r="AU515" s="273"/>
      <c r="AV515" s="273"/>
      <c r="AW515" s="273"/>
      <c r="AX515" s="273"/>
      <c r="AY515" s="273"/>
      <c r="AZ515" s="923"/>
      <c r="BA515" s="923"/>
    </row>
    <row r="516" spans="1:53">
      <c r="A516" s="874" t="s">
        <v>546</v>
      </c>
      <c r="B516" s="871" t="s">
        <v>89</v>
      </c>
      <c r="E516" s="277"/>
      <c r="F516" s="273"/>
      <c r="G516" s="273"/>
      <c r="H516" s="273"/>
      <c r="I516" s="273"/>
      <c r="J516" s="273"/>
      <c r="K516" s="273"/>
      <c r="L516" s="273"/>
      <c r="M516" s="273"/>
      <c r="N516" s="224">
        <f>SUM(E516:M516)</f>
        <v>0</v>
      </c>
      <c r="O516" s="273">
        <f t="shared" ref="O516:Z516" si="291">+O61+O78+SUM(O130:O130)+O149+O35</f>
        <v>1.0727051085609427</v>
      </c>
      <c r="P516" s="273">
        <f t="shared" si="291"/>
        <v>1.0726813723252664</v>
      </c>
      <c r="Q516" s="273">
        <f t="shared" si="291"/>
        <v>2.0206881138078865</v>
      </c>
      <c r="R516" s="273">
        <f t="shared" si="291"/>
        <v>3.7412549080973667</v>
      </c>
      <c r="S516" s="273">
        <f t="shared" si="291"/>
        <v>2.3070656105239591</v>
      </c>
      <c r="T516" s="273">
        <f t="shared" si="291"/>
        <v>1.196431887386024</v>
      </c>
      <c r="U516" s="273">
        <f t="shared" si="291"/>
        <v>1.1823713197791703</v>
      </c>
      <c r="V516" s="273">
        <f t="shared" si="291"/>
        <v>1.1451116919773985</v>
      </c>
      <c r="W516" s="273">
        <f t="shared" si="291"/>
        <v>1.1095561393722335</v>
      </c>
      <c r="X516" s="273">
        <f t="shared" si="291"/>
        <v>1.2003783799579468</v>
      </c>
      <c r="Y516" s="273">
        <f t="shared" si="291"/>
        <v>1.0301927739372041</v>
      </c>
      <c r="Z516" s="273">
        <f t="shared" si="291"/>
        <v>0.98139492017493035</v>
      </c>
      <c r="AA516" s="224">
        <f t="shared" si="237"/>
        <v>18.059832225900333</v>
      </c>
      <c r="AB516" s="273">
        <f t="shared" ref="AB516:AM516" si="292">+AB61+AB78+SUM(AB130:AB130)+AB149+AB35</f>
        <v>1.0518109007874281</v>
      </c>
      <c r="AC516" s="273">
        <f t="shared" si="292"/>
        <v>1.0322969918981335</v>
      </c>
      <c r="AD516" s="273">
        <f t="shared" si="292"/>
        <v>1.2428410823110707</v>
      </c>
      <c r="AE516" s="273">
        <f t="shared" si="292"/>
        <v>1.7324086713073386</v>
      </c>
      <c r="AF516" s="273">
        <f t="shared" si="292"/>
        <v>2.487169528563915</v>
      </c>
      <c r="AG516" s="273">
        <f t="shared" si="292"/>
        <v>1.171560239848551</v>
      </c>
      <c r="AH516" s="273">
        <f t="shared" si="292"/>
        <v>1.1630721751797972</v>
      </c>
      <c r="AI516" s="273">
        <f t="shared" si="292"/>
        <v>1.1845281527936178</v>
      </c>
      <c r="AJ516" s="273">
        <f t="shared" si="292"/>
        <v>1.0911384065547647</v>
      </c>
      <c r="AK516" s="273">
        <f t="shared" si="292"/>
        <v>1.136237431207223</v>
      </c>
      <c r="AL516" s="273">
        <f t="shared" si="292"/>
        <v>1.0053521827482781</v>
      </c>
      <c r="AM516" s="273">
        <f t="shared" si="292"/>
        <v>0.95875450993705114</v>
      </c>
      <c r="AN516" s="224">
        <f t="shared" si="239"/>
        <v>15.257170273137167</v>
      </c>
      <c r="AO516" s="273">
        <f t="shared" ref="AO516:AY516" si="293">+AO61+AO78+SUM(AO130:AO130)+AO149+AO35</f>
        <v>15.735832177213002</v>
      </c>
      <c r="AP516" s="273">
        <f t="shared" si="293"/>
        <v>16.292805370336882</v>
      </c>
      <c r="AQ516" s="273">
        <f t="shared" si="293"/>
        <v>16.781589531446986</v>
      </c>
      <c r="AR516" s="273">
        <f t="shared" si="293"/>
        <v>17.285037217390396</v>
      </c>
      <c r="AS516" s="273">
        <f t="shared" si="293"/>
        <v>17.803588333912106</v>
      </c>
      <c r="AT516" s="273">
        <f t="shared" si="293"/>
        <v>18.337695983929471</v>
      </c>
      <c r="AU516" s="273">
        <f t="shared" si="293"/>
        <v>18.887826863447359</v>
      </c>
      <c r="AV516" s="273">
        <f t="shared" si="293"/>
        <v>19.454461669350778</v>
      </c>
      <c r="AW516" s="273">
        <f t="shared" si="293"/>
        <v>20.038095519431302</v>
      </c>
      <c r="AX516" s="273">
        <f t="shared" si="293"/>
        <v>20.639238385014242</v>
      </c>
      <c r="AY516" s="273">
        <f t="shared" si="293"/>
        <v>21.258415536564673</v>
      </c>
      <c r="AZ516" s="923"/>
      <c r="BA516" s="923"/>
    </row>
    <row r="517" spans="1:53">
      <c r="A517" s="874" t="s">
        <v>548</v>
      </c>
      <c r="B517" s="871" t="s">
        <v>90</v>
      </c>
      <c r="E517" s="277"/>
      <c r="F517" s="273"/>
      <c r="G517" s="273"/>
      <c r="H517" s="273"/>
      <c r="I517" s="273"/>
      <c r="J517" s="273"/>
      <c r="K517" s="273"/>
      <c r="L517" s="273"/>
      <c r="M517" s="273"/>
      <c r="N517" s="224">
        <f>SUM(E517:M517)</f>
        <v>0</v>
      </c>
      <c r="O517" s="273">
        <f t="shared" ref="O517:Z517" si="294">+SUM(O131:O131)</f>
        <v>2.3519000000000002E-2</v>
      </c>
      <c r="P517" s="273">
        <f t="shared" si="294"/>
        <v>2.3519000000000002E-2</v>
      </c>
      <c r="Q517" s="273">
        <f t="shared" si="294"/>
        <v>2.3519000000000002E-2</v>
      </c>
      <c r="R517" s="273">
        <f t="shared" si="294"/>
        <v>2.3519000000000002E-2</v>
      </c>
      <c r="S517" s="273">
        <f t="shared" si="294"/>
        <v>2.3519000000000002E-2</v>
      </c>
      <c r="T517" s="273">
        <f t="shared" si="294"/>
        <v>2.3519000000000002E-2</v>
      </c>
      <c r="U517" s="273">
        <f t="shared" si="294"/>
        <v>2.3519000000000002E-2</v>
      </c>
      <c r="V517" s="273">
        <f t="shared" si="294"/>
        <v>2.3519000000000002E-2</v>
      </c>
      <c r="W517" s="273">
        <f t="shared" si="294"/>
        <v>2.3519000000000002E-2</v>
      </c>
      <c r="X517" s="273">
        <f t="shared" si="294"/>
        <v>2.3519000000000002E-2</v>
      </c>
      <c r="Y517" s="273">
        <f t="shared" si="294"/>
        <v>2.3519000000000002E-2</v>
      </c>
      <c r="Z517" s="273">
        <f t="shared" si="294"/>
        <v>2.3511000000000001E-2</v>
      </c>
      <c r="AA517" s="224">
        <f t="shared" si="237"/>
        <v>0.28222000000000008</v>
      </c>
      <c r="AB517" s="273">
        <f t="shared" ref="AB517:AM517" si="295">+SUM(AB131:AB131)</f>
        <v>2.4695000000000002E-2</v>
      </c>
      <c r="AC517" s="273">
        <f t="shared" si="295"/>
        <v>2.4695000000000002E-2</v>
      </c>
      <c r="AD517" s="273">
        <f t="shared" si="295"/>
        <v>2.4695000000000002E-2</v>
      </c>
      <c r="AE517" s="273">
        <f t="shared" si="295"/>
        <v>2.4695000000000002E-2</v>
      </c>
      <c r="AF517" s="273">
        <f t="shared" si="295"/>
        <v>2.4695000000000002E-2</v>
      </c>
      <c r="AG517" s="273">
        <f t="shared" si="295"/>
        <v>2.4695000000000002E-2</v>
      </c>
      <c r="AH517" s="273">
        <f t="shared" si="295"/>
        <v>2.4695000000000002E-2</v>
      </c>
      <c r="AI517" s="273">
        <f t="shared" si="295"/>
        <v>2.4695000000000002E-2</v>
      </c>
      <c r="AJ517" s="273">
        <f t="shared" si="295"/>
        <v>2.4695000000000002E-2</v>
      </c>
      <c r="AK517" s="273">
        <f t="shared" si="295"/>
        <v>2.4695000000000002E-2</v>
      </c>
      <c r="AL517" s="273">
        <f t="shared" si="295"/>
        <v>2.4695000000000002E-2</v>
      </c>
      <c r="AM517" s="273">
        <f t="shared" si="295"/>
        <v>2.4691000000000001E-2</v>
      </c>
      <c r="AN517" s="224">
        <f t="shared" si="239"/>
        <v>0.29633599999999999</v>
      </c>
      <c r="AO517" s="273">
        <f t="shared" ref="AO517:AY517" si="296">+SUM(AO131:AO131)</f>
        <v>0.31114399999999998</v>
      </c>
      <c r="AP517" s="273">
        <f t="shared" si="296"/>
        <v>0.32669999999999999</v>
      </c>
      <c r="AQ517" s="273">
        <f t="shared" si="296"/>
        <v>0.33650099999999999</v>
      </c>
      <c r="AR517" s="273">
        <f t="shared" si="296"/>
        <v>0.34659603</v>
      </c>
      <c r="AS517" s="273">
        <f t="shared" si="296"/>
        <v>0.35699391089999999</v>
      </c>
      <c r="AT517" s="273">
        <f t="shared" si="296"/>
        <v>0.36770372822699998</v>
      </c>
      <c r="AU517" s="273">
        <f t="shared" si="296"/>
        <v>0.37873484007380998</v>
      </c>
      <c r="AV517" s="273">
        <f t="shared" si="296"/>
        <v>0.39009688527602426</v>
      </c>
      <c r="AW517" s="273">
        <f t="shared" si="296"/>
        <v>0.40179979183430498</v>
      </c>
      <c r="AX517" s="273">
        <f t="shared" si="296"/>
        <v>0.41385378558933411</v>
      </c>
      <c r="AY517" s="273">
        <f t="shared" si="296"/>
        <v>0.42626939915701417</v>
      </c>
      <c r="AZ517" s="923"/>
      <c r="BA517" s="923"/>
    </row>
    <row r="518" spans="1:53">
      <c r="A518" s="874" t="s">
        <v>646</v>
      </c>
      <c r="B518" s="871" t="s">
        <v>91</v>
      </c>
      <c r="E518" s="277"/>
      <c r="F518" s="273"/>
      <c r="G518" s="273"/>
      <c r="H518" s="273"/>
      <c r="I518" s="273"/>
      <c r="J518" s="273"/>
      <c r="K518" s="273"/>
      <c r="L518" s="273"/>
      <c r="M518" s="273"/>
      <c r="N518" s="224">
        <f t="shared" ref="N518:N544" si="297">SUM(E518:M518)</f>
        <v>0</v>
      </c>
      <c r="O518" s="273"/>
      <c r="P518" s="273"/>
      <c r="Q518" s="273"/>
      <c r="R518" s="273"/>
      <c r="S518" s="273"/>
      <c r="T518" s="273"/>
      <c r="U518" s="273"/>
      <c r="V518" s="273"/>
      <c r="W518" s="273"/>
      <c r="X518" s="273"/>
      <c r="Y518" s="273"/>
      <c r="Z518" s="273"/>
      <c r="AA518" s="224">
        <f t="shared" si="237"/>
        <v>0</v>
      </c>
      <c r="AB518" s="273"/>
      <c r="AC518" s="273"/>
      <c r="AD518" s="273"/>
      <c r="AE518" s="273"/>
      <c r="AF518" s="273"/>
      <c r="AG518" s="273"/>
      <c r="AH518" s="273"/>
      <c r="AI518" s="273"/>
      <c r="AJ518" s="273"/>
      <c r="AK518" s="273"/>
      <c r="AL518" s="273"/>
      <c r="AM518" s="273"/>
      <c r="AN518" s="224">
        <f t="shared" si="239"/>
        <v>0</v>
      </c>
      <c r="AO518" s="273"/>
      <c r="AP518" s="273"/>
      <c r="AQ518" s="273"/>
      <c r="AR518" s="273"/>
      <c r="AS518" s="273"/>
      <c r="AT518" s="273"/>
      <c r="AU518" s="273"/>
      <c r="AV518" s="273"/>
      <c r="AW518" s="273"/>
      <c r="AX518" s="273"/>
      <c r="AY518" s="273"/>
      <c r="AZ518" s="923"/>
      <c r="BA518" s="923"/>
    </row>
    <row r="519" spans="1:53">
      <c r="A519" s="874" t="s">
        <v>92</v>
      </c>
      <c r="B519" s="871" t="s">
        <v>93</v>
      </c>
      <c r="E519" s="277"/>
      <c r="F519" s="273"/>
      <c r="G519" s="273"/>
      <c r="H519" s="273"/>
      <c r="I519" s="273"/>
      <c r="J519" s="273"/>
      <c r="K519" s="273"/>
      <c r="L519" s="273"/>
      <c r="M519" s="273"/>
      <c r="N519" s="224">
        <f t="shared" si="297"/>
        <v>0</v>
      </c>
      <c r="O519" s="273"/>
      <c r="P519" s="273"/>
      <c r="Q519" s="273"/>
      <c r="R519" s="273"/>
      <c r="S519" s="273"/>
      <c r="T519" s="273"/>
      <c r="U519" s="273"/>
      <c r="V519" s="273"/>
      <c r="W519" s="273"/>
      <c r="X519" s="273"/>
      <c r="Y519" s="273"/>
      <c r="Z519" s="273"/>
      <c r="AA519" s="224">
        <f t="shared" si="237"/>
        <v>0</v>
      </c>
      <c r="AB519" s="273"/>
      <c r="AC519" s="273"/>
      <c r="AD519" s="273"/>
      <c r="AE519" s="273"/>
      <c r="AF519" s="273"/>
      <c r="AG519" s="273"/>
      <c r="AH519" s="273"/>
      <c r="AI519" s="273"/>
      <c r="AJ519" s="273"/>
      <c r="AK519" s="273"/>
      <c r="AL519" s="273"/>
      <c r="AM519" s="273"/>
      <c r="AN519" s="224">
        <f t="shared" si="239"/>
        <v>0</v>
      </c>
      <c r="AO519" s="273"/>
      <c r="AP519" s="273"/>
      <c r="AQ519" s="273"/>
      <c r="AR519" s="273"/>
      <c r="AS519" s="273"/>
      <c r="AT519" s="273"/>
      <c r="AU519" s="273"/>
      <c r="AV519" s="273"/>
      <c r="AW519" s="273"/>
      <c r="AX519" s="273"/>
      <c r="AY519" s="273"/>
      <c r="AZ519" s="923"/>
      <c r="BA519" s="923"/>
    </row>
    <row r="520" spans="1:53">
      <c r="A520" s="874" t="s">
        <v>647</v>
      </c>
      <c r="B520" s="871" t="s">
        <v>94</v>
      </c>
      <c r="E520" s="277"/>
      <c r="F520" s="273"/>
      <c r="G520" s="273"/>
      <c r="H520" s="273"/>
      <c r="I520" s="273"/>
      <c r="J520" s="273"/>
      <c r="K520" s="273"/>
      <c r="L520" s="273"/>
      <c r="M520" s="273"/>
      <c r="N520" s="224">
        <f t="shared" si="297"/>
        <v>0</v>
      </c>
      <c r="O520" s="273">
        <f t="shared" ref="O520:Z520" si="298">O36+O48+O53</f>
        <v>0.54454877499999998</v>
      </c>
      <c r="P520" s="273">
        <f t="shared" si="298"/>
        <v>0.54448417500000001</v>
      </c>
      <c r="Q520" s="273">
        <f t="shared" si="298"/>
        <v>0.54454473749999999</v>
      </c>
      <c r="R520" s="273">
        <f t="shared" si="298"/>
        <v>0.54646254999999999</v>
      </c>
      <c r="S520" s="273">
        <f t="shared" si="298"/>
        <v>0.54501308749999999</v>
      </c>
      <c r="T520" s="273">
        <f t="shared" si="298"/>
        <v>0.55148677499999998</v>
      </c>
      <c r="U520" s="273">
        <f t="shared" si="298"/>
        <v>0.54513017500000005</v>
      </c>
      <c r="V520" s="273">
        <f t="shared" si="298"/>
        <v>0.54501308749999999</v>
      </c>
      <c r="W520" s="273">
        <f t="shared" si="298"/>
        <v>0.54504942499999998</v>
      </c>
      <c r="X520" s="273">
        <f t="shared" si="298"/>
        <v>0.54508172499999996</v>
      </c>
      <c r="Y520" s="273">
        <f t="shared" si="298"/>
        <v>0.54480717499999998</v>
      </c>
      <c r="Z520" s="273">
        <f t="shared" si="298"/>
        <v>0.54449217500000002</v>
      </c>
      <c r="AA520" s="224">
        <f t="shared" si="237"/>
        <v>6.5461138625000004</v>
      </c>
      <c r="AB520" s="273">
        <f t="shared" ref="AB520:AM520" si="299">AB36+AB48+AB53</f>
        <v>0.550145675</v>
      </c>
      <c r="AC520" s="273">
        <f t="shared" si="299"/>
        <v>0.55008107500000003</v>
      </c>
      <c r="AD520" s="273">
        <f t="shared" si="299"/>
        <v>0.55033543750000002</v>
      </c>
      <c r="AE520" s="273">
        <f t="shared" si="299"/>
        <v>0.55044444999999997</v>
      </c>
      <c r="AF520" s="273">
        <f t="shared" si="299"/>
        <v>0.55061806250000001</v>
      </c>
      <c r="AG520" s="273">
        <f t="shared" si="299"/>
        <v>0.55561867500000006</v>
      </c>
      <c r="AH520" s="273">
        <f t="shared" si="299"/>
        <v>0.55046867500000007</v>
      </c>
      <c r="AI520" s="273">
        <f t="shared" si="299"/>
        <v>0.5501416375</v>
      </c>
      <c r="AJ520" s="273">
        <f t="shared" si="299"/>
        <v>0.55027487500000005</v>
      </c>
      <c r="AK520" s="273">
        <f t="shared" si="299"/>
        <v>0.55056557500000003</v>
      </c>
      <c r="AL520" s="273">
        <f t="shared" si="299"/>
        <v>0.55027487500000005</v>
      </c>
      <c r="AM520" s="273">
        <f t="shared" si="299"/>
        <v>0.55008907500000004</v>
      </c>
      <c r="AN520" s="224">
        <f t="shared" si="239"/>
        <v>6.6090580875000011</v>
      </c>
      <c r="AO520" s="273">
        <f t="shared" ref="AO520:AY520" si="300">AO36+AO48+AO53</f>
        <v>6.6750935874999993</v>
      </c>
      <c r="AP520" s="273">
        <f t="shared" si="300"/>
        <v>6.7485338874999998</v>
      </c>
      <c r="AQ520" s="273">
        <f t="shared" si="300"/>
        <v>6.8219899041250001</v>
      </c>
      <c r="AR520" s="273">
        <f t="shared" si="300"/>
        <v>6.8976496012487498</v>
      </c>
      <c r="AS520" s="273">
        <f t="shared" si="300"/>
        <v>6.975579089286212</v>
      </c>
      <c r="AT520" s="273">
        <f t="shared" si="300"/>
        <v>7.0558464619647987</v>
      </c>
      <c r="AU520" s="273">
        <f t="shared" si="300"/>
        <v>7.1385218558237433</v>
      </c>
      <c r="AV520" s="273">
        <f t="shared" si="300"/>
        <v>7.2236775114984555</v>
      </c>
      <c r="AW520" s="273">
        <f t="shared" si="300"/>
        <v>7.3113878368434095</v>
      </c>
      <c r="AX520" s="273">
        <f t="shared" si="300"/>
        <v>7.4017294719487117</v>
      </c>
      <c r="AY520" s="273">
        <f t="shared" si="300"/>
        <v>7.4947813561071737</v>
      </c>
      <c r="AZ520" s="923"/>
      <c r="BA520" s="923"/>
    </row>
    <row r="521" spans="1:53">
      <c r="A521" s="874">
        <v>557.35</v>
      </c>
      <c r="B521" s="871" t="s">
        <v>1010</v>
      </c>
      <c r="E521" s="277"/>
      <c r="F521" s="273"/>
      <c r="G521" s="273"/>
      <c r="H521" s="273"/>
      <c r="I521" s="273"/>
      <c r="J521" s="273"/>
      <c r="K521" s="273"/>
      <c r="L521" s="273"/>
      <c r="M521" s="273"/>
      <c r="N521" s="224"/>
      <c r="O521" s="273"/>
      <c r="P521" s="273"/>
      <c r="Q521" s="273"/>
      <c r="R521" s="273"/>
      <c r="S521" s="273"/>
      <c r="T521" s="273"/>
      <c r="U521" s="273"/>
      <c r="V521" s="273"/>
      <c r="W521" s="273"/>
      <c r="X521" s="273"/>
      <c r="Y521" s="273"/>
      <c r="Z521" s="273"/>
      <c r="AA521" s="224">
        <f t="shared" si="237"/>
        <v>0</v>
      </c>
      <c r="AB521" s="273"/>
      <c r="AC521" s="273"/>
      <c r="AD521" s="273"/>
      <c r="AE521" s="273"/>
      <c r="AF521" s="273"/>
      <c r="AG521" s="273"/>
      <c r="AH521" s="273"/>
      <c r="AI521" s="273"/>
      <c r="AJ521" s="273"/>
      <c r="AK521" s="273"/>
      <c r="AL521" s="273"/>
      <c r="AM521" s="273"/>
      <c r="AN521" s="224">
        <f t="shared" si="239"/>
        <v>0</v>
      </c>
      <c r="AO521" s="273"/>
      <c r="AP521" s="273"/>
      <c r="AQ521" s="273"/>
      <c r="AR521" s="273"/>
      <c r="AS521" s="273"/>
      <c r="AT521" s="273"/>
      <c r="AU521" s="273"/>
      <c r="AV521" s="273"/>
      <c r="AW521" s="273"/>
      <c r="AX521" s="273"/>
      <c r="AY521" s="273"/>
      <c r="AZ521" s="923"/>
      <c r="BA521" s="923"/>
    </row>
    <row r="522" spans="1:53">
      <c r="A522" s="874" t="s">
        <v>744</v>
      </c>
      <c r="B522" s="871" t="s">
        <v>980</v>
      </c>
      <c r="E522" s="277"/>
      <c r="F522" s="273"/>
      <c r="G522" s="273"/>
      <c r="H522" s="273"/>
      <c r="I522" s="273"/>
      <c r="J522" s="273"/>
      <c r="K522" s="273"/>
      <c r="L522" s="273"/>
      <c r="M522" s="273"/>
      <c r="N522" s="224">
        <f t="shared" si="297"/>
        <v>0</v>
      </c>
      <c r="O522" s="273">
        <f t="shared" ref="O522:Z522" si="301">+O150+O188</f>
        <v>2.6124691853908241E-2</v>
      </c>
      <c r="P522" s="273">
        <f t="shared" si="301"/>
        <v>2.3371514274918039E-2</v>
      </c>
      <c r="Q522" s="273">
        <f t="shared" si="301"/>
        <v>2.2798504948696497E-2</v>
      </c>
      <c r="R522" s="273">
        <f t="shared" si="301"/>
        <v>1.9754056338110209E-2</v>
      </c>
      <c r="S522" s="273">
        <f t="shared" si="301"/>
        <v>2.1739775980292586E-2</v>
      </c>
      <c r="T522" s="273">
        <f t="shared" si="301"/>
        <v>2.1606430148533702E-2</v>
      </c>
      <c r="U522" s="273">
        <f t="shared" si="301"/>
        <v>2.4254056338110199E-2</v>
      </c>
      <c r="V522" s="273">
        <f t="shared" si="301"/>
        <v>2.6389775980292584E-2</v>
      </c>
      <c r="W522" s="273">
        <f t="shared" si="301"/>
        <v>1.879525721248106E-2</v>
      </c>
      <c r="X522" s="273">
        <f t="shared" si="301"/>
        <v>2.2925103790133971E-2</v>
      </c>
      <c r="Y522" s="273">
        <f t="shared" si="301"/>
        <v>2.1592322409179823E-2</v>
      </c>
      <c r="Z522" s="273">
        <f t="shared" si="301"/>
        <v>2.6978660391543403E-2</v>
      </c>
      <c r="AA522" s="224">
        <f t="shared" si="237"/>
        <v>0.27633014966620034</v>
      </c>
      <c r="AB522" s="273">
        <f t="shared" ref="AB522:AM522" si="302">+AB150+AB188</f>
        <v>2.5709990923087303E-2</v>
      </c>
      <c r="AC522" s="273">
        <f t="shared" si="302"/>
        <v>2.2970729482715245E-2</v>
      </c>
      <c r="AD522" s="273">
        <f t="shared" si="302"/>
        <v>2.2367104651533767E-2</v>
      </c>
      <c r="AE522" s="273">
        <f t="shared" si="302"/>
        <v>1.9342138635012888E-2</v>
      </c>
      <c r="AF522" s="273">
        <f t="shared" si="302"/>
        <v>2.1302809227682601E-2</v>
      </c>
      <c r="AG522" s="273">
        <f t="shared" si="302"/>
        <v>2.1227911178119955E-2</v>
      </c>
      <c r="AH522" s="273">
        <f t="shared" si="302"/>
        <v>2.3842138635012888E-2</v>
      </c>
      <c r="AI522" s="273">
        <f t="shared" si="302"/>
        <v>2.5952809227682599E-2</v>
      </c>
      <c r="AJ522" s="273">
        <f t="shared" si="302"/>
        <v>1.8377911178119953E-2</v>
      </c>
      <c r="AK522" s="273">
        <f t="shared" si="302"/>
        <v>2.2476152478049218E-2</v>
      </c>
      <c r="AL522" s="273">
        <f t="shared" si="302"/>
        <v>2.1218661068686927E-2</v>
      </c>
      <c r="AM522" s="273">
        <f t="shared" si="302"/>
        <v>2.6593844981185045E-2</v>
      </c>
      <c r="AN522" s="224">
        <f t="shared" si="239"/>
        <v>0.27138220166688837</v>
      </c>
      <c r="AO522" s="273">
        <f t="shared" ref="AO522:AY522" si="303">+AO150+AO188</f>
        <v>0.28081380124728117</v>
      </c>
      <c r="AP522" s="273">
        <f t="shared" si="303"/>
        <v>0.28991629671471303</v>
      </c>
      <c r="AQ522" s="273">
        <f t="shared" si="303"/>
        <v>0.29861378561615443</v>
      </c>
      <c r="AR522" s="273">
        <f t="shared" si="303"/>
        <v>0.30757219918463907</v>
      </c>
      <c r="AS522" s="273">
        <f t="shared" si="303"/>
        <v>0.31679936516017826</v>
      </c>
      <c r="AT522" s="273">
        <f t="shared" si="303"/>
        <v>0.32630334611498363</v>
      </c>
      <c r="AU522" s="273">
        <f t="shared" si="303"/>
        <v>0.33609244649843317</v>
      </c>
      <c r="AV522" s="273">
        <f t="shared" si="303"/>
        <v>0.34617521989338618</v>
      </c>
      <c r="AW522" s="273">
        <f t="shared" si="303"/>
        <v>0.35656047649018779</v>
      </c>
      <c r="AX522" s="273">
        <f t="shared" si="303"/>
        <v>0.36725729078489344</v>
      </c>
      <c r="AY522" s="273">
        <f t="shared" si="303"/>
        <v>0.37827500950844023</v>
      </c>
      <c r="AZ522" s="923"/>
      <c r="BA522" s="923"/>
    </row>
    <row r="523" spans="1:53">
      <c r="A523" s="874">
        <v>560.1</v>
      </c>
      <c r="B523" s="871" t="s">
        <v>980</v>
      </c>
      <c r="E523" s="277"/>
      <c r="F523" s="273"/>
      <c r="G523" s="273"/>
      <c r="H523" s="273"/>
      <c r="I523" s="273"/>
      <c r="J523" s="273"/>
      <c r="K523" s="273"/>
      <c r="L523" s="273"/>
      <c r="M523" s="273"/>
      <c r="N523" s="224">
        <f t="shared" si="297"/>
        <v>0</v>
      </c>
      <c r="O523" s="273">
        <f t="shared" ref="O523:Z523" si="304">+O92</f>
        <v>1.3850285000000002E-2</v>
      </c>
      <c r="P523" s="273">
        <f t="shared" si="304"/>
        <v>5.4707849999999997E-3</v>
      </c>
      <c r="Q523" s="273">
        <f t="shared" si="304"/>
        <v>2.8272885000000001E-2</v>
      </c>
      <c r="R523" s="273">
        <f t="shared" si="304"/>
        <v>5.1453850000000006E-3</v>
      </c>
      <c r="S523" s="273">
        <f t="shared" si="304"/>
        <v>5.4504849999999997E-3</v>
      </c>
      <c r="T523" s="273">
        <f t="shared" si="304"/>
        <v>2.8244185000000002E-2</v>
      </c>
      <c r="U523" s="273">
        <f t="shared" si="304"/>
        <v>5.160085E-3</v>
      </c>
      <c r="V523" s="273">
        <f t="shared" si="304"/>
        <v>5.7631850000000005E-3</v>
      </c>
      <c r="W523" s="273">
        <f t="shared" si="304"/>
        <v>2.8254085000000002E-2</v>
      </c>
      <c r="X523" s="273">
        <f t="shared" si="304"/>
        <v>5.1231850000000006E-3</v>
      </c>
      <c r="Y523" s="273">
        <f t="shared" si="304"/>
        <v>5.1318850000000001E-3</v>
      </c>
      <c r="Z523" s="273">
        <f t="shared" si="304"/>
        <v>2.9138785E-2</v>
      </c>
      <c r="AA523" s="224">
        <f t="shared" si="237"/>
        <v>0.16500522000000001</v>
      </c>
      <c r="AB523" s="273">
        <f t="shared" ref="AB523:AM523" si="305">+AB92</f>
        <v>1.38827845E-2</v>
      </c>
      <c r="AC523" s="273">
        <f t="shared" si="305"/>
        <v>5.5078845000000008E-3</v>
      </c>
      <c r="AD523" s="273">
        <f t="shared" si="305"/>
        <v>3.9854384500000006E-2</v>
      </c>
      <c r="AE523" s="273">
        <f t="shared" si="305"/>
        <v>5.1756845000000013E-3</v>
      </c>
      <c r="AF523" s="273">
        <f t="shared" si="305"/>
        <v>5.2299845000000006E-3</v>
      </c>
      <c r="AG523" s="273">
        <f t="shared" si="305"/>
        <v>2.9925484499999998E-2</v>
      </c>
      <c r="AH523" s="273">
        <f t="shared" si="305"/>
        <v>5.1915845000000006E-3</v>
      </c>
      <c r="AI523" s="273">
        <f t="shared" si="305"/>
        <v>5.8242845000000005E-3</v>
      </c>
      <c r="AJ523" s="273">
        <f t="shared" si="305"/>
        <v>2.9934384500000001E-2</v>
      </c>
      <c r="AK523" s="273">
        <f t="shared" si="305"/>
        <v>5.1566845000000005E-3</v>
      </c>
      <c r="AL523" s="273">
        <f t="shared" si="305"/>
        <v>5.1508845000000011E-3</v>
      </c>
      <c r="AM523" s="273">
        <f t="shared" si="305"/>
        <v>3.0840984499999998E-2</v>
      </c>
      <c r="AN523" s="224">
        <f t="shared" si="239"/>
        <v>0.18167501400000002</v>
      </c>
      <c r="AO523" s="273">
        <f t="shared" ref="AO523:AY523" si="306">+AO92</f>
        <v>0.184703384</v>
      </c>
      <c r="AP523" s="273">
        <f t="shared" si="306"/>
        <v>0.19197880000000003</v>
      </c>
      <c r="AQ523" s="273">
        <f t="shared" si="306"/>
        <v>0.19773816400000005</v>
      </c>
      <c r="AR523" s="273">
        <f t="shared" si="306"/>
        <v>0.20367030892000004</v>
      </c>
      <c r="AS523" s="273">
        <f t="shared" si="306"/>
        <v>0.20978041818760004</v>
      </c>
      <c r="AT523" s="273">
        <f t="shared" si="306"/>
        <v>0.21607383073322806</v>
      </c>
      <c r="AU523" s="273">
        <f t="shared" si="306"/>
        <v>0.22255604565522491</v>
      </c>
      <c r="AV523" s="273">
        <f t="shared" si="306"/>
        <v>0.22923272702488165</v>
      </c>
      <c r="AW523" s="273">
        <f t="shared" si="306"/>
        <v>0.2361097088356281</v>
      </c>
      <c r="AX523" s="273">
        <f t="shared" si="306"/>
        <v>0.24319300010069694</v>
      </c>
      <c r="AY523" s="273">
        <f t="shared" si="306"/>
        <v>0.25048879010371788</v>
      </c>
      <c r="AZ523" s="923"/>
      <c r="BA523" s="923"/>
    </row>
    <row r="524" spans="1:53">
      <c r="A524" s="874" t="s">
        <v>746</v>
      </c>
      <c r="B524" s="871" t="s">
        <v>981</v>
      </c>
      <c r="E524" s="277"/>
      <c r="F524" s="273"/>
      <c r="G524" s="273"/>
      <c r="H524" s="273"/>
      <c r="I524" s="273"/>
      <c r="J524" s="273"/>
      <c r="K524" s="273"/>
      <c r="L524" s="273"/>
      <c r="M524" s="273"/>
      <c r="N524" s="224">
        <f t="shared" si="297"/>
        <v>0</v>
      </c>
      <c r="O524" s="273">
        <f t="shared" ref="O524:Z524" si="307">+O151</f>
        <v>4.2961414541967148E-2</v>
      </c>
      <c r="P524" s="273">
        <f t="shared" si="307"/>
        <v>4.1519756335860858E-2</v>
      </c>
      <c r="Q524" s="273">
        <f t="shared" si="307"/>
        <v>4.4691404389294677E-2</v>
      </c>
      <c r="R524" s="273">
        <f t="shared" si="307"/>
        <v>4.2673082900745889E-2</v>
      </c>
      <c r="S524" s="273">
        <f t="shared" si="307"/>
        <v>4.5268067671737196E-2</v>
      </c>
      <c r="T524" s="273">
        <f t="shared" si="307"/>
        <v>3.9213103206090817E-2</v>
      </c>
      <c r="U524" s="273">
        <f t="shared" si="307"/>
        <v>4.2673082900745889E-2</v>
      </c>
      <c r="V524" s="273">
        <f t="shared" si="307"/>
        <v>4.5268067671737196E-2</v>
      </c>
      <c r="W524" s="273">
        <f t="shared" si="307"/>
        <v>3.9253973799719621E-2</v>
      </c>
      <c r="X524" s="273">
        <f t="shared" si="307"/>
        <v>4.6736831193946921E-2</v>
      </c>
      <c r="Y524" s="273">
        <f t="shared" si="307"/>
        <v>3.8898977515458927E-2</v>
      </c>
      <c r="Z524" s="273">
        <f t="shared" si="307"/>
        <v>4.0060141023383074E-2</v>
      </c>
      <c r="AA524" s="224">
        <f t="shared" si="237"/>
        <v>0.50921790315068816</v>
      </c>
      <c r="AB524" s="273">
        <f t="shared" ref="AB524:AM524" si="308">+AB151</f>
        <v>4.2406685027387141E-2</v>
      </c>
      <c r="AC524" s="273">
        <f t="shared" si="308"/>
        <v>4.0983641905662734E-2</v>
      </c>
      <c r="AD524" s="273">
        <f t="shared" si="308"/>
        <v>4.4114336773456421E-2</v>
      </c>
      <c r="AE524" s="273">
        <f t="shared" si="308"/>
        <v>4.2122076403042261E-2</v>
      </c>
      <c r="AF524" s="273">
        <f t="shared" si="308"/>
        <v>4.4683554022146188E-2</v>
      </c>
      <c r="AG524" s="273">
        <f t="shared" si="308"/>
        <v>3.87067729109037E-2</v>
      </c>
      <c r="AH524" s="273">
        <f t="shared" si="308"/>
        <v>4.2122076403042261E-2</v>
      </c>
      <c r="AI524" s="273">
        <f t="shared" si="308"/>
        <v>4.4683554022146188E-2</v>
      </c>
      <c r="AJ524" s="273">
        <f t="shared" si="308"/>
        <v>3.87067729109037E-2</v>
      </c>
      <c r="AK524" s="273">
        <f t="shared" si="308"/>
        <v>4.6134362194319059E-2</v>
      </c>
      <c r="AL524" s="273">
        <f t="shared" si="308"/>
        <v>3.8397543689681714E-2</v>
      </c>
      <c r="AM524" s="273">
        <f t="shared" si="308"/>
        <v>3.9543739023702063E-2</v>
      </c>
      <c r="AN524" s="224">
        <f t="shared" si="239"/>
        <v>0.5026051152863934</v>
      </c>
      <c r="AO524" s="273">
        <f t="shared" ref="AO524:AY524" si="309">+AO151</f>
        <v>0.51489446699065788</v>
      </c>
      <c r="AP524" s="273">
        <f t="shared" si="309"/>
        <v>0.52691034780508106</v>
      </c>
      <c r="AQ524" s="273">
        <f t="shared" si="309"/>
        <v>0.54271765823923346</v>
      </c>
      <c r="AR524" s="273">
        <f t="shared" si="309"/>
        <v>0.55899918798641046</v>
      </c>
      <c r="AS524" s="273">
        <f t="shared" si="309"/>
        <v>0.57576916362600283</v>
      </c>
      <c r="AT524" s="273">
        <f t="shared" si="309"/>
        <v>0.59304223853478288</v>
      </c>
      <c r="AU524" s="273">
        <f t="shared" si="309"/>
        <v>0.61083350569082639</v>
      </c>
      <c r="AV524" s="273">
        <f t="shared" si="309"/>
        <v>0.62915851086155117</v>
      </c>
      <c r="AW524" s="273">
        <f t="shared" si="309"/>
        <v>0.64803326618739776</v>
      </c>
      <c r="AX524" s="273">
        <f t="shared" si="309"/>
        <v>0.66747426417301969</v>
      </c>
      <c r="AY524" s="273">
        <f t="shared" si="309"/>
        <v>0.68749849209821035</v>
      </c>
      <c r="AZ524" s="923"/>
      <c r="BA524" s="923"/>
    </row>
    <row r="525" spans="1:53">
      <c r="A525" s="874" t="s">
        <v>751</v>
      </c>
      <c r="B525" s="871" t="s">
        <v>982</v>
      </c>
      <c r="E525" s="277"/>
      <c r="F525" s="273"/>
      <c r="G525" s="273"/>
      <c r="H525" s="273"/>
      <c r="I525" s="273"/>
      <c r="J525" s="273"/>
      <c r="K525" s="273"/>
      <c r="L525" s="273"/>
      <c r="M525" s="273"/>
      <c r="N525" s="224">
        <f t="shared" si="297"/>
        <v>0</v>
      </c>
      <c r="O525" s="273">
        <f t="shared" ref="O525:Z525" si="310">+O152</f>
        <v>9.4659769442985597E-2</v>
      </c>
      <c r="P525" s="273">
        <f t="shared" si="310"/>
        <v>9.1483267112684077E-2</v>
      </c>
      <c r="Q525" s="273">
        <f t="shared" si="310"/>
        <v>9.8471572239347452E-2</v>
      </c>
      <c r="R525" s="273">
        <f t="shared" si="310"/>
        <v>9.4024468976925291E-2</v>
      </c>
      <c r="S525" s="273">
        <f t="shared" si="310"/>
        <v>9.9742173171468052E-2</v>
      </c>
      <c r="T525" s="273">
        <f t="shared" si="310"/>
        <v>8.6400863384201623E-2</v>
      </c>
      <c r="U525" s="273">
        <f t="shared" si="310"/>
        <v>9.4024468976925291E-2</v>
      </c>
      <c r="V525" s="273">
        <f t="shared" si="310"/>
        <v>9.9742173171468052E-2</v>
      </c>
      <c r="W525" s="273">
        <f t="shared" si="310"/>
        <v>8.6427429270060349E-2</v>
      </c>
      <c r="X525" s="273">
        <f t="shared" si="310"/>
        <v>0.10274309691486777</v>
      </c>
      <c r="Y525" s="273">
        <f t="shared" si="310"/>
        <v>8.551288811548001E-2</v>
      </c>
      <c r="Z525" s="273">
        <f t="shared" si="310"/>
        <v>8.8065511641315222E-2</v>
      </c>
      <c r="AA525" s="224">
        <f t="shared" si="237"/>
        <v>1.1212976824177288</v>
      </c>
      <c r="AB525" s="273">
        <f t="shared" ref="AB525:AM525" si="311">+AB152</f>
        <v>9.3882514586801843E-2</v>
      </c>
      <c r="AC525" s="273">
        <f t="shared" si="311"/>
        <v>9.0732094634224603E-2</v>
      </c>
      <c r="AD525" s="273">
        <f t="shared" si="311"/>
        <v>9.7663018529894549E-2</v>
      </c>
      <c r="AE525" s="273">
        <f t="shared" si="311"/>
        <v>9.3252430596286393E-2</v>
      </c>
      <c r="AF525" s="273">
        <f t="shared" si="311"/>
        <v>9.8923186510925451E-2</v>
      </c>
      <c r="AG525" s="273">
        <f t="shared" si="311"/>
        <v>8.5691422710101023E-2</v>
      </c>
      <c r="AH525" s="273">
        <f t="shared" si="311"/>
        <v>9.3252430596286393E-2</v>
      </c>
      <c r="AI525" s="273">
        <f t="shared" si="311"/>
        <v>9.8923186510925451E-2</v>
      </c>
      <c r="AJ525" s="273">
        <f t="shared" si="311"/>
        <v>8.5691422710101023E-2</v>
      </c>
      <c r="AK525" s="273">
        <f t="shared" si="311"/>
        <v>0.10191139670335794</v>
      </c>
      <c r="AL525" s="273">
        <f t="shared" si="311"/>
        <v>8.4820665579192323E-2</v>
      </c>
      <c r="AM525" s="273">
        <f t="shared" si="311"/>
        <v>8.7352625745735379E-2</v>
      </c>
      <c r="AN525" s="224">
        <f t="shared" si="239"/>
        <v>1.1120963954138323</v>
      </c>
      <c r="AO525" s="273">
        <f t="shared" ref="AO525:AY525" si="312">+AO152</f>
        <v>1.143235666011623</v>
      </c>
      <c r="AP525" s="273">
        <f t="shared" si="312"/>
        <v>1.1693054103472436</v>
      </c>
      <c r="AQ525" s="273">
        <f t="shared" si="312"/>
        <v>1.204384572657661</v>
      </c>
      <c r="AR525" s="273">
        <f t="shared" si="312"/>
        <v>1.2405161098373909</v>
      </c>
      <c r="AS525" s="273">
        <f t="shared" si="312"/>
        <v>1.2777315931325126</v>
      </c>
      <c r="AT525" s="273">
        <f t="shared" si="312"/>
        <v>1.316063540926488</v>
      </c>
      <c r="AU525" s="273">
        <f t="shared" si="312"/>
        <v>1.3555454471542827</v>
      </c>
      <c r="AV525" s="273">
        <f t="shared" si="312"/>
        <v>1.3962118105689112</v>
      </c>
      <c r="AW525" s="273">
        <f t="shared" si="312"/>
        <v>1.4380981648859785</v>
      </c>
      <c r="AX525" s="273">
        <f t="shared" si="312"/>
        <v>1.481241109832558</v>
      </c>
      <c r="AY525" s="273">
        <f t="shared" si="312"/>
        <v>1.5256783431275347</v>
      </c>
      <c r="AZ525" s="923"/>
      <c r="BA525" s="923"/>
    </row>
    <row r="526" spans="1:53">
      <c r="A526" s="874">
        <v>561.1</v>
      </c>
      <c r="B526" s="871" t="s">
        <v>982</v>
      </c>
      <c r="E526" s="277"/>
      <c r="F526" s="273"/>
      <c r="G526" s="273"/>
      <c r="H526" s="273"/>
      <c r="I526" s="273"/>
      <c r="J526" s="273"/>
      <c r="K526" s="273"/>
      <c r="L526" s="273"/>
      <c r="M526" s="273"/>
      <c r="N526" s="224">
        <f t="shared" si="297"/>
        <v>0</v>
      </c>
      <c r="O526" s="273">
        <f t="shared" ref="O526:Z526" si="313">+O79+O93</f>
        <v>4.2248999999999993E-3</v>
      </c>
      <c r="P526" s="273">
        <f t="shared" si="313"/>
        <v>3.7121999999999997E-3</v>
      </c>
      <c r="Q526" s="273">
        <f t="shared" si="313"/>
        <v>2.3229000000000001E-3</v>
      </c>
      <c r="R526" s="273">
        <f t="shared" si="313"/>
        <v>2.2012500000000001E-3</v>
      </c>
      <c r="S526" s="273">
        <f t="shared" si="313"/>
        <v>2.3067000000000001E-3</v>
      </c>
      <c r="T526" s="273">
        <f t="shared" si="313"/>
        <v>2.2563000000000001E-3</v>
      </c>
      <c r="U526" s="273">
        <f t="shared" si="313"/>
        <v>2.06835E-3</v>
      </c>
      <c r="V526" s="273">
        <f t="shared" si="313"/>
        <v>3.3066000000000003E-3</v>
      </c>
      <c r="W526" s="273">
        <f t="shared" si="313"/>
        <v>2.4060000000000002E-3</v>
      </c>
      <c r="X526" s="273">
        <f t="shared" si="313"/>
        <v>2.0167499999999999E-3</v>
      </c>
      <c r="Y526" s="273">
        <f t="shared" si="313"/>
        <v>1.8655500000000003E-3</v>
      </c>
      <c r="Z526" s="273">
        <f t="shared" si="313"/>
        <v>3.1435500000000002E-3</v>
      </c>
      <c r="AA526" s="224">
        <f t="shared" si="237"/>
        <v>3.183105E-2</v>
      </c>
      <c r="AB526" s="273">
        <f t="shared" ref="AB526:AM526" si="314">+AB79+AB93</f>
        <v>4.2983999999999991E-3</v>
      </c>
      <c r="AC526" s="273">
        <f t="shared" si="314"/>
        <v>3.8188500000000004E-3</v>
      </c>
      <c r="AD526" s="273">
        <f t="shared" si="314"/>
        <v>2.3812499999999997E-3</v>
      </c>
      <c r="AE526" s="273">
        <f t="shared" si="314"/>
        <v>2.2619999999999997E-3</v>
      </c>
      <c r="AF526" s="273">
        <f t="shared" si="314"/>
        <v>1.9870500000000002E-3</v>
      </c>
      <c r="AG526" s="273">
        <f t="shared" si="314"/>
        <v>2.3238E-3</v>
      </c>
      <c r="AH526" s="273">
        <f t="shared" si="314"/>
        <v>2.1267E-3</v>
      </c>
      <c r="AI526" s="273">
        <f t="shared" si="314"/>
        <v>3.3925500000000003E-3</v>
      </c>
      <c r="AJ526" s="273">
        <f t="shared" si="314"/>
        <v>2.4667499999999998E-3</v>
      </c>
      <c r="AK526" s="273">
        <f t="shared" si="314"/>
        <v>2.0991E-3</v>
      </c>
      <c r="AL526" s="273">
        <f t="shared" si="314"/>
        <v>1.9356000000000002E-3</v>
      </c>
      <c r="AM526" s="273">
        <f t="shared" si="314"/>
        <v>3.2203499999999999E-3</v>
      </c>
      <c r="AN526" s="224">
        <f t="shared" si="239"/>
        <v>3.2312399999999998E-2</v>
      </c>
      <c r="AO526" s="273">
        <f t="shared" ref="AO526:AY526" si="315">+AO79+AO93</f>
        <v>3.3148649999999995E-2</v>
      </c>
      <c r="AP526" s="273">
        <f t="shared" si="315"/>
        <v>3.4475699999999998E-2</v>
      </c>
      <c r="AQ526" s="273">
        <f t="shared" si="315"/>
        <v>3.5509971000000001E-2</v>
      </c>
      <c r="AR526" s="273">
        <f t="shared" si="315"/>
        <v>3.6575270130000004E-2</v>
      </c>
      <c r="AS526" s="273">
        <f t="shared" si="315"/>
        <v>3.76725282339E-2</v>
      </c>
      <c r="AT526" s="273">
        <f t="shared" si="315"/>
        <v>3.8802704080917003E-2</v>
      </c>
      <c r="AU526" s="273">
        <f t="shared" si="315"/>
        <v>3.9966785203344513E-2</v>
      </c>
      <c r="AV526" s="273">
        <f t="shared" si="315"/>
        <v>4.1165788759444856E-2</v>
      </c>
      <c r="AW526" s="273">
        <f t="shared" si="315"/>
        <v>4.2400762422228198E-2</v>
      </c>
      <c r="AX526" s="273">
        <f t="shared" si="315"/>
        <v>4.3672785294895045E-2</v>
      </c>
      <c r="AY526" s="273">
        <f t="shared" si="315"/>
        <v>4.4982968853741902E-2</v>
      </c>
      <c r="AZ526" s="923"/>
      <c r="BA526" s="923"/>
    </row>
    <row r="527" spans="1:53">
      <c r="A527" s="874">
        <v>561.4</v>
      </c>
      <c r="B527" s="871" t="s">
        <v>869</v>
      </c>
      <c r="E527" s="277"/>
      <c r="F527" s="273"/>
      <c r="G527" s="273"/>
      <c r="H527" s="273"/>
      <c r="I527" s="273"/>
      <c r="J527" s="273"/>
      <c r="K527" s="273"/>
      <c r="L527" s="273"/>
      <c r="M527" s="273"/>
      <c r="N527" s="224"/>
      <c r="O527" s="273">
        <f t="shared" ref="O527:Z527" si="316">O107</f>
        <v>0.187087</v>
      </c>
      <c r="P527" s="273">
        <f t="shared" si="316"/>
        <v>0.16404199999999999</v>
      </c>
      <c r="Q527" s="273">
        <f t="shared" si="316"/>
        <v>0.17587</v>
      </c>
      <c r="R527" s="273">
        <f t="shared" si="316"/>
        <v>0.15887999999999999</v>
      </c>
      <c r="S527" s="273">
        <f t="shared" si="316"/>
        <v>0.167435</v>
      </c>
      <c r="T527" s="273">
        <f t="shared" si="316"/>
        <v>0.17413799999999999</v>
      </c>
      <c r="U527" s="273">
        <f t="shared" si="316"/>
        <v>0.18166399999999999</v>
      </c>
      <c r="V527" s="273">
        <f t="shared" si="316"/>
        <v>0.17791799999999999</v>
      </c>
      <c r="W527" s="273">
        <f t="shared" si="316"/>
        <v>0.110999</v>
      </c>
      <c r="X527" s="273">
        <f t="shared" si="316"/>
        <v>0.114409</v>
      </c>
      <c r="Y527" s="273">
        <f t="shared" si="316"/>
        <v>0.112958</v>
      </c>
      <c r="Z527" s="273">
        <f t="shared" si="316"/>
        <v>0.12654199999999999</v>
      </c>
      <c r="AA527" s="224">
        <f t="shared" si="237"/>
        <v>1.851942</v>
      </c>
      <c r="AB527" s="273">
        <f t="shared" ref="AB527:AM527" si="317">AB107</f>
        <v>0.102489</v>
      </c>
      <c r="AC527" s="273">
        <f t="shared" si="317"/>
        <v>8.9962E-2</v>
      </c>
      <c r="AD527" s="273">
        <f t="shared" si="317"/>
        <v>9.0756000000000003E-2</v>
      </c>
      <c r="AE527" s="273">
        <f t="shared" si="317"/>
        <v>8.1614999999999993E-2</v>
      </c>
      <c r="AF527" s="273">
        <f t="shared" si="317"/>
        <v>8.7401999999999994E-2</v>
      </c>
      <c r="AG527" s="273">
        <f t="shared" si="317"/>
        <v>9.4500000000000001E-2</v>
      </c>
      <c r="AH527" s="273">
        <f t="shared" si="317"/>
        <v>9.9655999999999995E-2</v>
      </c>
      <c r="AI527" s="273">
        <f t="shared" si="317"/>
        <v>0.10079399999999999</v>
      </c>
      <c r="AJ527" s="273">
        <f t="shared" si="317"/>
        <v>9.0434E-2</v>
      </c>
      <c r="AK527" s="273">
        <f t="shared" si="317"/>
        <v>8.9904999999999999E-2</v>
      </c>
      <c r="AL527" s="273">
        <f t="shared" si="317"/>
        <v>8.9403999999999997E-2</v>
      </c>
      <c r="AM527" s="273">
        <f t="shared" si="317"/>
        <v>9.9179000000000003E-2</v>
      </c>
      <c r="AN527" s="224">
        <f t="shared" si="239"/>
        <v>1.116096</v>
      </c>
      <c r="AO527" s="273">
        <f t="shared" ref="AO527:AY527" si="318">AO107</f>
        <v>1.1216660000000001</v>
      </c>
      <c r="AP527" s="273">
        <f t="shared" si="318"/>
        <v>1.1332120000000001</v>
      </c>
      <c r="AQ527" s="273">
        <f t="shared" si="318"/>
        <v>1.1672083600000001</v>
      </c>
      <c r="AR527" s="273">
        <f t="shared" si="318"/>
        <v>1.2022246108000001</v>
      </c>
      <c r="AS527" s="273">
        <f t="shared" si="318"/>
        <v>1.2382913491240002</v>
      </c>
      <c r="AT527" s="273">
        <f t="shared" si="318"/>
        <v>1.2754400895977203</v>
      </c>
      <c r="AU527" s="273">
        <f t="shared" si="318"/>
        <v>1.313703292285652</v>
      </c>
      <c r="AV527" s="273">
        <f t="shared" si="318"/>
        <v>1.3531143910542216</v>
      </c>
      <c r="AW527" s="273">
        <f t="shared" si="318"/>
        <v>1.3937078227858484</v>
      </c>
      <c r="AX527" s="273">
        <f t="shared" si="318"/>
        <v>1.4355190574694239</v>
      </c>
      <c r="AY527" s="273">
        <f t="shared" si="318"/>
        <v>1.4785846291935065</v>
      </c>
      <c r="AZ527" s="923"/>
      <c r="BA527" s="923"/>
    </row>
    <row r="528" spans="1:53">
      <c r="A528" s="874">
        <v>561.79999999999995</v>
      </c>
      <c r="B528" s="871" t="s">
        <v>869</v>
      </c>
      <c r="E528" s="277"/>
      <c r="F528" s="273"/>
      <c r="G528" s="273"/>
      <c r="H528" s="273"/>
      <c r="I528" s="273"/>
      <c r="J528" s="273"/>
      <c r="K528" s="273"/>
      <c r="L528" s="273"/>
      <c r="M528" s="273"/>
      <c r="N528" s="224"/>
      <c r="O528" s="273">
        <f t="shared" ref="O528:Z528" si="319">O108</f>
        <v>1.2201E-2</v>
      </c>
      <c r="P528" s="273">
        <f t="shared" si="319"/>
        <v>1.0697999999999999E-2</v>
      </c>
      <c r="Q528" s="273">
        <f t="shared" si="319"/>
        <v>1.1469999999999999E-2</v>
      </c>
      <c r="R528" s="273">
        <f t="shared" si="319"/>
        <v>1.0362E-2</v>
      </c>
      <c r="S528" s="273">
        <f t="shared" si="319"/>
        <v>1.0919999999999999E-2</v>
      </c>
      <c r="T528" s="273">
        <f t="shared" si="319"/>
        <v>1.1357000000000001E-2</v>
      </c>
      <c r="U528" s="273">
        <f t="shared" si="319"/>
        <v>1.1847999999999999E-2</v>
      </c>
      <c r="V528" s="273">
        <f t="shared" si="319"/>
        <v>1.1603E-2</v>
      </c>
      <c r="W528" s="273">
        <f t="shared" si="319"/>
        <v>7.2389999999999998E-3</v>
      </c>
      <c r="X528" s="273">
        <f t="shared" si="319"/>
        <v>7.4609999999999998E-3</v>
      </c>
      <c r="Y528" s="273">
        <f t="shared" si="319"/>
        <v>7.3670000000000003E-3</v>
      </c>
      <c r="Z528" s="273">
        <f t="shared" si="319"/>
        <v>8.2529999999999999E-3</v>
      </c>
      <c r="AA528" s="224">
        <f t="shared" si="237"/>
        <v>0.12077899999999998</v>
      </c>
      <c r="AB528" s="273">
        <f t="shared" ref="AB528:AM528" si="320">AB108</f>
        <v>6.6839999999999998E-3</v>
      </c>
      <c r="AC528" s="273">
        <f t="shared" si="320"/>
        <v>5.8669999999999998E-3</v>
      </c>
      <c r="AD528" s="273">
        <f t="shared" si="320"/>
        <v>5.9189999999999998E-3</v>
      </c>
      <c r="AE528" s="273">
        <f t="shared" si="320"/>
        <v>5.3229999999999996E-3</v>
      </c>
      <c r="AF528" s="273">
        <f t="shared" si="320"/>
        <v>5.7000000000000002E-3</v>
      </c>
      <c r="AG528" s="273">
        <f t="shared" si="320"/>
        <v>6.1630000000000001E-3</v>
      </c>
      <c r="AH528" s="273">
        <f t="shared" si="320"/>
        <v>6.4989999999999996E-3</v>
      </c>
      <c r="AI528" s="273">
        <f t="shared" si="320"/>
        <v>6.574E-3</v>
      </c>
      <c r="AJ528" s="273">
        <f t="shared" si="320"/>
        <v>5.8979999999999996E-3</v>
      </c>
      <c r="AK528" s="273">
        <f t="shared" si="320"/>
        <v>5.8630000000000002E-3</v>
      </c>
      <c r="AL528" s="273">
        <f t="shared" si="320"/>
        <v>5.8310000000000002E-3</v>
      </c>
      <c r="AM528" s="273">
        <f t="shared" si="320"/>
        <v>6.4679999999999998E-3</v>
      </c>
      <c r="AN528" s="224">
        <f t="shared" si="239"/>
        <v>7.2788999999999993E-2</v>
      </c>
      <c r="AO528" s="273">
        <f t="shared" ref="AO528:AY528" si="321">AO108</f>
        <v>7.3152999999999996E-2</v>
      </c>
      <c r="AP528" s="273">
        <f t="shared" si="321"/>
        <v>7.3903999999999997E-2</v>
      </c>
      <c r="AQ528" s="273">
        <f t="shared" si="321"/>
        <v>7.612112E-2</v>
      </c>
      <c r="AR528" s="273">
        <f t="shared" si="321"/>
        <v>7.8404753600000002E-2</v>
      </c>
      <c r="AS528" s="273">
        <f t="shared" si="321"/>
        <v>8.0756896208000001E-2</v>
      </c>
      <c r="AT528" s="273">
        <f t="shared" si="321"/>
        <v>8.3179603094240009E-2</v>
      </c>
      <c r="AU528" s="273">
        <f t="shared" si="321"/>
        <v>8.5674991187067215E-2</v>
      </c>
      <c r="AV528" s="273">
        <f t="shared" si="321"/>
        <v>8.8245240922679227E-2</v>
      </c>
      <c r="AW528" s="273">
        <f t="shared" si="321"/>
        <v>9.0892598150359605E-2</v>
      </c>
      <c r="AX528" s="273">
        <f t="shared" si="321"/>
        <v>9.3619376094870393E-2</v>
      </c>
      <c r="AY528" s="273">
        <f t="shared" si="321"/>
        <v>9.6427957377716506E-2</v>
      </c>
      <c r="AZ528" s="923"/>
      <c r="BA528" s="923"/>
    </row>
    <row r="529" spans="1:53">
      <c r="A529" s="874" t="s">
        <v>753</v>
      </c>
      <c r="B529" s="871" t="s">
        <v>983</v>
      </c>
      <c r="E529" s="277"/>
      <c r="F529" s="273"/>
      <c r="G529" s="273"/>
      <c r="H529" s="273"/>
      <c r="I529" s="273"/>
      <c r="J529" s="273"/>
      <c r="K529" s="273"/>
      <c r="L529" s="273"/>
      <c r="M529" s="273"/>
      <c r="N529" s="224">
        <f t="shared" si="297"/>
        <v>0</v>
      </c>
      <c r="O529" s="273">
        <f t="shared" ref="O529:Z529" si="322">+O153</f>
        <v>1.703481379282195E-2</v>
      </c>
      <c r="P529" s="273">
        <f t="shared" si="322"/>
        <v>1.6000088497760804E-2</v>
      </c>
      <c r="Q529" s="273">
        <f t="shared" si="322"/>
        <v>1.8276484146895314E-2</v>
      </c>
      <c r="R529" s="273">
        <f t="shared" si="322"/>
        <v>1.6827868733809717E-2</v>
      </c>
      <c r="S529" s="273">
        <f t="shared" si="322"/>
        <v>1.8690374264919773E-2</v>
      </c>
      <c r="T529" s="273">
        <f t="shared" si="322"/>
        <v>1.4344528025662984E-2</v>
      </c>
      <c r="U529" s="273">
        <f t="shared" si="322"/>
        <v>1.6827868733809717E-2</v>
      </c>
      <c r="V529" s="273">
        <f t="shared" si="322"/>
        <v>1.8690374264919773E-2</v>
      </c>
      <c r="W529" s="273">
        <f t="shared" si="322"/>
        <v>1.4344528025662984E-2</v>
      </c>
      <c r="X529" s="273">
        <f t="shared" si="322"/>
        <v>2.0052261274820491E-2</v>
      </c>
      <c r="Y529" s="273">
        <f t="shared" si="322"/>
        <v>1.6175173980285382E-2</v>
      </c>
      <c r="Z529" s="273">
        <f t="shared" si="322"/>
        <v>1.7016223949846133E-2</v>
      </c>
      <c r="AA529" s="224">
        <f t="shared" si="237"/>
        <v>0.20428058769121504</v>
      </c>
      <c r="AB529" s="273">
        <f t="shared" ref="AB529:AM529" si="323">+AB153</f>
        <v>1.6597910817694399E-2</v>
      </c>
      <c r="AC529" s="273">
        <f t="shared" si="323"/>
        <v>1.5577846696295262E-2</v>
      </c>
      <c r="AD529" s="273">
        <f t="shared" si="323"/>
        <v>1.7821987763373369E-2</v>
      </c>
      <c r="AE529" s="273">
        <f t="shared" si="323"/>
        <v>1.639389799341457E-2</v>
      </c>
      <c r="AF529" s="273">
        <f t="shared" si="323"/>
        <v>1.8230013411933026E-2</v>
      </c>
      <c r="AG529" s="273">
        <f t="shared" si="323"/>
        <v>1.3945744102056633E-2</v>
      </c>
      <c r="AH529" s="273">
        <f t="shared" si="323"/>
        <v>1.639389799341457E-2</v>
      </c>
      <c r="AI529" s="273">
        <f t="shared" si="323"/>
        <v>1.8230013411933026E-2</v>
      </c>
      <c r="AJ529" s="273">
        <f t="shared" si="323"/>
        <v>1.3945744102056633E-2</v>
      </c>
      <c r="AK529" s="273">
        <f t="shared" si="323"/>
        <v>1.9572686138087672E-2</v>
      </c>
      <c r="AL529" s="273">
        <f t="shared" si="323"/>
        <v>1.5776024487600918E-2</v>
      </c>
      <c r="AM529" s="273">
        <f t="shared" si="323"/>
        <v>1.6605159546932285E-2</v>
      </c>
      <c r="AN529" s="224">
        <f t="shared" si="239"/>
        <v>0.19909092646479234</v>
      </c>
      <c r="AO529" s="273">
        <f t="shared" ref="AO529:AY529" si="324">+AO153</f>
        <v>0.2078021039244449</v>
      </c>
      <c r="AP529" s="273">
        <f t="shared" si="324"/>
        <v>0.21674931078052914</v>
      </c>
      <c r="AQ529" s="273">
        <f t="shared" si="324"/>
        <v>0.22325179010394502</v>
      </c>
      <c r="AR529" s="273">
        <f t="shared" si="324"/>
        <v>0.22994934380706339</v>
      </c>
      <c r="AS529" s="273">
        <f t="shared" si="324"/>
        <v>0.23684782412127531</v>
      </c>
      <c r="AT529" s="273">
        <f t="shared" si="324"/>
        <v>0.24395325884491356</v>
      </c>
      <c r="AU529" s="273">
        <f t="shared" si="324"/>
        <v>0.25127185661026097</v>
      </c>
      <c r="AV529" s="273">
        <f t="shared" si="324"/>
        <v>0.25881001230856882</v>
      </c>
      <c r="AW529" s="273">
        <f t="shared" si="324"/>
        <v>0.26657431267782589</v>
      </c>
      <c r="AX529" s="273">
        <f t="shared" si="324"/>
        <v>0.27457154205816064</v>
      </c>
      <c r="AY529" s="273">
        <f t="shared" si="324"/>
        <v>0.28280868831990547</v>
      </c>
      <c r="AZ529" s="923"/>
      <c r="BA529" s="923"/>
    </row>
    <row r="530" spans="1:53">
      <c r="A530" s="874">
        <v>562.1</v>
      </c>
      <c r="B530" s="871" t="s">
        <v>983</v>
      </c>
      <c r="E530" s="277"/>
      <c r="F530" s="273"/>
      <c r="G530" s="273"/>
      <c r="H530" s="273"/>
      <c r="I530" s="273"/>
      <c r="J530" s="273"/>
      <c r="K530" s="273"/>
      <c r="L530" s="273"/>
      <c r="M530" s="273"/>
      <c r="N530" s="224">
        <f t="shared" si="297"/>
        <v>0</v>
      </c>
      <c r="O530" s="273">
        <f t="shared" ref="O530:Z530" si="325">+O62+O80+O94</f>
        <v>3.9540760000000001E-2</v>
      </c>
      <c r="P530" s="273">
        <f t="shared" si="325"/>
        <v>4.019876E-2</v>
      </c>
      <c r="Q530" s="273">
        <f t="shared" si="325"/>
        <v>4.0631005999999997E-2</v>
      </c>
      <c r="R530" s="273">
        <f t="shared" si="325"/>
        <v>3.9646960000000002E-2</v>
      </c>
      <c r="S530" s="273">
        <f t="shared" si="325"/>
        <v>4.2779560000000001E-2</v>
      </c>
      <c r="T530" s="273">
        <f t="shared" si="325"/>
        <v>4.3121020000000003E-2</v>
      </c>
      <c r="U530" s="273">
        <f t="shared" si="325"/>
        <v>4.321436E-2</v>
      </c>
      <c r="V530" s="273">
        <f t="shared" si="325"/>
        <v>4.1654360000000001E-2</v>
      </c>
      <c r="W530" s="273">
        <f t="shared" si="325"/>
        <v>3.9662613999999999E-2</v>
      </c>
      <c r="X530" s="273">
        <f t="shared" si="325"/>
        <v>3.9266760000000005E-2</v>
      </c>
      <c r="Y530" s="273">
        <f t="shared" si="325"/>
        <v>3.9420759999999999E-2</v>
      </c>
      <c r="Z530" s="273">
        <f t="shared" si="325"/>
        <v>4.4316300000000003E-2</v>
      </c>
      <c r="AA530" s="224">
        <f t="shared" si="237"/>
        <v>0.49345322000000003</v>
      </c>
      <c r="AB530" s="273">
        <f t="shared" ref="AB530:AM530" si="326">+AB62+AB80+AB94</f>
        <v>4.2340970800000002E-2</v>
      </c>
      <c r="AC530" s="273">
        <f t="shared" si="326"/>
        <v>4.2995820800000001E-2</v>
      </c>
      <c r="AD530" s="273">
        <f t="shared" si="326"/>
        <v>4.3550213433200001E-2</v>
      </c>
      <c r="AE530" s="273">
        <f t="shared" si="326"/>
        <v>4.2785949105599998E-2</v>
      </c>
      <c r="AF530" s="273">
        <f t="shared" si="326"/>
        <v>4.4970714973199995E-2</v>
      </c>
      <c r="AG530" s="273">
        <f t="shared" si="326"/>
        <v>4.6567405869999995E-2</v>
      </c>
      <c r="AH530" s="273">
        <f t="shared" si="326"/>
        <v>4.68211331338E-2</v>
      </c>
      <c r="AI530" s="273">
        <f t="shared" si="326"/>
        <v>4.73335888E-2</v>
      </c>
      <c r="AJ530" s="273">
        <f t="shared" si="326"/>
        <v>4.4239730419999998E-2</v>
      </c>
      <c r="AK530" s="273">
        <f t="shared" si="326"/>
        <v>4.3424364067599995E-2</v>
      </c>
      <c r="AL530" s="273">
        <f t="shared" si="326"/>
        <v>4.3639897514399999E-2</v>
      </c>
      <c r="AM530" s="273">
        <f t="shared" si="326"/>
        <v>4.8166756999999998E-2</v>
      </c>
      <c r="AN530" s="224">
        <f t="shared" si="239"/>
        <v>0.53683654591779995</v>
      </c>
      <c r="AO530" s="273">
        <f t="shared" ref="AO530:AY530" si="327">+AO62+AO80+AO94</f>
        <v>0.55738539640181395</v>
      </c>
      <c r="AP530" s="273">
        <f t="shared" si="327"/>
        <v>0.57799768382747396</v>
      </c>
      <c r="AQ530" s="273">
        <f t="shared" si="327"/>
        <v>0.59533761434229815</v>
      </c>
      <c r="AR530" s="273">
        <f t="shared" si="327"/>
        <v>0.61319774277256711</v>
      </c>
      <c r="AS530" s="273">
        <f t="shared" si="327"/>
        <v>0.63159367505574415</v>
      </c>
      <c r="AT530" s="273">
        <f t="shared" si="327"/>
        <v>0.6505414853074164</v>
      </c>
      <c r="AU530" s="273">
        <f t="shared" si="327"/>
        <v>0.67005772986663903</v>
      </c>
      <c r="AV530" s="273">
        <f t="shared" si="327"/>
        <v>0.69015946176263809</v>
      </c>
      <c r="AW530" s="273">
        <f t="shared" si="327"/>
        <v>0.71086424561551731</v>
      </c>
      <c r="AX530" s="273">
        <f t="shared" si="327"/>
        <v>0.73219017298398281</v>
      </c>
      <c r="AY530" s="273">
        <f t="shared" si="327"/>
        <v>0.75415587817350238</v>
      </c>
      <c r="AZ530" s="923"/>
      <c r="BA530" s="923"/>
    </row>
    <row r="531" spans="1:53">
      <c r="A531" s="874" t="s">
        <v>755</v>
      </c>
      <c r="B531" s="871" t="s">
        <v>984</v>
      </c>
      <c r="E531" s="277"/>
      <c r="F531" s="273"/>
      <c r="G531" s="273"/>
      <c r="H531" s="273"/>
      <c r="I531" s="273"/>
      <c r="J531" s="273"/>
      <c r="K531" s="273"/>
      <c r="L531" s="273"/>
      <c r="M531" s="273"/>
      <c r="N531" s="224">
        <f t="shared" si="297"/>
        <v>0</v>
      </c>
      <c r="O531" s="273">
        <f t="shared" ref="O531:Z531" si="328">+O154</f>
        <v>6.166962758564389E-3</v>
      </c>
      <c r="P531" s="273">
        <f t="shared" si="328"/>
        <v>5.9600176995521607E-3</v>
      </c>
      <c r="Q531" s="273">
        <f t="shared" si="328"/>
        <v>6.4152968293790637E-3</v>
      </c>
      <c r="R531" s="273">
        <f t="shared" si="328"/>
        <v>6.1255737467619444E-3</v>
      </c>
      <c r="S531" s="273">
        <f t="shared" si="328"/>
        <v>6.4980748529839547E-3</v>
      </c>
      <c r="T531" s="273">
        <f t="shared" si="328"/>
        <v>5.6289056051325968E-3</v>
      </c>
      <c r="U531" s="273">
        <f t="shared" si="328"/>
        <v>6.1255737467619444E-3</v>
      </c>
      <c r="V531" s="273">
        <f t="shared" si="328"/>
        <v>6.4980748529839547E-3</v>
      </c>
      <c r="W531" s="273">
        <f t="shared" si="328"/>
        <v>5.6289056051325968E-3</v>
      </c>
      <c r="X531" s="273">
        <f t="shared" si="328"/>
        <v>6.7704522549640982E-3</v>
      </c>
      <c r="Y531" s="273">
        <f t="shared" si="328"/>
        <v>5.635034796057075E-3</v>
      </c>
      <c r="Z531" s="273">
        <f t="shared" si="328"/>
        <v>5.8032447899692263E-3</v>
      </c>
      <c r="AA531" s="224">
        <f t="shared" si="237"/>
        <v>7.3256117538243015E-2</v>
      </c>
      <c r="AB531" s="273">
        <f t="shared" ref="AB531:AM531" si="329">+AB154</f>
        <v>6.0795821635388795E-3</v>
      </c>
      <c r="AC531" s="273">
        <f t="shared" si="329"/>
        <v>5.875569339259052E-3</v>
      </c>
      <c r="AD531" s="273">
        <f t="shared" si="329"/>
        <v>6.3243975526746732E-3</v>
      </c>
      <c r="AE531" s="273">
        <f t="shared" si="329"/>
        <v>6.0387795986829142E-3</v>
      </c>
      <c r="AF531" s="273">
        <f t="shared" si="329"/>
        <v>6.4060026823866056E-3</v>
      </c>
      <c r="AG531" s="273">
        <f t="shared" si="329"/>
        <v>5.549148820411326E-3</v>
      </c>
      <c r="AH531" s="273">
        <f t="shared" si="329"/>
        <v>6.0387795986829142E-3</v>
      </c>
      <c r="AI531" s="273">
        <f t="shared" si="329"/>
        <v>6.4060026823866056E-3</v>
      </c>
      <c r="AJ531" s="273">
        <f t="shared" si="329"/>
        <v>5.549148820411326E-3</v>
      </c>
      <c r="AK531" s="273">
        <f t="shared" si="329"/>
        <v>6.6745372276175328E-3</v>
      </c>
      <c r="AL531" s="273">
        <f t="shared" si="329"/>
        <v>5.5552048975201825E-3</v>
      </c>
      <c r="AM531" s="273">
        <f t="shared" si="329"/>
        <v>5.7210319093864564E-3</v>
      </c>
      <c r="AN531" s="224">
        <f t="shared" si="239"/>
        <v>7.2218185292958467E-2</v>
      </c>
      <c r="AO531" s="273">
        <f t="shared" ref="AO531:AY531" si="330">+AO154</f>
        <v>7.3960420784888958E-2</v>
      </c>
      <c r="AP531" s="273">
        <f t="shared" si="330"/>
        <v>7.5749862156105838E-2</v>
      </c>
      <c r="AQ531" s="273">
        <f t="shared" si="330"/>
        <v>7.8022358020789009E-2</v>
      </c>
      <c r="AR531" s="273">
        <f t="shared" si="330"/>
        <v>8.0363028761412686E-2</v>
      </c>
      <c r="AS531" s="273">
        <f t="shared" si="330"/>
        <v>8.2773919624255066E-2</v>
      </c>
      <c r="AT531" s="273">
        <f t="shared" si="330"/>
        <v>8.5257137212982725E-2</v>
      </c>
      <c r="AU531" s="273">
        <f t="shared" si="330"/>
        <v>8.7814851329372209E-2</v>
      </c>
      <c r="AV531" s="273">
        <f t="shared" si="330"/>
        <v>9.0449296869253376E-2</v>
      </c>
      <c r="AW531" s="273">
        <f t="shared" si="330"/>
        <v>9.3162775775330983E-2</v>
      </c>
      <c r="AX531" s="273">
        <f t="shared" si="330"/>
        <v>9.595765904859091E-2</v>
      </c>
      <c r="AY531" s="273">
        <f t="shared" si="330"/>
        <v>9.8836388820048637E-2</v>
      </c>
      <c r="AZ531" s="923"/>
      <c r="BA531" s="923"/>
    </row>
    <row r="532" spans="1:53">
      <c r="A532" s="874">
        <v>563.1</v>
      </c>
      <c r="B532" s="871" t="s">
        <v>984</v>
      </c>
      <c r="E532" s="277"/>
      <c r="F532" s="273"/>
      <c r="G532" s="273"/>
      <c r="H532" s="273"/>
      <c r="I532" s="273"/>
      <c r="J532" s="273"/>
      <c r="K532" s="273"/>
      <c r="L532" s="273"/>
      <c r="M532" s="273"/>
      <c r="N532" s="224">
        <f t="shared" si="297"/>
        <v>0</v>
      </c>
      <c r="O532" s="273">
        <f t="shared" ref="O532:Z532" si="331">+O63+O81+O95</f>
        <v>8.7644159999999999E-2</v>
      </c>
      <c r="P532" s="273">
        <f t="shared" si="331"/>
        <v>8.7626659999999995E-2</v>
      </c>
      <c r="Q532" s="273">
        <f t="shared" si="331"/>
        <v>9.1582521E-2</v>
      </c>
      <c r="R532" s="273">
        <f t="shared" si="331"/>
        <v>8.8722860000000001E-2</v>
      </c>
      <c r="S532" s="273">
        <f t="shared" si="331"/>
        <v>9.2802460000000003E-2</v>
      </c>
      <c r="T532" s="273">
        <f t="shared" si="331"/>
        <v>0.10098007000000001</v>
      </c>
      <c r="U532" s="273">
        <f t="shared" si="331"/>
        <v>0.10080625999999999</v>
      </c>
      <c r="V532" s="273">
        <f t="shared" si="331"/>
        <v>9.3106259999999996E-2</v>
      </c>
      <c r="W532" s="273">
        <f t="shared" si="331"/>
        <v>8.8893148999999991E-2</v>
      </c>
      <c r="X532" s="273">
        <f t="shared" si="331"/>
        <v>8.7276659999999992E-2</v>
      </c>
      <c r="Y532" s="273">
        <f t="shared" si="331"/>
        <v>8.7626659999999995E-2</v>
      </c>
      <c r="Z532" s="273">
        <f t="shared" si="331"/>
        <v>8.7614549999999999E-2</v>
      </c>
      <c r="AA532" s="224">
        <f t="shared" si="237"/>
        <v>1.0946822700000001</v>
      </c>
      <c r="AB532" s="273">
        <f t="shared" ref="AB532:AM532" si="332">+AB63+AB81+AB95</f>
        <v>9.3917897799999983E-2</v>
      </c>
      <c r="AC532" s="273">
        <f t="shared" si="332"/>
        <v>9.3899872799999992E-2</v>
      </c>
      <c r="AD532" s="273">
        <f t="shared" si="332"/>
        <v>9.8248247016199997E-2</v>
      </c>
      <c r="AE532" s="273">
        <f t="shared" si="332"/>
        <v>9.6192821869599987E-2</v>
      </c>
      <c r="AF532" s="273">
        <f t="shared" si="332"/>
        <v>0.10133000240619999</v>
      </c>
      <c r="AG532" s="273">
        <f t="shared" si="332"/>
        <v>0.10952592054499999</v>
      </c>
      <c r="AH532" s="273">
        <f t="shared" si="332"/>
        <v>0.10987846596829999</v>
      </c>
      <c r="AI532" s="273">
        <f t="shared" si="332"/>
        <v>0.10911006079999999</v>
      </c>
      <c r="AJ532" s="273">
        <f t="shared" si="332"/>
        <v>0.10139655646999998</v>
      </c>
      <c r="AK532" s="273">
        <f t="shared" si="332"/>
        <v>9.8311774236599994E-2</v>
      </c>
      <c r="AL532" s="273">
        <f t="shared" si="332"/>
        <v>9.8910391300399997E-2</v>
      </c>
      <c r="AM532" s="273">
        <f t="shared" si="332"/>
        <v>9.6757399499999994E-2</v>
      </c>
      <c r="AN532" s="224">
        <f t="shared" si="239"/>
        <v>1.2074794107122997</v>
      </c>
      <c r="AO532" s="273">
        <f t="shared" ref="AO532:AY532" si="333">+AO63+AO81+AO95</f>
        <v>1.2650238874063491</v>
      </c>
      <c r="AP532" s="273">
        <f t="shared" si="333"/>
        <v>1.3145293933961593</v>
      </c>
      <c r="AQ532" s="273">
        <f t="shared" si="333"/>
        <v>1.3539652751980444</v>
      </c>
      <c r="AR532" s="273">
        <f t="shared" si="333"/>
        <v>1.3945842334539855</v>
      </c>
      <c r="AS532" s="273">
        <f t="shared" si="333"/>
        <v>1.4364217604576053</v>
      </c>
      <c r="AT532" s="273">
        <f t="shared" si="333"/>
        <v>1.4795144132713336</v>
      </c>
      <c r="AU532" s="273">
        <f t="shared" si="333"/>
        <v>1.5238998456694737</v>
      </c>
      <c r="AV532" s="273">
        <f t="shared" si="333"/>
        <v>1.5696168410395579</v>
      </c>
      <c r="AW532" s="273">
        <f t="shared" si="333"/>
        <v>1.6167053462707446</v>
      </c>
      <c r="AX532" s="273">
        <f t="shared" si="333"/>
        <v>1.6652065066588668</v>
      </c>
      <c r="AY532" s="273">
        <f t="shared" si="333"/>
        <v>1.7151627018586331</v>
      </c>
      <c r="AZ532" s="923"/>
      <c r="BA532" s="923"/>
    </row>
    <row r="533" spans="1:53">
      <c r="A533" s="874" t="s">
        <v>649</v>
      </c>
      <c r="B533" s="871" t="s">
        <v>99</v>
      </c>
      <c r="E533" s="277"/>
      <c r="F533" s="273"/>
      <c r="G533" s="273"/>
      <c r="H533" s="273"/>
      <c r="I533" s="273"/>
      <c r="J533" s="273"/>
      <c r="K533" s="273"/>
      <c r="L533" s="273"/>
      <c r="M533" s="273"/>
      <c r="N533" s="224">
        <f t="shared" si="297"/>
        <v>0</v>
      </c>
      <c r="O533" s="273">
        <f t="shared" ref="O533:Z533" si="334">+O49</f>
        <v>0.2</v>
      </c>
      <c r="P533" s="273">
        <f t="shared" si="334"/>
        <v>0.2</v>
      </c>
      <c r="Q533" s="273">
        <f t="shared" si="334"/>
        <v>0.2</v>
      </c>
      <c r="R533" s="273">
        <f t="shared" si="334"/>
        <v>0.2</v>
      </c>
      <c r="S533" s="273">
        <f t="shared" si="334"/>
        <v>0.2</v>
      </c>
      <c r="T533" s="273">
        <f t="shared" si="334"/>
        <v>0.2</v>
      </c>
      <c r="U533" s="273">
        <f t="shared" si="334"/>
        <v>0.2</v>
      </c>
      <c r="V533" s="273">
        <f t="shared" si="334"/>
        <v>0.2</v>
      </c>
      <c r="W533" s="273">
        <f t="shared" si="334"/>
        <v>0.2</v>
      </c>
      <c r="X533" s="273">
        <f t="shared" si="334"/>
        <v>0.2</v>
      </c>
      <c r="Y533" s="273">
        <f t="shared" si="334"/>
        <v>0.2</v>
      </c>
      <c r="Z533" s="273">
        <f t="shared" si="334"/>
        <v>0.2</v>
      </c>
      <c r="AA533" s="224">
        <f t="shared" si="237"/>
        <v>2.4</v>
      </c>
      <c r="AB533" s="273">
        <f t="shared" ref="AB533:AM533" si="335">+AB49</f>
        <v>0.20599999999999999</v>
      </c>
      <c r="AC533" s="273">
        <f t="shared" si="335"/>
        <v>0.20599999999999999</v>
      </c>
      <c r="AD533" s="273">
        <f t="shared" si="335"/>
        <v>0.20599999999999999</v>
      </c>
      <c r="AE533" s="273">
        <f t="shared" si="335"/>
        <v>0.20599999999999999</v>
      </c>
      <c r="AF533" s="273">
        <f t="shared" si="335"/>
        <v>0.20599999999999999</v>
      </c>
      <c r="AG533" s="273">
        <f t="shared" si="335"/>
        <v>0.20599999999999999</v>
      </c>
      <c r="AH533" s="273">
        <f t="shared" si="335"/>
        <v>0.20599999999999999</v>
      </c>
      <c r="AI533" s="273">
        <f t="shared" si="335"/>
        <v>0.20599999999999999</v>
      </c>
      <c r="AJ533" s="273">
        <f t="shared" si="335"/>
        <v>0.20599999999999999</v>
      </c>
      <c r="AK533" s="273">
        <f t="shared" si="335"/>
        <v>0.20599999999999999</v>
      </c>
      <c r="AL533" s="273">
        <f t="shared" si="335"/>
        <v>0.20599999999999999</v>
      </c>
      <c r="AM533" s="273">
        <f t="shared" si="335"/>
        <v>0.20599999999999999</v>
      </c>
      <c r="AN533" s="224">
        <f t="shared" si="239"/>
        <v>2.472</v>
      </c>
      <c r="AO533" s="273">
        <f t="shared" ref="AO533:AY533" si="336">+AO49</f>
        <v>2.54616</v>
      </c>
      <c r="AP533" s="273">
        <f t="shared" si="336"/>
        <v>2.6225447999999996</v>
      </c>
      <c r="AQ533" s="273">
        <f t="shared" si="336"/>
        <v>2.7012211439999998</v>
      </c>
      <c r="AR533" s="273">
        <f t="shared" si="336"/>
        <v>2.78225777832</v>
      </c>
      <c r="AS533" s="273">
        <f t="shared" si="336"/>
        <v>2.8657255116695999</v>
      </c>
      <c r="AT533" s="273">
        <f t="shared" si="336"/>
        <v>2.9516972770196879</v>
      </c>
      <c r="AU533" s="273">
        <f t="shared" si="336"/>
        <v>3.0402481953302787</v>
      </c>
      <c r="AV533" s="273">
        <f t="shared" si="336"/>
        <v>3.131455641190187</v>
      </c>
      <c r="AW533" s="273">
        <f t="shared" si="336"/>
        <v>3.2253993104258929</v>
      </c>
      <c r="AX533" s="273">
        <f t="shared" si="336"/>
        <v>3.3221612897386699</v>
      </c>
      <c r="AY533" s="273">
        <f t="shared" si="336"/>
        <v>3.4218261284308302</v>
      </c>
      <c r="AZ533" s="923"/>
      <c r="BA533" s="923"/>
    </row>
    <row r="534" spans="1:53">
      <c r="A534" s="874" t="s">
        <v>757</v>
      </c>
      <c r="B534" s="871" t="s">
        <v>985</v>
      </c>
      <c r="E534" s="277"/>
      <c r="F534" s="273"/>
      <c r="G534" s="273"/>
      <c r="H534" s="273"/>
      <c r="I534" s="273"/>
      <c r="J534" s="273"/>
      <c r="K534" s="273"/>
      <c r="L534" s="273"/>
      <c r="M534" s="273"/>
      <c r="N534" s="224">
        <f t="shared" si="297"/>
        <v>0</v>
      </c>
      <c r="O534" s="273">
        <f t="shared" ref="O534:Z534" si="337">+O155</f>
        <v>1.4902622060212006E-2</v>
      </c>
      <c r="P534" s="273">
        <f t="shared" si="337"/>
        <v>1.4402534071614287E-2</v>
      </c>
      <c r="Q534" s="273">
        <f t="shared" si="337"/>
        <v>1.550272764652927E-2</v>
      </c>
      <c r="R534" s="273">
        <f t="shared" si="337"/>
        <v>1.4802604462492463E-2</v>
      </c>
      <c r="S534" s="273">
        <f t="shared" si="337"/>
        <v>1.5702762841968358E-2</v>
      </c>
      <c r="T534" s="273">
        <f t="shared" si="337"/>
        <v>1.3602393289857941E-2</v>
      </c>
      <c r="U534" s="273">
        <f t="shared" si="337"/>
        <v>1.4802604462492463E-2</v>
      </c>
      <c r="V534" s="273">
        <f t="shared" si="337"/>
        <v>1.5702762841968358E-2</v>
      </c>
      <c r="W534" s="273">
        <f t="shared" si="337"/>
        <v>1.3633215798159938E-2</v>
      </c>
      <c r="X534" s="273">
        <f t="shared" si="337"/>
        <v>1.6246142998180287E-2</v>
      </c>
      <c r="Y534" s="273">
        <f t="shared" si="337"/>
        <v>1.3521634545069309E-2</v>
      </c>
      <c r="Z534" s="273">
        <f t="shared" si="337"/>
        <v>1.3308221480305514E-2</v>
      </c>
      <c r="AA534" s="224">
        <f t="shared" si="237"/>
        <v>0.17613022649885018</v>
      </c>
      <c r="AB534" s="273">
        <f t="shared" ref="AB534:AM534" si="338">+AB155</f>
        <v>1.403961997114745E-2</v>
      </c>
      <c r="AC534" s="273">
        <f t="shared" si="338"/>
        <v>1.3568491784196196E-2</v>
      </c>
      <c r="AD534" s="273">
        <f t="shared" si="338"/>
        <v>1.4604973795488963E-2</v>
      </c>
      <c r="AE534" s="273">
        <f t="shared" si="338"/>
        <v>1.3945394333757202E-2</v>
      </c>
      <c r="AF534" s="273">
        <f t="shared" si="338"/>
        <v>1.4793425070269466E-2</v>
      </c>
      <c r="AG534" s="273">
        <f t="shared" si="338"/>
        <v>1.2814686685074184E-2</v>
      </c>
      <c r="AH534" s="273">
        <f t="shared" si="338"/>
        <v>1.3945394333757202E-2</v>
      </c>
      <c r="AI534" s="273">
        <f t="shared" si="338"/>
        <v>1.4793425070269466E-2</v>
      </c>
      <c r="AJ534" s="273">
        <f t="shared" si="338"/>
        <v>1.2828436118230598E-2</v>
      </c>
      <c r="AK534" s="273">
        <f t="shared" si="338"/>
        <v>1.5306647696206885E-2</v>
      </c>
      <c r="AL534" s="273">
        <f t="shared" si="338"/>
        <v>1.2739694355849207E-2</v>
      </c>
      <c r="AM534" s="273">
        <f t="shared" si="338"/>
        <v>1.3119983739605901E-2</v>
      </c>
      <c r="AN534" s="224">
        <f t="shared" si="239"/>
        <v>0.16650017295385272</v>
      </c>
      <c r="AO534" s="273">
        <f t="shared" ref="AO534:AY534" si="339">+AO155</f>
        <v>0.17056493774553796</v>
      </c>
      <c r="AP534" s="273">
        <f t="shared" si="339"/>
        <v>0.17457345022192991</v>
      </c>
      <c r="AQ534" s="273">
        <f t="shared" si="339"/>
        <v>0.17981065372858782</v>
      </c>
      <c r="AR534" s="273">
        <f t="shared" si="339"/>
        <v>0.18520497334044544</v>
      </c>
      <c r="AS534" s="273">
        <f t="shared" si="339"/>
        <v>0.1907611225406588</v>
      </c>
      <c r="AT534" s="273">
        <f t="shared" si="339"/>
        <v>0.19648395621687856</v>
      </c>
      <c r="AU534" s="273">
        <f t="shared" si="339"/>
        <v>0.20237847490338493</v>
      </c>
      <c r="AV534" s="273">
        <f t="shared" si="339"/>
        <v>0.20844982915048649</v>
      </c>
      <c r="AW534" s="273">
        <f t="shared" si="339"/>
        <v>0.21470332402500109</v>
      </c>
      <c r="AX534" s="273">
        <f t="shared" si="339"/>
        <v>0.22114442374575113</v>
      </c>
      <c r="AY534" s="273">
        <f t="shared" si="339"/>
        <v>0.22777875645812368</v>
      </c>
      <c r="AZ534" s="923"/>
      <c r="BA534" s="923"/>
    </row>
    <row r="535" spans="1:53">
      <c r="A535" s="874">
        <v>566.1</v>
      </c>
      <c r="B535" s="871" t="s">
        <v>985</v>
      </c>
      <c r="E535" s="277"/>
      <c r="F535" s="273"/>
      <c r="G535" s="273"/>
      <c r="H535" s="273"/>
      <c r="I535" s="273"/>
      <c r="J535" s="273"/>
      <c r="K535" s="273"/>
      <c r="L535" s="273"/>
      <c r="M535" s="273"/>
      <c r="N535" s="224">
        <f t="shared" si="297"/>
        <v>0</v>
      </c>
      <c r="O535" s="273">
        <f t="shared" ref="O535:Z535" si="340">+O96</f>
        <v>4.3128400000000001E-3</v>
      </c>
      <c r="P535" s="273">
        <f t="shared" si="340"/>
        <v>4.21734E-3</v>
      </c>
      <c r="Q535" s="273">
        <f t="shared" si="340"/>
        <v>5.9127089999999995E-3</v>
      </c>
      <c r="R535" s="273">
        <f t="shared" si="340"/>
        <v>4.6871400000000002E-3</v>
      </c>
      <c r="S535" s="273">
        <f t="shared" si="340"/>
        <v>6.43554E-3</v>
      </c>
      <c r="T535" s="273">
        <f t="shared" si="340"/>
        <v>9.9622300000000007E-3</v>
      </c>
      <c r="U535" s="273">
        <f t="shared" si="340"/>
        <v>9.8657400000000013E-3</v>
      </c>
      <c r="V535" s="273">
        <f t="shared" si="340"/>
        <v>6.8561399999999993E-3</v>
      </c>
      <c r="W535" s="273">
        <f t="shared" si="340"/>
        <v>4.760121E-3</v>
      </c>
      <c r="X535" s="273">
        <f t="shared" si="340"/>
        <v>4.06734E-3</v>
      </c>
      <c r="Y535" s="273">
        <f t="shared" si="340"/>
        <v>4.2481399999999992E-3</v>
      </c>
      <c r="Z535" s="273">
        <f t="shared" si="340"/>
        <v>4.2209500000000002E-3</v>
      </c>
      <c r="AA535" s="224">
        <f t="shared" si="237"/>
        <v>6.9546230000000001E-2</v>
      </c>
      <c r="AB535" s="273">
        <f t="shared" ref="AB535:AM535" si="341">+AB96</f>
        <v>4.4651561999999997E-3</v>
      </c>
      <c r="AC535" s="273">
        <f t="shared" si="341"/>
        <v>4.3694311999999992E-3</v>
      </c>
      <c r="AD535" s="273">
        <f t="shared" si="341"/>
        <v>6.2330201497999994E-3</v>
      </c>
      <c r="AE535" s="273">
        <f t="shared" si="341"/>
        <v>5.3521236583999997E-3</v>
      </c>
      <c r="AF535" s="273">
        <f t="shared" si="341"/>
        <v>7.5537724598000004E-3</v>
      </c>
      <c r="AG535" s="273">
        <f t="shared" si="341"/>
        <v>1.1088308805000001E-2</v>
      </c>
      <c r="AH535" s="273">
        <f t="shared" si="341"/>
        <v>1.1217399700699999E-2</v>
      </c>
      <c r="AI535" s="273">
        <f t="shared" si="341"/>
        <v>1.11872832E-2</v>
      </c>
      <c r="AJ535" s="273">
        <f t="shared" si="341"/>
        <v>7.5822956300000003E-3</v>
      </c>
      <c r="AK535" s="273">
        <f t="shared" si="341"/>
        <v>6.2602461014000001E-3</v>
      </c>
      <c r="AL535" s="273">
        <f t="shared" si="341"/>
        <v>6.5387962715999998E-3</v>
      </c>
      <c r="AM535" s="273">
        <f t="shared" si="341"/>
        <v>5.5896855000000002E-3</v>
      </c>
      <c r="AN535" s="224">
        <f t="shared" si="239"/>
        <v>8.743751887670001E-2</v>
      </c>
      <c r="AO535" s="273">
        <f t="shared" ref="AO535:AY535" si="342">+AO96</f>
        <v>8.9446294602720994E-2</v>
      </c>
      <c r="AP535" s="273">
        <f t="shared" si="342"/>
        <v>9.2764425741211007E-2</v>
      </c>
      <c r="AQ535" s="273">
        <f t="shared" si="342"/>
        <v>9.5547358513447339E-2</v>
      </c>
      <c r="AR535" s="273">
        <f t="shared" si="342"/>
        <v>9.8413779268850768E-2</v>
      </c>
      <c r="AS535" s="273">
        <f t="shared" si="342"/>
        <v>0.10136619264691629</v>
      </c>
      <c r="AT535" s="273">
        <f t="shared" si="342"/>
        <v>0.10440717842632379</v>
      </c>
      <c r="AU535" s="273">
        <f t="shared" si="342"/>
        <v>0.10753939377911351</v>
      </c>
      <c r="AV535" s="273">
        <f t="shared" si="342"/>
        <v>0.11076557559248691</v>
      </c>
      <c r="AW535" s="273">
        <f t="shared" si="342"/>
        <v>0.11408854286026152</v>
      </c>
      <c r="AX535" s="273">
        <f t="shared" si="342"/>
        <v>0.11751119914606936</v>
      </c>
      <c r="AY535" s="273">
        <f t="shared" si="342"/>
        <v>0.12103653512045144</v>
      </c>
      <c r="AZ535" s="923"/>
      <c r="BA535" s="923"/>
    </row>
    <row r="536" spans="1:53">
      <c r="A536" s="874" t="s">
        <v>794</v>
      </c>
      <c r="B536" s="871" t="s">
        <v>986</v>
      </c>
      <c r="E536" s="277"/>
      <c r="F536" s="273"/>
      <c r="G536" s="273"/>
      <c r="H536" s="273"/>
      <c r="I536" s="273"/>
      <c r="J536" s="273"/>
      <c r="K536" s="273"/>
      <c r="L536" s="273"/>
      <c r="M536" s="273"/>
      <c r="N536" s="224">
        <f t="shared" si="297"/>
        <v>0</v>
      </c>
      <c r="O536" s="273">
        <f t="shared" ref="O536:Z536" si="343">+O156</f>
        <v>2.1069584818776396E-2</v>
      </c>
      <c r="P536" s="273">
        <f t="shared" si="343"/>
        <v>2.036255177116645E-2</v>
      </c>
      <c r="Q536" s="273">
        <f t="shared" si="343"/>
        <v>2.1918024475908335E-2</v>
      </c>
      <c r="R536" s="273">
        <f t="shared" si="343"/>
        <v>2.0928178209254408E-2</v>
      </c>
      <c r="S536" s="273">
        <f t="shared" si="343"/>
        <v>2.2200837694952315E-2</v>
      </c>
      <c r="T536" s="273">
        <f t="shared" si="343"/>
        <v>1.9231298894990537E-2</v>
      </c>
      <c r="U536" s="273">
        <f t="shared" si="343"/>
        <v>2.0928178209254408E-2</v>
      </c>
      <c r="V536" s="273">
        <f t="shared" si="343"/>
        <v>2.2200837694952315E-2</v>
      </c>
      <c r="W536" s="273">
        <f t="shared" si="343"/>
        <v>1.9262121403292535E-2</v>
      </c>
      <c r="X536" s="273">
        <f t="shared" si="343"/>
        <v>2.3016595253144385E-2</v>
      </c>
      <c r="Y536" s="273">
        <f t="shared" si="343"/>
        <v>1.9156669341126382E-2</v>
      </c>
      <c r="Z536" s="273">
        <f t="shared" si="343"/>
        <v>1.9111466270274741E-2</v>
      </c>
      <c r="AA536" s="224">
        <f t="shared" si="237"/>
        <v>0.24938634403709323</v>
      </c>
      <c r="AB536" s="273">
        <f t="shared" ref="AB536:AM536" si="344">+AB156</f>
        <v>2.0119202134686331E-2</v>
      </c>
      <c r="AC536" s="273">
        <f t="shared" si="344"/>
        <v>1.9444061123455248E-2</v>
      </c>
      <c r="AD536" s="273">
        <f t="shared" si="344"/>
        <v>2.0929371348163632E-2</v>
      </c>
      <c r="AE536" s="273">
        <f t="shared" si="344"/>
        <v>1.9984173932440116E-2</v>
      </c>
      <c r="AF536" s="273">
        <f t="shared" si="344"/>
        <v>2.1199427752656073E-2</v>
      </c>
      <c r="AG536" s="273">
        <f t="shared" si="344"/>
        <v>1.8363835505485513E-2</v>
      </c>
      <c r="AH536" s="273">
        <f t="shared" si="344"/>
        <v>1.9984173932440116E-2</v>
      </c>
      <c r="AI536" s="273">
        <f t="shared" si="344"/>
        <v>2.1199427752656073E-2</v>
      </c>
      <c r="AJ536" s="273">
        <f t="shared" si="344"/>
        <v>1.8377584938641923E-2</v>
      </c>
      <c r="AK536" s="273">
        <f t="shared" si="344"/>
        <v>2.1981184923824417E-2</v>
      </c>
      <c r="AL536" s="273">
        <f t="shared" si="344"/>
        <v>1.8294899253369388E-2</v>
      </c>
      <c r="AM536" s="273">
        <f t="shared" si="344"/>
        <v>1.8841015648992359E-2</v>
      </c>
      <c r="AN536" s="224">
        <f t="shared" si="239"/>
        <v>0.23871835824681115</v>
      </c>
      <c r="AO536" s="273">
        <f t="shared" ref="AO536:AY536" si="345">+AO156</f>
        <v>0.24452535853042695</v>
      </c>
      <c r="AP536" s="273">
        <f t="shared" si="345"/>
        <v>0.25032331237803573</v>
      </c>
      <c r="AQ536" s="273">
        <f t="shared" si="345"/>
        <v>0.25783301174937684</v>
      </c>
      <c r="AR536" s="273">
        <f t="shared" si="345"/>
        <v>0.26556800210185816</v>
      </c>
      <c r="AS536" s="273">
        <f t="shared" si="345"/>
        <v>0.27353504216491392</v>
      </c>
      <c r="AT536" s="273">
        <f t="shared" si="345"/>
        <v>0.28174109342986137</v>
      </c>
      <c r="AU536" s="273">
        <f t="shared" si="345"/>
        <v>0.29019332623275723</v>
      </c>
      <c r="AV536" s="273">
        <f t="shared" si="345"/>
        <v>0.29889912601973995</v>
      </c>
      <c r="AW536" s="273">
        <f t="shared" si="345"/>
        <v>0.30786609980033214</v>
      </c>
      <c r="AX536" s="273">
        <f t="shared" si="345"/>
        <v>0.3171020827943421</v>
      </c>
      <c r="AY536" s="273">
        <f t="shared" si="345"/>
        <v>0.32661514527817237</v>
      </c>
      <c r="AZ536" s="923"/>
      <c r="BA536" s="923"/>
    </row>
    <row r="537" spans="1:53">
      <c r="A537" s="874">
        <v>566.20000000000005</v>
      </c>
      <c r="B537" s="871" t="s">
        <v>986</v>
      </c>
      <c r="E537" s="277"/>
      <c r="F537" s="273"/>
      <c r="G537" s="273"/>
      <c r="H537" s="273"/>
      <c r="I537" s="273"/>
      <c r="J537" s="273"/>
      <c r="K537" s="273"/>
      <c r="L537" s="273"/>
      <c r="M537" s="273"/>
      <c r="N537" s="224">
        <f t="shared" si="297"/>
        <v>0</v>
      </c>
      <c r="O537" s="273">
        <f t="shared" ref="O537:Z537" si="346">+O97</f>
        <v>6.5243999999999996E-3</v>
      </c>
      <c r="P537" s="273">
        <f t="shared" si="346"/>
        <v>6.5118999999999993E-3</v>
      </c>
      <c r="Q537" s="273">
        <f t="shared" si="346"/>
        <v>9.3375149999999994E-3</v>
      </c>
      <c r="R537" s="273">
        <f t="shared" si="346"/>
        <v>7.2949E-3</v>
      </c>
      <c r="S537" s="273">
        <f t="shared" si="346"/>
        <v>1.02089E-2</v>
      </c>
      <c r="T537" s="273">
        <f t="shared" si="346"/>
        <v>1.605005E-2</v>
      </c>
      <c r="U537" s="273">
        <f t="shared" si="346"/>
        <v>1.59259E-2</v>
      </c>
      <c r="V537" s="273">
        <f t="shared" si="346"/>
        <v>1.04259E-2</v>
      </c>
      <c r="W537" s="273">
        <f t="shared" si="346"/>
        <v>7.4165350000000001E-3</v>
      </c>
      <c r="X537" s="273">
        <f t="shared" si="346"/>
        <v>6.2618999999999999E-3</v>
      </c>
      <c r="Y537" s="273">
        <f t="shared" si="346"/>
        <v>6.5118999999999993E-3</v>
      </c>
      <c r="Z537" s="273">
        <f t="shared" si="346"/>
        <v>6.5032500000000003E-3</v>
      </c>
      <c r="AA537" s="224">
        <f t="shared" si="237"/>
        <v>0.10897305000000002</v>
      </c>
      <c r="AB537" s="273">
        <f t="shared" ref="AB537:AM537" si="347">+AB97</f>
        <v>6.7599269999999998E-3</v>
      </c>
      <c r="AC537" s="273">
        <f t="shared" si="347"/>
        <v>6.7470519999999999E-3</v>
      </c>
      <c r="AD537" s="273">
        <f t="shared" si="347"/>
        <v>9.8530335830000013E-3</v>
      </c>
      <c r="AE537" s="273">
        <f t="shared" si="347"/>
        <v>8.384872764000002E-3</v>
      </c>
      <c r="AF537" s="273">
        <f t="shared" si="347"/>
        <v>1.2054287432999999E-2</v>
      </c>
      <c r="AG537" s="273">
        <f t="shared" si="347"/>
        <v>1.7908514674999997E-2</v>
      </c>
      <c r="AH537" s="273">
        <f t="shared" si="347"/>
        <v>1.8160332834500002E-2</v>
      </c>
      <c r="AI537" s="273">
        <f t="shared" si="347"/>
        <v>1.7611472000000003E-2</v>
      </c>
      <c r="AJ537" s="273">
        <f t="shared" si="347"/>
        <v>1.210182605E-2</v>
      </c>
      <c r="AK537" s="273">
        <f t="shared" si="347"/>
        <v>9.8984101689999996E-3</v>
      </c>
      <c r="AL537" s="273">
        <f t="shared" si="347"/>
        <v>1.0325993786E-2</v>
      </c>
      <c r="AM537" s="273">
        <f t="shared" si="347"/>
        <v>8.7881425000000003E-3</v>
      </c>
      <c r="AN537" s="224">
        <f t="shared" si="239"/>
        <v>0.13859386479450003</v>
      </c>
      <c r="AO537" s="273">
        <f t="shared" ref="AO537:AY537" si="348">+AO97</f>
        <v>0.14164849100453503</v>
      </c>
      <c r="AP537" s="273">
        <f t="shared" si="348"/>
        <v>0.14699170956868504</v>
      </c>
      <c r="AQ537" s="273">
        <f t="shared" si="348"/>
        <v>0.1514014608557456</v>
      </c>
      <c r="AR537" s="273">
        <f t="shared" si="348"/>
        <v>0.15594350468141796</v>
      </c>
      <c r="AS537" s="273">
        <f t="shared" si="348"/>
        <v>0.1606218098218605</v>
      </c>
      <c r="AT537" s="273">
        <f t="shared" si="348"/>
        <v>0.16544046411651633</v>
      </c>
      <c r="AU537" s="273">
        <f t="shared" si="348"/>
        <v>0.17040367804001183</v>
      </c>
      <c r="AV537" s="273">
        <f t="shared" si="348"/>
        <v>0.17551578838121218</v>
      </c>
      <c r="AW537" s="273">
        <f t="shared" si="348"/>
        <v>0.18078126203264855</v>
      </c>
      <c r="AX537" s="273">
        <f t="shared" si="348"/>
        <v>0.18620469989362801</v>
      </c>
      <c r="AY537" s="273">
        <f t="shared" si="348"/>
        <v>0.19179084089043685</v>
      </c>
      <c r="AZ537" s="923"/>
      <c r="BA537" s="923"/>
    </row>
    <row r="538" spans="1:53">
      <c r="A538" s="874" t="s">
        <v>100</v>
      </c>
      <c r="B538" s="871" t="s">
        <v>101</v>
      </c>
      <c r="E538" s="277"/>
      <c r="F538" s="273"/>
      <c r="G538" s="273"/>
      <c r="H538" s="273"/>
      <c r="I538" s="273"/>
      <c r="J538" s="273"/>
      <c r="K538" s="273"/>
      <c r="L538" s="273"/>
      <c r="M538" s="273"/>
      <c r="N538" s="224">
        <f t="shared" si="297"/>
        <v>0</v>
      </c>
      <c r="O538" s="273">
        <f t="shared" ref="O538:Z538" si="349">+O9+O43</f>
        <v>9.2622699999999995E-3</v>
      </c>
      <c r="P538" s="273">
        <f t="shared" si="349"/>
        <v>7.4199699999999988E-3</v>
      </c>
      <c r="Q538" s="273">
        <f t="shared" si="349"/>
        <v>4.4046699999999994E-3</v>
      </c>
      <c r="R538" s="273">
        <f t="shared" si="349"/>
        <v>4.2218199999999994E-3</v>
      </c>
      <c r="S538" s="273">
        <f t="shared" si="349"/>
        <v>2.9832700000000005E-3</v>
      </c>
      <c r="T538" s="273">
        <f t="shared" si="349"/>
        <v>4.3839700000000001E-3</v>
      </c>
      <c r="U538" s="273">
        <f t="shared" si="349"/>
        <v>3.7940200000000004E-3</v>
      </c>
      <c r="V538" s="273">
        <f t="shared" si="349"/>
        <v>6.4677699999999994E-3</v>
      </c>
      <c r="W538" s="273">
        <f t="shared" si="349"/>
        <v>4.7703699999999995E-3</v>
      </c>
      <c r="X538" s="273">
        <f t="shared" si="349"/>
        <v>3.7250200000000003E-3</v>
      </c>
      <c r="Y538" s="273">
        <f t="shared" si="349"/>
        <v>3.2972200000000004E-3</v>
      </c>
      <c r="Z538" s="273">
        <f t="shared" si="349"/>
        <v>2.8073199999999999E-3</v>
      </c>
      <c r="AA538" s="224">
        <f t="shared" si="237"/>
        <v>5.7537689999999996E-2</v>
      </c>
      <c r="AB538" s="273">
        <f t="shared" ref="AB538:AM538" si="350">+AB9+AB43</f>
        <v>9.420969999999999E-3</v>
      </c>
      <c r="AC538" s="273">
        <f t="shared" si="350"/>
        <v>7.6649199999999995E-3</v>
      </c>
      <c r="AD538" s="273">
        <f t="shared" si="350"/>
        <v>4.5185199999999998E-3</v>
      </c>
      <c r="AE538" s="273">
        <f t="shared" si="350"/>
        <v>4.3494700000000002E-3</v>
      </c>
      <c r="AF538" s="273">
        <f t="shared" si="350"/>
        <v>3.0971200000000005E-3</v>
      </c>
      <c r="AG538" s="273">
        <f t="shared" si="350"/>
        <v>4.5288699999999991E-3</v>
      </c>
      <c r="AH538" s="273">
        <f t="shared" si="350"/>
        <v>3.9078699999999999E-3</v>
      </c>
      <c r="AI538" s="273">
        <f t="shared" si="350"/>
        <v>6.5816199999999998E-3</v>
      </c>
      <c r="AJ538" s="273">
        <f t="shared" si="350"/>
        <v>4.8980200000000003E-3</v>
      </c>
      <c r="AK538" s="273">
        <f t="shared" si="350"/>
        <v>3.9078699999999999E-3</v>
      </c>
      <c r="AL538" s="273">
        <f t="shared" si="350"/>
        <v>3.4559200000000003E-3</v>
      </c>
      <c r="AM538" s="273">
        <f t="shared" si="350"/>
        <v>2.7969700000000002E-3</v>
      </c>
      <c r="AN538" s="224">
        <f t="shared" si="239"/>
        <v>5.912814000000001E-2</v>
      </c>
      <c r="AO538" s="273">
        <f t="shared" ref="AO538:AY538" si="351">+AO9+AO43</f>
        <v>6.0608189999999999E-2</v>
      </c>
      <c r="AP538" s="273">
        <f t="shared" si="351"/>
        <v>6.3433739999999988E-2</v>
      </c>
      <c r="AQ538" s="273">
        <f t="shared" si="351"/>
        <v>6.5229050999999996E-2</v>
      </c>
      <c r="AR538" s="273">
        <f t="shared" si="351"/>
        <v>6.7078221329999993E-2</v>
      </c>
      <c r="AS538" s="273">
        <f t="shared" si="351"/>
        <v>6.8982866769899995E-2</v>
      </c>
      <c r="AT538" s="273">
        <f t="shared" si="351"/>
        <v>7.0944651572996995E-2</v>
      </c>
      <c r="AU538" s="273">
        <f t="shared" si="351"/>
        <v>7.2965289920186902E-2</v>
      </c>
      <c r="AV538" s="273">
        <f t="shared" si="351"/>
        <v>7.5046547417792514E-2</v>
      </c>
      <c r="AW538" s="273">
        <f t="shared" si="351"/>
        <v>7.7190242640326298E-2</v>
      </c>
      <c r="AX538" s="273">
        <f t="shared" si="351"/>
        <v>7.9398248719536088E-2</v>
      </c>
      <c r="AY538" s="273">
        <f t="shared" si="351"/>
        <v>8.1672494981122168E-2</v>
      </c>
      <c r="AZ538" s="923"/>
      <c r="BA538" s="923"/>
    </row>
    <row r="539" spans="1:53">
      <c r="A539" s="874" t="s">
        <v>796</v>
      </c>
      <c r="B539" s="871" t="s">
        <v>987</v>
      </c>
      <c r="E539" s="277"/>
      <c r="F539" s="273"/>
      <c r="G539" s="273"/>
      <c r="H539" s="273"/>
      <c r="I539" s="273"/>
      <c r="J539" s="273"/>
      <c r="K539" s="273"/>
      <c r="L539" s="273"/>
      <c r="M539" s="273"/>
      <c r="N539" s="224">
        <f t="shared" si="297"/>
        <v>0</v>
      </c>
      <c r="O539" s="273">
        <f t="shared" ref="O539:Z539" si="352">+O157</f>
        <v>1.1105829249790885E-2</v>
      </c>
      <c r="P539" s="273">
        <f t="shared" si="352"/>
        <v>6.3546269259724007E-3</v>
      </c>
      <c r="Q539" s="273">
        <f t="shared" si="352"/>
        <v>1.3372720383730702E-3</v>
      </c>
      <c r="R539" s="273">
        <f t="shared" si="352"/>
        <v>-3.4244112149728126E-3</v>
      </c>
      <c r="S539" s="273">
        <f t="shared" si="352"/>
        <v>-1.8022470320995345E-3</v>
      </c>
      <c r="T539" s="273">
        <f t="shared" si="352"/>
        <v>4.9127032078628242E-3</v>
      </c>
      <c r="U539" s="273">
        <f t="shared" si="352"/>
        <v>7.0755887850271889E-3</v>
      </c>
      <c r="V539" s="273">
        <f t="shared" si="352"/>
        <v>9.0477529679004621E-3</v>
      </c>
      <c r="W539" s="273">
        <f t="shared" si="352"/>
        <v>-1.7005132578712591E-3</v>
      </c>
      <c r="X539" s="273">
        <f t="shared" si="352"/>
        <v>-5.8091860491547235E-4</v>
      </c>
      <c r="Y539" s="273">
        <f t="shared" si="352"/>
        <v>5.3773720928032695E-3</v>
      </c>
      <c r="Z539" s="273">
        <f t="shared" si="352"/>
        <v>1.6602069767215313E-2</v>
      </c>
      <c r="AA539" s="224">
        <f t="shared" si="237"/>
        <v>5.4305124925086337E-2</v>
      </c>
      <c r="AB539" s="273">
        <f t="shared" ref="AB539:AM539" si="353">+AB157</f>
        <v>1.0771747640829938E-2</v>
      </c>
      <c r="AC539" s="273">
        <f t="shared" si="353"/>
        <v>6.0317561092584626E-3</v>
      </c>
      <c r="AD539" s="273">
        <f t="shared" si="353"/>
        <v>9.8973747871570691E-4</v>
      </c>
      <c r="AE539" s="273">
        <f t="shared" si="353"/>
        <v>-3.7562506654843599E-3</v>
      </c>
      <c r="AF539" s="273">
        <f t="shared" si="353"/>
        <v>-2.1542659086557043E-3</v>
      </c>
      <c r="AG539" s="273">
        <f t="shared" si="353"/>
        <v>4.6077696587441029E-3</v>
      </c>
      <c r="AH539" s="273">
        <f t="shared" si="353"/>
        <v>6.7437493345156429E-3</v>
      </c>
      <c r="AI539" s="273">
        <f t="shared" si="353"/>
        <v>8.6957340913442968E-3</v>
      </c>
      <c r="AJ539" s="273">
        <f t="shared" si="353"/>
        <v>-2.0422303412558985E-3</v>
      </c>
      <c r="AK539" s="273">
        <f t="shared" si="353"/>
        <v>-9.4279173334333246E-4</v>
      </c>
      <c r="AL539" s="273">
        <f t="shared" si="353"/>
        <v>5.0761857623105207E-3</v>
      </c>
      <c r="AM539" s="273">
        <f t="shared" si="353"/>
        <v>1.629189279999143E-2</v>
      </c>
      <c r="AN539" s="224">
        <f t="shared" si="239"/>
        <v>5.0313034226970803E-2</v>
      </c>
      <c r="AO539" s="273">
        <f t="shared" ref="AO539:AY539" si="354">+AO157</f>
        <v>5.8042503089565767E-2</v>
      </c>
      <c r="AP539" s="273">
        <f t="shared" si="354"/>
        <v>6.5503024545809183E-2</v>
      </c>
      <c r="AQ539" s="273">
        <f t="shared" si="354"/>
        <v>6.7468115282183466E-2</v>
      </c>
      <c r="AR539" s="273">
        <f t="shared" si="354"/>
        <v>6.9492158740648971E-2</v>
      </c>
      <c r="AS539" s="273">
        <f t="shared" si="354"/>
        <v>7.1576923502868442E-2</v>
      </c>
      <c r="AT539" s="273">
        <f t="shared" si="354"/>
        <v>7.3724231207954502E-2</v>
      </c>
      <c r="AU539" s="273">
        <f t="shared" si="354"/>
        <v>7.5935958144193141E-2</v>
      </c>
      <c r="AV539" s="273">
        <f t="shared" si="354"/>
        <v>7.821403688851894E-2</v>
      </c>
      <c r="AW539" s="273">
        <f t="shared" si="354"/>
        <v>8.0560457995174514E-2</v>
      </c>
      <c r="AX539" s="273">
        <f t="shared" si="354"/>
        <v>8.2977271735029751E-2</v>
      </c>
      <c r="AY539" s="273">
        <f t="shared" si="354"/>
        <v>8.5466589887080641E-2</v>
      </c>
      <c r="AZ539" s="923"/>
      <c r="BA539" s="923"/>
    </row>
    <row r="540" spans="1:53">
      <c r="A540" s="874">
        <v>568.1</v>
      </c>
      <c r="B540" s="871" t="s">
        <v>987</v>
      </c>
      <c r="E540" s="277"/>
      <c r="F540" s="273"/>
      <c r="G540" s="273"/>
      <c r="H540" s="273"/>
      <c r="I540" s="273"/>
      <c r="J540" s="273"/>
      <c r="K540" s="273"/>
      <c r="L540" s="273"/>
      <c r="M540" s="273"/>
      <c r="N540" s="224">
        <f t="shared" si="297"/>
        <v>0</v>
      </c>
      <c r="O540" s="273">
        <f t="shared" ref="O540:Z540" si="355">+O100</f>
        <v>1.3201930000000001E-2</v>
      </c>
      <c r="P540" s="273">
        <f t="shared" si="355"/>
        <v>4.7897300000000007E-3</v>
      </c>
      <c r="Q540" s="273">
        <f t="shared" si="355"/>
        <v>2.8467129999999997E-2</v>
      </c>
      <c r="R540" s="273">
        <f t="shared" si="355"/>
        <v>4.6507300000000005E-3</v>
      </c>
      <c r="S540" s="273">
        <f t="shared" si="355"/>
        <v>5.0271300000000003E-3</v>
      </c>
      <c r="T540" s="273">
        <f t="shared" si="355"/>
        <v>2.8411129999999996E-2</v>
      </c>
      <c r="U540" s="273">
        <f t="shared" si="355"/>
        <v>4.6907300000000006E-3</v>
      </c>
      <c r="V540" s="273">
        <f t="shared" si="355"/>
        <v>4.7677300000000004E-3</v>
      </c>
      <c r="W540" s="273">
        <f t="shared" si="355"/>
        <v>2.8427129999999998E-2</v>
      </c>
      <c r="X540" s="273">
        <f t="shared" si="355"/>
        <v>4.6573299999999986E-3</v>
      </c>
      <c r="Y540" s="273">
        <f t="shared" si="355"/>
        <v>4.6511299999999998E-3</v>
      </c>
      <c r="Z540" s="273">
        <f t="shared" si="355"/>
        <v>2.9413930000000001E-2</v>
      </c>
      <c r="AA540" s="224">
        <f t="shared" si="237"/>
        <v>0.16115575999999998</v>
      </c>
      <c r="AB540" s="273">
        <f t="shared" ref="AB540:AM540" si="356">+AB100</f>
        <v>1.2833184499999999E-2</v>
      </c>
      <c r="AC540" s="273">
        <f t="shared" si="356"/>
        <v>4.6720844999999997E-3</v>
      </c>
      <c r="AD540" s="273">
        <f t="shared" si="356"/>
        <v>3.9200984500000008E-2</v>
      </c>
      <c r="AE540" s="273">
        <f t="shared" si="356"/>
        <v>4.5320845000000002E-3</v>
      </c>
      <c r="AF540" s="273">
        <f t="shared" si="356"/>
        <v>4.6589844999999994E-3</v>
      </c>
      <c r="AG540" s="273">
        <f t="shared" si="356"/>
        <v>2.9243484500000003E-2</v>
      </c>
      <c r="AH540" s="273">
        <f t="shared" si="356"/>
        <v>4.5735845000000001E-3</v>
      </c>
      <c r="AI540" s="273">
        <f t="shared" si="356"/>
        <v>4.6704844999999997E-3</v>
      </c>
      <c r="AJ540" s="273">
        <f t="shared" si="356"/>
        <v>2.9258984500000002E-2</v>
      </c>
      <c r="AK540" s="273">
        <f t="shared" si="356"/>
        <v>4.5386845E-3</v>
      </c>
      <c r="AL540" s="273">
        <f t="shared" si="356"/>
        <v>4.5310845000000001E-3</v>
      </c>
      <c r="AM540" s="273">
        <f t="shared" si="356"/>
        <v>3.0292984500000002E-2</v>
      </c>
      <c r="AN540" s="224">
        <f t="shared" si="239"/>
        <v>0.17300661400000003</v>
      </c>
      <c r="AO540" s="273">
        <f t="shared" ref="AO540:AY540" si="357">+AO100</f>
        <v>0.17072340799999999</v>
      </c>
      <c r="AP540" s="273">
        <f t="shared" si="357"/>
        <v>0.1774916</v>
      </c>
      <c r="AQ540" s="273">
        <f t="shared" si="357"/>
        <v>0.18281634800000002</v>
      </c>
      <c r="AR540" s="273">
        <f t="shared" si="357"/>
        <v>0.18830083844000003</v>
      </c>
      <c r="AS540" s="273">
        <f t="shared" si="357"/>
        <v>0.19394986359320004</v>
      </c>
      <c r="AT540" s="273">
        <f t="shared" si="357"/>
        <v>0.19976835950099606</v>
      </c>
      <c r="AU540" s="273">
        <f t="shared" si="357"/>
        <v>0.20576141028602593</v>
      </c>
      <c r="AV540" s="273">
        <f t="shared" si="357"/>
        <v>0.21193425259460671</v>
      </c>
      <c r="AW540" s="273">
        <f t="shared" si="357"/>
        <v>0.21829228017244492</v>
      </c>
      <c r="AX540" s="273">
        <f t="shared" si="357"/>
        <v>0.22484104857761827</v>
      </c>
      <c r="AY540" s="273">
        <f t="shared" si="357"/>
        <v>0.23158628003494683</v>
      </c>
      <c r="AZ540" s="923"/>
      <c r="BA540" s="923"/>
    </row>
    <row r="541" spans="1:53">
      <c r="A541" s="874" t="s">
        <v>798</v>
      </c>
      <c r="B541" s="871" t="s">
        <v>988</v>
      </c>
      <c r="E541" s="277"/>
      <c r="F541" s="273"/>
      <c r="G541" s="273"/>
      <c r="H541" s="273"/>
      <c r="I541" s="273"/>
      <c r="J541" s="273"/>
      <c r="K541" s="273"/>
      <c r="L541" s="273"/>
      <c r="M541" s="273"/>
      <c r="N541" s="224">
        <f t="shared" si="297"/>
        <v>0</v>
      </c>
      <c r="O541" s="273">
        <f t="shared" ref="O541:Z541" si="358">+O158</f>
        <v>2.6975492651909044E-2</v>
      </c>
      <c r="P541" s="273">
        <f t="shared" si="358"/>
        <v>2.6070274777683901E-2</v>
      </c>
      <c r="Q541" s="273">
        <f t="shared" si="358"/>
        <v>2.8061754100979209E-2</v>
      </c>
      <c r="R541" s="273">
        <f t="shared" si="358"/>
        <v>2.6794449077064013E-2</v>
      </c>
      <c r="S541" s="273">
        <f t="shared" si="358"/>
        <v>2.8423841250669258E-2</v>
      </c>
      <c r="T541" s="273">
        <f t="shared" si="358"/>
        <v>2.4621926178923691E-2</v>
      </c>
      <c r="U541" s="273">
        <f t="shared" si="358"/>
        <v>2.6794449077064013E-2</v>
      </c>
      <c r="V541" s="273">
        <f t="shared" si="358"/>
        <v>2.8423841250669258E-2</v>
      </c>
      <c r="W541" s="273">
        <f t="shared" si="358"/>
        <v>2.4658709713189612E-2</v>
      </c>
      <c r="X541" s="273">
        <f t="shared" si="358"/>
        <v>2.9298382118178645E-2</v>
      </c>
      <c r="Y541" s="273">
        <f t="shared" si="358"/>
        <v>2.438498884370148E-2</v>
      </c>
      <c r="Z541" s="273">
        <f t="shared" si="358"/>
        <v>2.511289895843884E-2</v>
      </c>
      <c r="AA541" s="224">
        <f t="shared" si="237"/>
        <v>0.31962100799847099</v>
      </c>
      <c r="AB541" s="273">
        <f t="shared" ref="AB541:AM541" si="359">+AB158</f>
        <v>2.6639661766990359E-2</v>
      </c>
      <c r="AC541" s="273">
        <f t="shared" si="359"/>
        <v>2.5745713385547733E-2</v>
      </c>
      <c r="AD541" s="273">
        <f t="shared" si="359"/>
        <v>2.7712399824721515E-2</v>
      </c>
      <c r="AE541" s="273">
        <f t="shared" si="359"/>
        <v>2.6460872090701835E-2</v>
      </c>
      <c r="AF541" s="273">
        <f t="shared" si="359"/>
        <v>2.806997917729857E-2</v>
      </c>
      <c r="AG541" s="273">
        <f t="shared" si="359"/>
        <v>2.4315395975239525E-2</v>
      </c>
      <c r="AH541" s="273">
        <f t="shared" si="359"/>
        <v>2.6460872090701835E-2</v>
      </c>
      <c r="AI541" s="273">
        <f t="shared" si="359"/>
        <v>2.806997917729857E-2</v>
      </c>
      <c r="AJ541" s="273">
        <f t="shared" si="359"/>
        <v>2.4315395975239525E-2</v>
      </c>
      <c r="AK541" s="273">
        <f t="shared" si="359"/>
        <v>2.893461883250787E-2</v>
      </c>
      <c r="AL541" s="273">
        <f t="shared" si="359"/>
        <v>2.4082229338857484E-2</v>
      </c>
      <c r="AM541" s="273">
        <f t="shared" si="359"/>
        <v>2.4801101856435314E-2</v>
      </c>
      <c r="AN541" s="224">
        <f t="shared" si="239"/>
        <v>0.31560821949154011</v>
      </c>
      <c r="AO541" s="273">
        <f t="shared" ref="AO541:AY541" si="360">+AO158</f>
        <v>0.32337138222309486</v>
      </c>
      <c r="AP541" s="273">
        <f t="shared" si="360"/>
        <v>0.33086463336189526</v>
      </c>
      <c r="AQ541" s="273">
        <f t="shared" si="360"/>
        <v>0.34079057236275212</v>
      </c>
      <c r="AR541" s="273">
        <f t="shared" si="360"/>
        <v>0.35101428953363467</v>
      </c>
      <c r="AS541" s="273">
        <f t="shared" si="360"/>
        <v>0.36154471821964373</v>
      </c>
      <c r="AT541" s="273">
        <f t="shared" si="360"/>
        <v>0.37239105976623305</v>
      </c>
      <c r="AU541" s="273">
        <f t="shared" si="360"/>
        <v>0.38356279155922007</v>
      </c>
      <c r="AV541" s="273">
        <f t="shared" si="360"/>
        <v>0.39506967530599668</v>
      </c>
      <c r="AW541" s="273">
        <f t="shared" si="360"/>
        <v>0.40692176556517662</v>
      </c>
      <c r="AX541" s="273">
        <f t="shared" si="360"/>
        <v>0.41912941853213193</v>
      </c>
      <c r="AY541" s="273">
        <f t="shared" si="360"/>
        <v>0.4317033010880959</v>
      </c>
      <c r="AZ541" s="923"/>
      <c r="BA541" s="923"/>
    </row>
    <row r="542" spans="1:53">
      <c r="A542" s="874" t="s">
        <v>102</v>
      </c>
      <c r="B542" s="871" t="s">
        <v>989</v>
      </c>
      <c r="E542" s="277"/>
      <c r="F542" s="273"/>
      <c r="G542" s="273"/>
      <c r="H542" s="273"/>
      <c r="I542" s="273"/>
      <c r="J542" s="273"/>
      <c r="K542" s="273"/>
      <c r="L542" s="273"/>
      <c r="M542" s="273"/>
      <c r="N542" s="224">
        <f t="shared" si="297"/>
        <v>0</v>
      </c>
      <c r="O542" s="273">
        <f t="shared" ref="O542:Z542" si="361">O159</f>
        <v>-9.1999999999999998E-3</v>
      </c>
      <c r="P542" s="273">
        <f t="shared" si="361"/>
        <v>-9.1999999999999998E-3</v>
      </c>
      <c r="Q542" s="273">
        <f t="shared" si="361"/>
        <v>-9.1999999999999998E-3</v>
      </c>
      <c r="R542" s="273">
        <f t="shared" si="361"/>
        <v>-9.1999999999999998E-3</v>
      </c>
      <c r="S542" s="273">
        <f t="shared" si="361"/>
        <v>-9.1999999999999998E-3</v>
      </c>
      <c r="T542" s="273">
        <f t="shared" si="361"/>
        <v>-9.1999999999999998E-3</v>
      </c>
      <c r="U542" s="273">
        <f t="shared" si="361"/>
        <v>-9.1999999999999998E-3</v>
      </c>
      <c r="V542" s="273">
        <f t="shared" si="361"/>
        <v>-9.1999999999999998E-3</v>
      </c>
      <c r="W542" s="273">
        <f t="shared" si="361"/>
        <v>-9.1999999999999998E-3</v>
      </c>
      <c r="X542" s="273">
        <f t="shared" si="361"/>
        <v>-9.1999999999999998E-3</v>
      </c>
      <c r="Y542" s="273">
        <f t="shared" si="361"/>
        <v>-8.0000000000000002E-3</v>
      </c>
      <c r="Z542" s="273">
        <f t="shared" si="361"/>
        <v>-8.0000000000000002E-3</v>
      </c>
      <c r="AA542" s="224">
        <f t="shared" si="237"/>
        <v>-0.10800000000000001</v>
      </c>
      <c r="AB542" s="273">
        <f t="shared" ref="AB542:AM542" si="362">AB159</f>
        <v>-9.1999999999999998E-3</v>
      </c>
      <c r="AC542" s="273">
        <f t="shared" si="362"/>
        <v>-9.1999999999999998E-3</v>
      </c>
      <c r="AD542" s="273">
        <f t="shared" si="362"/>
        <v>-9.1999999999999998E-3</v>
      </c>
      <c r="AE542" s="273">
        <f t="shared" si="362"/>
        <v>-9.1999999999999998E-3</v>
      </c>
      <c r="AF542" s="273">
        <f t="shared" si="362"/>
        <v>-9.1999999999999998E-3</v>
      </c>
      <c r="AG542" s="273">
        <f t="shared" si="362"/>
        <v>-9.1999999999999998E-3</v>
      </c>
      <c r="AH542" s="273">
        <f t="shared" si="362"/>
        <v>-9.1999999999999998E-3</v>
      </c>
      <c r="AI542" s="273">
        <f t="shared" si="362"/>
        <v>-9.1999999999999998E-3</v>
      </c>
      <c r="AJ542" s="273">
        <f t="shared" si="362"/>
        <v>-9.1999999999999998E-3</v>
      </c>
      <c r="AK542" s="273">
        <f t="shared" si="362"/>
        <v>-9.1999999999999998E-3</v>
      </c>
      <c r="AL542" s="273">
        <f t="shared" si="362"/>
        <v>-8.0000000000000002E-3</v>
      </c>
      <c r="AM542" s="273">
        <f t="shared" si="362"/>
        <v>-8.0000000000000002E-3</v>
      </c>
      <c r="AN542" s="224">
        <f t="shared" si="239"/>
        <v>-0.10800000000000001</v>
      </c>
      <c r="AO542" s="273">
        <f t="shared" ref="AO542:AY542" si="363">AO159</f>
        <v>-0.10800000000000001</v>
      </c>
      <c r="AP542" s="273">
        <f t="shared" si="363"/>
        <v>-0.10800000000000001</v>
      </c>
      <c r="AQ542" s="273">
        <f t="shared" si="363"/>
        <v>-0.11124000000000002</v>
      </c>
      <c r="AR542" s="273">
        <f t="shared" si="363"/>
        <v>-0.11457720000000002</v>
      </c>
      <c r="AS542" s="273">
        <f t="shared" si="363"/>
        <v>-0.11801451600000003</v>
      </c>
      <c r="AT542" s="273">
        <f t="shared" si="363"/>
        <v>-0.12155495148000003</v>
      </c>
      <c r="AU542" s="273">
        <f t="shared" si="363"/>
        <v>-0.12520160002440003</v>
      </c>
      <c r="AV542" s="273">
        <f t="shared" si="363"/>
        <v>-0.12895764802513204</v>
      </c>
      <c r="AW542" s="273">
        <f t="shared" si="363"/>
        <v>-0.13282637746588602</v>
      </c>
      <c r="AX542" s="273">
        <f t="shared" si="363"/>
        <v>-0.1368111687898626</v>
      </c>
      <c r="AY542" s="273">
        <f t="shared" si="363"/>
        <v>-0.14091550385355847</v>
      </c>
      <c r="AZ542" s="923"/>
      <c r="BA542" s="923"/>
    </row>
    <row r="543" spans="1:53">
      <c r="A543" s="874">
        <v>569.1</v>
      </c>
      <c r="B543" s="871" t="s">
        <v>989</v>
      </c>
      <c r="E543" s="277"/>
      <c r="F543" s="273"/>
      <c r="G543" s="273"/>
      <c r="H543" s="273"/>
      <c r="I543" s="273"/>
      <c r="J543" s="273"/>
      <c r="K543" s="273"/>
      <c r="L543" s="273"/>
      <c r="M543" s="273"/>
      <c r="N543" s="224">
        <f t="shared" si="297"/>
        <v>0</v>
      </c>
      <c r="O543" s="273">
        <f t="shared" ref="O543:Z543" si="364">+O101</f>
        <v>1.30488E-3</v>
      </c>
      <c r="P543" s="273">
        <f t="shared" si="364"/>
        <v>1.3023800000000001E-3</v>
      </c>
      <c r="Q543" s="273">
        <f t="shared" si="364"/>
        <v>1.867503E-3</v>
      </c>
      <c r="R543" s="273">
        <f t="shared" si="364"/>
        <v>1.4589799999999999E-3</v>
      </c>
      <c r="S543" s="273">
        <f t="shared" si="364"/>
        <v>2.04178E-3</v>
      </c>
      <c r="T543" s="273">
        <f t="shared" si="364"/>
        <v>3.2100100000000001E-3</v>
      </c>
      <c r="U543" s="273">
        <f t="shared" si="364"/>
        <v>3.1851800000000001E-3</v>
      </c>
      <c r="V543" s="273">
        <f t="shared" si="364"/>
        <v>2.0851799999999998E-3</v>
      </c>
      <c r="W543" s="273">
        <f t="shared" si="364"/>
        <v>1.4833070000000001E-3</v>
      </c>
      <c r="X543" s="273">
        <f t="shared" si="364"/>
        <v>1.2523800000000002E-3</v>
      </c>
      <c r="Y543" s="273">
        <f t="shared" si="364"/>
        <v>1.3023800000000001E-3</v>
      </c>
      <c r="Z543" s="273">
        <f t="shared" si="364"/>
        <v>1.3006500000000004E-3</v>
      </c>
      <c r="AA543" s="224">
        <f t="shared" si="237"/>
        <v>2.1794609999999999E-2</v>
      </c>
      <c r="AB543" s="273">
        <f t="shared" ref="AB543:AM543" si="365">+AB101</f>
        <v>1.3519854000000001E-3</v>
      </c>
      <c r="AC543" s="273">
        <f t="shared" si="365"/>
        <v>1.3494104000000002E-3</v>
      </c>
      <c r="AD543" s="273">
        <f t="shared" si="365"/>
        <v>1.9706067166000004E-3</v>
      </c>
      <c r="AE543" s="273">
        <f t="shared" si="365"/>
        <v>1.6769745528000001E-3</v>
      </c>
      <c r="AF543" s="273">
        <f t="shared" si="365"/>
        <v>2.4108574866000001E-3</v>
      </c>
      <c r="AG543" s="273">
        <f t="shared" si="365"/>
        <v>3.5817029350000001E-3</v>
      </c>
      <c r="AH543" s="273">
        <f t="shared" si="365"/>
        <v>3.6320665668999998E-3</v>
      </c>
      <c r="AI543" s="273">
        <f t="shared" si="365"/>
        <v>3.5222944000000002E-3</v>
      </c>
      <c r="AJ543" s="273">
        <f t="shared" si="365"/>
        <v>2.4203652099999994E-3</v>
      </c>
      <c r="AK543" s="273">
        <f t="shared" si="365"/>
        <v>1.9796820338000001E-3</v>
      </c>
      <c r="AL543" s="273">
        <f t="shared" si="365"/>
        <v>2.0651987571999996E-3</v>
      </c>
      <c r="AM543" s="273">
        <f t="shared" si="365"/>
        <v>1.7576285E-3</v>
      </c>
      <c r="AN543" s="224">
        <f t="shared" si="239"/>
        <v>2.77187729589E-2</v>
      </c>
      <c r="AO543" s="273">
        <f t="shared" ref="AO543:AY543" si="366">+AO101</f>
        <v>2.8329698200907007E-2</v>
      </c>
      <c r="AP543" s="273">
        <f t="shared" si="366"/>
        <v>2.9398341913736997E-2</v>
      </c>
      <c r="AQ543" s="273">
        <f t="shared" si="366"/>
        <v>3.0280292171149109E-2</v>
      </c>
      <c r="AR543" s="273">
        <f t="shared" si="366"/>
        <v>3.1188700936283582E-2</v>
      </c>
      <c r="AS543" s="273">
        <f t="shared" si="366"/>
        <v>3.2124361964372093E-2</v>
      </c>
      <c r="AT543" s="273">
        <f t="shared" si="366"/>
        <v>3.3088092823303258E-2</v>
      </c>
      <c r="AU543" s="273">
        <f t="shared" si="366"/>
        <v>3.4080735608002358E-2</v>
      </c>
      <c r="AV543" s="273">
        <f t="shared" si="366"/>
        <v>3.5103157676242426E-2</v>
      </c>
      <c r="AW543" s="273">
        <f t="shared" si="366"/>
        <v>3.6156252406529699E-2</v>
      </c>
      <c r="AX543" s="273">
        <f t="shared" si="366"/>
        <v>3.7240939978725587E-2</v>
      </c>
      <c r="AY543" s="273">
        <f t="shared" si="366"/>
        <v>3.8358168178087355E-2</v>
      </c>
      <c r="AZ543" s="923"/>
      <c r="BA543" s="923"/>
    </row>
    <row r="544" spans="1:53">
      <c r="A544" s="874" t="s">
        <v>800</v>
      </c>
      <c r="B544" s="871" t="s">
        <v>990</v>
      </c>
      <c r="E544" s="277"/>
      <c r="F544" s="273"/>
      <c r="G544" s="273"/>
      <c r="H544" s="273"/>
      <c r="I544" s="273"/>
      <c r="J544" s="273"/>
      <c r="K544" s="273"/>
      <c r="L544" s="273"/>
      <c r="M544" s="273"/>
      <c r="N544" s="224">
        <f t="shared" si="297"/>
        <v>0</v>
      </c>
      <c r="O544" s="273">
        <f t="shared" ref="O544:Z544" si="367">+O160</f>
        <v>0.1166560427734385</v>
      </c>
      <c r="P544" s="273">
        <f t="shared" si="367"/>
        <v>0.112741410465605</v>
      </c>
      <c r="Q544" s="273">
        <f t="shared" si="367"/>
        <v>0.12135360154283871</v>
      </c>
      <c r="R544" s="273">
        <f t="shared" si="367"/>
        <v>0.1158731163118718</v>
      </c>
      <c r="S544" s="273">
        <f t="shared" si="367"/>
        <v>0.12291945446597213</v>
      </c>
      <c r="T544" s="273">
        <f t="shared" si="367"/>
        <v>0.10647799877307139</v>
      </c>
      <c r="U544" s="273">
        <f t="shared" si="367"/>
        <v>0.1158731163118718</v>
      </c>
      <c r="V544" s="273">
        <f t="shared" si="367"/>
        <v>0.12291945446597213</v>
      </c>
      <c r="W544" s="273">
        <f t="shared" si="367"/>
        <v>0.1065324590148041</v>
      </c>
      <c r="X544" s="273">
        <f t="shared" si="367"/>
        <v>0.12793159465891574</v>
      </c>
      <c r="Y544" s="273">
        <f t="shared" si="367"/>
        <v>0.10647722785276215</v>
      </c>
      <c r="Z544" s="273">
        <f t="shared" si="367"/>
        <v>0.10965565256478489</v>
      </c>
      <c r="AA544" s="224">
        <f t="shared" si="237"/>
        <v>1.3854111292019082</v>
      </c>
      <c r="AB544" s="273">
        <f t="shared" ref="AB544:AM544" si="368">+AB160</f>
        <v>0.1150611765706193</v>
      </c>
      <c r="AC544" s="273">
        <f t="shared" si="368"/>
        <v>0.11120006326288041</v>
      </c>
      <c r="AD544" s="273">
        <f t="shared" si="368"/>
        <v>0.11969451253990598</v>
      </c>
      <c r="AE544" s="273">
        <f t="shared" si="368"/>
        <v>0.11428895390907154</v>
      </c>
      <c r="AF544" s="273">
        <f t="shared" si="368"/>
        <v>0.12123895786300155</v>
      </c>
      <c r="AG544" s="273">
        <f t="shared" si="368"/>
        <v>0.10502228197049815</v>
      </c>
      <c r="AH544" s="273">
        <f t="shared" si="368"/>
        <v>0.11428895390907154</v>
      </c>
      <c r="AI544" s="273">
        <f t="shared" si="368"/>
        <v>0.12123895786300155</v>
      </c>
      <c r="AJ544" s="273">
        <f t="shared" si="368"/>
        <v>0.10505667827762596</v>
      </c>
      <c r="AK544" s="273">
        <f t="shared" si="368"/>
        <v>0.12615908052561556</v>
      </c>
      <c r="AL544" s="273">
        <f t="shared" si="368"/>
        <v>0.1050019676424378</v>
      </c>
      <c r="AM544" s="273">
        <f t="shared" si="368"/>
        <v>0.1081363547362419</v>
      </c>
      <c r="AN544" s="224">
        <f t="shared" si="239"/>
        <v>1.3663879390699714</v>
      </c>
      <c r="AO544" s="273">
        <f t="shared" ref="AO544:AY544" si="369">+AO160</f>
        <v>1.3999352855861877</v>
      </c>
      <c r="AP544" s="273">
        <f t="shared" si="369"/>
        <v>1.4342830065768843</v>
      </c>
      <c r="AQ544" s="273">
        <f t="shared" si="369"/>
        <v>1.4773114967741909</v>
      </c>
      <c r="AR544" s="273">
        <f t="shared" si="369"/>
        <v>1.5216308416774167</v>
      </c>
      <c r="AS544" s="273">
        <f t="shared" si="369"/>
        <v>1.5672797669277392</v>
      </c>
      <c r="AT544" s="273">
        <f t="shared" si="369"/>
        <v>1.6142981599355715</v>
      </c>
      <c r="AU544" s="273">
        <f t="shared" si="369"/>
        <v>1.6627271047336387</v>
      </c>
      <c r="AV544" s="273">
        <f t="shared" si="369"/>
        <v>1.7126089178756478</v>
      </c>
      <c r="AW544" s="273">
        <f t="shared" si="369"/>
        <v>1.7639871854119173</v>
      </c>
      <c r="AX544" s="273">
        <f t="shared" si="369"/>
        <v>1.8169068009742748</v>
      </c>
      <c r="AY544" s="273">
        <f t="shared" si="369"/>
        <v>1.8714140050035031</v>
      </c>
      <c r="AZ544" s="923"/>
      <c r="BA544" s="923"/>
    </row>
    <row r="545" spans="1:53">
      <c r="A545" s="874">
        <v>570.1</v>
      </c>
      <c r="B545" s="871" t="s">
        <v>990</v>
      </c>
      <c r="E545" s="277"/>
      <c r="F545" s="273"/>
      <c r="G545" s="273"/>
      <c r="H545" s="273"/>
      <c r="I545" s="273"/>
      <c r="J545" s="273"/>
      <c r="K545" s="273"/>
      <c r="L545" s="273"/>
      <c r="M545" s="273"/>
      <c r="N545" s="224">
        <f t="shared" ref="N545:N562" si="370">SUM(E545:M545)</f>
        <v>0</v>
      </c>
      <c r="O545" s="273">
        <f t="shared" ref="O545:Z545" si="371">+O102</f>
        <v>1.8268320000000001E-2</v>
      </c>
      <c r="P545" s="273">
        <f t="shared" si="371"/>
        <v>1.8233320000000001E-2</v>
      </c>
      <c r="Q545" s="273">
        <f t="shared" si="371"/>
        <v>2.6145041999999997E-2</v>
      </c>
      <c r="R545" s="273">
        <f t="shared" si="371"/>
        <v>2.0425720000000001E-2</v>
      </c>
      <c r="S545" s="273">
        <f t="shared" si="371"/>
        <v>2.858492E-2</v>
      </c>
      <c r="T545" s="273">
        <f t="shared" si="371"/>
        <v>4.4940140000000003E-2</v>
      </c>
      <c r="U545" s="273">
        <f t="shared" si="371"/>
        <v>4.4592520000000004E-2</v>
      </c>
      <c r="V545" s="273">
        <f t="shared" si="371"/>
        <v>2.919252E-2</v>
      </c>
      <c r="W545" s="273">
        <f t="shared" si="371"/>
        <v>2.0766297999999996E-2</v>
      </c>
      <c r="X545" s="273">
        <f t="shared" si="371"/>
        <v>1.7533319999999998E-2</v>
      </c>
      <c r="Y545" s="273">
        <f t="shared" si="371"/>
        <v>1.8233320000000001E-2</v>
      </c>
      <c r="Z545" s="273">
        <f t="shared" si="371"/>
        <v>1.8209099999999999E-2</v>
      </c>
      <c r="AA545" s="224">
        <f t="shared" si="237"/>
        <v>0.30512454</v>
      </c>
      <c r="AB545" s="273">
        <f t="shared" ref="AB545:AM545" si="372">+AB102</f>
        <v>1.8927795600000002E-2</v>
      </c>
      <c r="AC545" s="273">
        <f t="shared" si="372"/>
        <v>1.8891745600000003E-2</v>
      </c>
      <c r="AD545" s="273">
        <f t="shared" si="372"/>
        <v>2.7588494032400004E-2</v>
      </c>
      <c r="AE545" s="273">
        <f t="shared" si="372"/>
        <v>2.3477643739199999E-2</v>
      </c>
      <c r="AF545" s="273">
        <f t="shared" si="372"/>
        <v>3.375200481240001E-2</v>
      </c>
      <c r="AG545" s="273">
        <f t="shared" si="372"/>
        <v>5.0143841090000002E-2</v>
      </c>
      <c r="AH545" s="273">
        <f t="shared" si="372"/>
        <v>5.0848931936600006E-2</v>
      </c>
      <c r="AI545" s="273">
        <f t="shared" si="372"/>
        <v>4.9312121600000008E-2</v>
      </c>
      <c r="AJ545" s="273">
        <f t="shared" si="372"/>
        <v>3.3885112940000003E-2</v>
      </c>
      <c r="AK545" s="273">
        <f t="shared" si="372"/>
        <v>2.7715548473200007E-2</v>
      </c>
      <c r="AL545" s="273">
        <f t="shared" si="372"/>
        <v>2.8912782600800008E-2</v>
      </c>
      <c r="AM545" s="273">
        <f t="shared" si="372"/>
        <v>2.4606799000000002E-2</v>
      </c>
      <c r="AN545" s="224">
        <f t="shared" si="239"/>
        <v>0.38806282142460002</v>
      </c>
      <c r="AO545" s="273">
        <f t="shared" ref="AO545:AY545" si="373">+AO102</f>
        <v>0.39661577481269805</v>
      </c>
      <c r="AP545" s="273">
        <f t="shared" si="373"/>
        <v>0.41157678679231813</v>
      </c>
      <c r="AQ545" s="273">
        <f t="shared" si="373"/>
        <v>0.42392409039608769</v>
      </c>
      <c r="AR545" s="273">
        <f t="shared" si="373"/>
        <v>0.43664181310797034</v>
      </c>
      <c r="AS545" s="273">
        <f t="shared" si="373"/>
        <v>0.44974106750120946</v>
      </c>
      <c r="AT545" s="273">
        <f t="shared" si="373"/>
        <v>0.46323329952624576</v>
      </c>
      <c r="AU545" s="273">
        <f t="shared" si="373"/>
        <v>0.47713029851203315</v>
      </c>
      <c r="AV545" s="273">
        <f t="shared" si="373"/>
        <v>0.49144420746739415</v>
      </c>
      <c r="AW545" s="273">
        <f t="shared" si="373"/>
        <v>0.506187533691416</v>
      </c>
      <c r="AX545" s="273">
        <f t="shared" si="373"/>
        <v>0.52137315970215847</v>
      </c>
      <c r="AY545" s="273">
        <f t="shared" si="373"/>
        <v>0.53701435449322321</v>
      </c>
      <c r="AZ545" s="923"/>
      <c r="BA545" s="923"/>
    </row>
    <row r="546" spans="1:53">
      <c r="A546" s="874" t="s">
        <v>802</v>
      </c>
      <c r="B546" s="871" t="s">
        <v>991</v>
      </c>
      <c r="E546" s="277"/>
      <c r="F546" s="273"/>
      <c r="G546" s="273"/>
      <c r="H546" s="273"/>
      <c r="I546" s="273"/>
      <c r="J546" s="273"/>
      <c r="K546" s="273"/>
      <c r="L546" s="273"/>
      <c r="M546" s="273"/>
      <c r="N546" s="224">
        <f t="shared" si="370"/>
        <v>0</v>
      </c>
      <c r="O546" s="273">
        <f t="shared" ref="O546:Z546" si="374">+O161</f>
        <v>9.5071673118463138E-2</v>
      </c>
      <c r="P546" s="273">
        <f t="shared" si="374"/>
        <v>9.1881348517172431E-2</v>
      </c>
      <c r="Q546" s="273">
        <f t="shared" si="374"/>
        <v>9.8900062640011985E-2</v>
      </c>
      <c r="R546" s="273">
        <f t="shared" si="374"/>
        <v>9.443360819820501E-2</v>
      </c>
      <c r="S546" s="273">
        <f t="shared" si="374"/>
        <v>0.10017619248052828</v>
      </c>
      <c r="T546" s="273">
        <f t="shared" si="374"/>
        <v>8.6776829155107302E-2</v>
      </c>
      <c r="U546" s="273">
        <f t="shared" si="374"/>
        <v>9.443360819820501E-2</v>
      </c>
      <c r="V546" s="273">
        <f t="shared" si="374"/>
        <v>0.10017619248052828</v>
      </c>
      <c r="W546" s="273">
        <f t="shared" si="374"/>
        <v>8.6831289396840011E-2</v>
      </c>
      <c r="X546" s="273">
        <f t="shared" si="374"/>
        <v>0.10423501176654139</v>
      </c>
      <c r="Y546" s="273">
        <f t="shared" si="374"/>
        <v>8.6754606066562392E-2</v>
      </c>
      <c r="Z546" s="273">
        <f t="shared" si="374"/>
        <v>8.9344295799892601E-2</v>
      </c>
      <c r="AA546" s="224">
        <f t="shared" si="237"/>
        <v>1.1290147178180578</v>
      </c>
      <c r="AB546" s="273">
        <f t="shared" ref="AB546:AM546" si="375">+AB161</f>
        <v>9.3782638998233234E-2</v>
      </c>
      <c r="AC546" s="273">
        <f t="shared" si="375"/>
        <v>9.0635570575473723E-2</v>
      </c>
      <c r="AD546" s="273">
        <f t="shared" si="375"/>
        <v>9.7559121105544627E-2</v>
      </c>
      <c r="AE546" s="273">
        <f t="shared" si="375"/>
        <v>9.3153225313681323E-2</v>
      </c>
      <c r="AF546" s="273">
        <f t="shared" si="375"/>
        <v>9.8817948474648434E-2</v>
      </c>
      <c r="AG546" s="273">
        <f t="shared" si="375"/>
        <v>8.5600261099058508E-2</v>
      </c>
      <c r="AH546" s="273">
        <f t="shared" si="375"/>
        <v>9.3153225313681323E-2</v>
      </c>
      <c r="AI546" s="273">
        <f t="shared" si="375"/>
        <v>9.8817948474648434E-2</v>
      </c>
      <c r="AJ546" s="273">
        <f t="shared" si="375"/>
        <v>8.563465740618631E-2</v>
      </c>
      <c r="AK546" s="273">
        <f t="shared" si="375"/>
        <v>0.1027982002289542</v>
      </c>
      <c r="AL546" s="273">
        <f t="shared" si="375"/>
        <v>8.5558750501117165E-2</v>
      </c>
      <c r="AM546" s="273">
        <f t="shared" si="375"/>
        <v>8.8112743053389314E-2</v>
      </c>
      <c r="AN546" s="224">
        <f t="shared" si="239"/>
        <v>1.1136242905446165</v>
      </c>
      <c r="AO546" s="273">
        <f t="shared" ref="AO546:AY546" si="376">+AO161</f>
        <v>1.1410738128390767</v>
      </c>
      <c r="AP546" s="273">
        <f t="shared" si="376"/>
        <v>1.1691584890305138</v>
      </c>
      <c r="AQ546" s="273">
        <f t="shared" si="376"/>
        <v>1.2042332437014291</v>
      </c>
      <c r="AR546" s="273">
        <f t="shared" si="376"/>
        <v>1.2403602410124721</v>
      </c>
      <c r="AS546" s="273">
        <f t="shared" si="376"/>
        <v>1.2775710482428464</v>
      </c>
      <c r="AT546" s="273">
        <f t="shared" si="376"/>
        <v>1.3158981796901319</v>
      </c>
      <c r="AU546" s="273">
        <f t="shared" si="376"/>
        <v>1.3553751250808359</v>
      </c>
      <c r="AV546" s="273">
        <f t="shared" si="376"/>
        <v>1.396036378833261</v>
      </c>
      <c r="AW546" s="273">
        <f t="shared" si="376"/>
        <v>1.4379174701982589</v>
      </c>
      <c r="AX546" s="273">
        <f t="shared" si="376"/>
        <v>1.4810549943042066</v>
      </c>
      <c r="AY546" s="273">
        <f t="shared" si="376"/>
        <v>1.5254866441333328</v>
      </c>
      <c r="AZ546" s="923"/>
      <c r="BA546" s="923"/>
    </row>
    <row r="547" spans="1:53">
      <c r="A547" s="874">
        <v>571.1</v>
      </c>
      <c r="B547" s="871" t="s">
        <v>991</v>
      </c>
      <c r="E547" s="277"/>
      <c r="F547" s="273"/>
      <c r="G547" s="273"/>
      <c r="H547" s="273"/>
      <c r="I547" s="273"/>
      <c r="J547" s="273"/>
      <c r="K547" s="273"/>
      <c r="L547" s="273"/>
      <c r="M547" s="273"/>
      <c r="N547" s="224">
        <f t="shared" si="370"/>
        <v>0</v>
      </c>
      <c r="O547" s="273">
        <f t="shared" ref="O547:Z547" si="377">+O103</f>
        <v>6.2634239999999994E-2</v>
      </c>
      <c r="P547" s="273">
        <f t="shared" si="377"/>
        <v>6.2514239999999999E-2</v>
      </c>
      <c r="Q547" s="273">
        <f t="shared" si="377"/>
        <v>8.9640144000000005E-2</v>
      </c>
      <c r="R547" s="273">
        <f t="shared" si="377"/>
        <v>7.0031040000000003E-2</v>
      </c>
      <c r="S547" s="273">
        <f t="shared" si="377"/>
        <v>9.8005439999999999E-2</v>
      </c>
      <c r="T547" s="273">
        <f t="shared" si="377"/>
        <v>0.15408048000000002</v>
      </c>
      <c r="U547" s="273">
        <f t="shared" si="377"/>
        <v>0.15288864000000002</v>
      </c>
      <c r="V547" s="273">
        <f t="shared" si="377"/>
        <v>0.10008863999999998</v>
      </c>
      <c r="W547" s="273">
        <f t="shared" si="377"/>
        <v>7.1198735999999999E-2</v>
      </c>
      <c r="X547" s="273">
        <f t="shared" si="377"/>
        <v>6.0114239999999999E-2</v>
      </c>
      <c r="Y547" s="273">
        <f t="shared" si="377"/>
        <v>6.2514239999999999E-2</v>
      </c>
      <c r="Z547" s="273">
        <f t="shared" si="377"/>
        <v>6.2431199999999999E-2</v>
      </c>
      <c r="AA547" s="224">
        <f t="shared" si="237"/>
        <v>1.0461412800000001</v>
      </c>
      <c r="AB547" s="273">
        <f t="shared" ref="AB547:AM547" si="378">+AB103</f>
        <v>6.4895299199999992E-2</v>
      </c>
      <c r="AC547" s="273">
        <f t="shared" si="378"/>
        <v>6.4771699199999991E-2</v>
      </c>
      <c r="AD547" s="273">
        <f t="shared" si="378"/>
        <v>9.4589122396799993E-2</v>
      </c>
      <c r="AE547" s="273">
        <f t="shared" si="378"/>
        <v>8.0494778534399999E-2</v>
      </c>
      <c r="AF547" s="273">
        <f t="shared" si="378"/>
        <v>0.11572115935680001</v>
      </c>
      <c r="AG547" s="273">
        <f t="shared" si="378"/>
        <v>0.17192174088000001</v>
      </c>
      <c r="AH547" s="273">
        <f t="shared" si="378"/>
        <v>0.17433919521119998</v>
      </c>
      <c r="AI547" s="273">
        <f t="shared" si="378"/>
        <v>0.1690701312</v>
      </c>
      <c r="AJ547" s="273">
        <f t="shared" si="378"/>
        <v>0.11617753008000001</v>
      </c>
      <c r="AK547" s="273">
        <f t="shared" si="378"/>
        <v>9.5024737622400005E-2</v>
      </c>
      <c r="AL547" s="273">
        <f t="shared" si="378"/>
        <v>9.9129540345600009E-2</v>
      </c>
      <c r="AM547" s="273">
        <f t="shared" si="378"/>
        <v>8.4366168000000005E-2</v>
      </c>
      <c r="AN547" s="224">
        <f t="shared" si="239"/>
        <v>1.3305011020272002</v>
      </c>
      <c r="AO547" s="273">
        <f t="shared" ref="AO547:AY547" si="379">+AO103</f>
        <v>1.3598255136435358</v>
      </c>
      <c r="AP547" s="273">
        <f t="shared" si="379"/>
        <v>1.4111204118593763</v>
      </c>
      <c r="AQ547" s="273">
        <f t="shared" si="379"/>
        <v>1.4534540242151577</v>
      </c>
      <c r="AR547" s="273">
        <f t="shared" si="379"/>
        <v>1.4970576449416124</v>
      </c>
      <c r="AS547" s="273">
        <f t="shared" si="379"/>
        <v>1.5419693742898608</v>
      </c>
      <c r="AT547" s="273">
        <f t="shared" si="379"/>
        <v>1.5882284555185566</v>
      </c>
      <c r="AU547" s="273">
        <f t="shared" si="379"/>
        <v>1.6358753091841134</v>
      </c>
      <c r="AV547" s="273">
        <f t="shared" si="379"/>
        <v>1.6849515684596368</v>
      </c>
      <c r="AW547" s="273">
        <f t="shared" si="379"/>
        <v>1.735500115513426</v>
      </c>
      <c r="AX547" s="273">
        <f t="shared" si="379"/>
        <v>1.7875651189788289</v>
      </c>
      <c r="AY547" s="273">
        <f t="shared" si="379"/>
        <v>1.8411920725481938</v>
      </c>
      <c r="AZ547" s="923"/>
      <c r="BA547" s="923"/>
    </row>
    <row r="548" spans="1:53">
      <c r="A548" s="874" t="s">
        <v>804</v>
      </c>
      <c r="B548" s="871" t="s">
        <v>992</v>
      </c>
      <c r="E548" s="277"/>
      <c r="F548" s="273"/>
      <c r="G548" s="273"/>
      <c r="H548" s="273"/>
      <c r="I548" s="273"/>
      <c r="J548" s="273"/>
      <c r="K548" s="273"/>
      <c r="L548" s="273"/>
      <c r="M548" s="273"/>
      <c r="N548" s="224">
        <f t="shared" si="370"/>
        <v>0</v>
      </c>
      <c r="O548" s="273">
        <f t="shared" ref="O548:Z548" si="380">+O162</f>
        <v>9.2504441378465814E-3</v>
      </c>
      <c r="P548" s="273">
        <f t="shared" si="380"/>
        <v>8.9400265493282428E-3</v>
      </c>
      <c r="Q548" s="273">
        <f t="shared" si="380"/>
        <v>9.6229452440685943E-3</v>
      </c>
      <c r="R548" s="273">
        <f t="shared" si="380"/>
        <v>9.1883606201429158E-3</v>
      </c>
      <c r="S548" s="273">
        <f t="shared" si="380"/>
        <v>9.7471122794759307E-3</v>
      </c>
      <c r="T548" s="273">
        <f t="shared" si="380"/>
        <v>8.4433584076988935E-3</v>
      </c>
      <c r="U548" s="273">
        <f t="shared" si="380"/>
        <v>9.1883606201429158E-3</v>
      </c>
      <c r="V548" s="273">
        <f t="shared" si="380"/>
        <v>9.7471122794759307E-3</v>
      </c>
      <c r="W548" s="273">
        <f t="shared" si="380"/>
        <v>8.4433584076988935E-3</v>
      </c>
      <c r="X548" s="273">
        <f t="shared" si="380"/>
        <v>1.0155678382446147E-2</v>
      </c>
      <c r="Y548" s="273">
        <f t="shared" si="380"/>
        <v>8.4525521940856125E-3</v>
      </c>
      <c r="Z548" s="273">
        <f t="shared" si="380"/>
        <v>8.7048671849538403E-3</v>
      </c>
      <c r="AA548" s="224">
        <f t="shared" si="237"/>
        <v>0.10988417630736448</v>
      </c>
      <c r="AB548" s="273">
        <f t="shared" ref="AB548:AM548" si="381">+AB162</f>
        <v>9.1193732453083189E-3</v>
      </c>
      <c r="AC548" s="273">
        <f t="shared" si="381"/>
        <v>8.8133540088885763E-3</v>
      </c>
      <c r="AD548" s="273">
        <f t="shared" si="381"/>
        <v>9.4865963290120103E-3</v>
      </c>
      <c r="AE548" s="273">
        <f t="shared" si="381"/>
        <v>9.0581693980243683E-3</v>
      </c>
      <c r="AF548" s="273">
        <f t="shared" si="381"/>
        <v>9.609004023579908E-3</v>
      </c>
      <c r="AG548" s="273">
        <f t="shared" si="381"/>
        <v>8.3237232306169907E-3</v>
      </c>
      <c r="AH548" s="273">
        <f t="shared" si="381"/>
        <v>9.0581693980243683E-3</v>
      </c>
      <c r="AI548" s="273">
        <f t="shared" si="381"/>
        <v>9.609004023579908E-3</v>
      </c>
      <c r="AJ548" s="273">
        <f t="shared" si="381"/>
        <v>8.3237232306169907E-3</v>
      </c>
      <c r="AK548" s="273">
        <f t="shared" si="381"/>
        <v>1.0011805841426299E-2</v>
      </c>
      <c r="AL548" s="273">
        <f t="shared" si="381"/>
        <v>8.3328073462802747E-3</v>
      </c>
      <c r="AM548" s="273">
        <f t="shared" si="381"/>
        <v>8.5815478640796847E-3</v>
      </c>
      <c r="AN548" s="224">
        <f t="shared" si="239"/>
        <v>0.10832727793943769</v>
      </c>
      <c r="AO548" s="273">
        <f t="shared" ref="AO548:AY548" si="382">+AO162</f>
        <v>0.11094063117733344</v>
      </c>
      <c r="AP548" s="273">
        <f t="shared" si="382"/>
        <v>0.11362479323415875</v>
      </c>
      <c r="AQ548" s="273">
        <f t="shared" si="382"/>
        <v>0.11703353703118352</v>
      </c>
      <c r="AR548" s="273">
        <f t="shared" si="382"/>
        <v>0.12054454314211903</v>
      </c>
      <c r="AS548" s="273">
        <f t="shared" si="382"/>
        <v>0.1241608794363826</v>
      </c>
      <c r="AT548" s="273">
        <f t="shared" si="382"/>
        <v>0.12788570581947409</v>
      </c>
      <c r="AU548" s="273">
        <f t="shared" si="382"/>
        <v>0.13172227699405831</v>
      </c>
      <c r="AV548" s="273">
        <f t="shared" si="382"/>
        <v>0.13567394530388005</v>
      </c>
      <c r="AW548" s="273">
        <f t="shared" si="382"/>
        <v>0.13974416366299647</v>
      </c>
      <c r="AX548" s="273">
        <f t="shared" si="382"/>
        <v>0.14393648857288638</v>
      </c>
      <c r="AY548" s="273">
        <f t="shared" si="382"/>
        <v>0.14825458323007298</v>
      </c>
      <c r="AZ548" s="923"/>
      <c r="BA548" s="923"/>
    </row>
    <row r="549" spans="1:53">
      <c r="A549" s="874">
        <v>573.1</v>
      </c>
      <c r="B549" s="871" t="s">
        <v>992</v>
      </c>
      <c r="E549" s="277"/>
      <c r="F549" s="273"/>
      <c r="G549" s="273"/>
      <c r="H549" s="273"/>
      <c r="I549" s="273"/>
      <c r="J549" s="273"/>
      <c r="K549" s="273"/>
      <c r="L549" s="273"/>
      <c r="M549" s="273"/>
      <c r="N549" s="224">
        <f t="shared" si="370"/>
        <v>0</v>
      </c>
      <c r="O549" s="273">
        <f t="shared" ref="O549:Z549" si="383">+O104</f>
        <v>2.6446000000000001E-2</v>
      </c>
      <c r="P549" s="273">
        <f t="shared" si="383"/>
        <v>2.6534800000000001E-2</v>
      </c>
      <c r="Q549" s="273">
        <f t="shared" si="383"/>
        <v>3.7697659999999994E-2</v>
      </c>
      <c r="R549" s="273">
        <f t="shared" si="383"/>
        <v>2.9493800000000001E-2</v>
      </c>
      <c r="S549" s="273">
        <f t="shared" si="383"/>
        <v>4.1543199999999995E-2</v>
      </c>
      <c r="T549" s="273">
        <f t="shared" si="383"/>
        <v>6.4508799999999991E-2</v>
      </c>
      <c r="U549" s="273">
        <f t="shared" si="383"/>
        <v>6.4040799999999995E-2</v>
      </c>
      <c r="V549" s="273">
        <f t="shared" si="383"/>
        <v>4.2168800000000006E-2</v>
      </c>
      <c r="W549" s="273">
        <f t="shared" si="383"/>
        <v>2.9973739999999999E-2</v>
      </c>
      <c r="X549" s="273">
        <f t="shared" si="383"/>
        <v>2.5368400000000003E-2</v>
      </c>
      <c r="Y549" s="273">
        <f t="shared" si="383"/>
        <v>2.6379200000000002E-2</v>
      </c>
      <c r="Z549" s="273">
        <f t="shared" si="383"/>
        <v>2.7324400000000002E-2</v>
      </c>
      <c r="AA549" s="224">
        <f t="shared" si="237"/>
        <v>0.44147959999999997</v>
      </c>
      <c r="AB549" s="273">
        <f t="shared" ref="AB549:AM549" si="384">+AB104</f>
        <v>2.7395707999999998E-2</v>
      </c>
      <c r="AC549" s="273">
        <f t="shared" si="384"/>
        <v>2.7482607999999999E-2</v>
      </c>
      <c r="AD549" s="273">
        <f t="shared" si="384"/>
        <v>3.9768934331999996E-2</v>
      </c>
      <c r="AE549" s="273">
        <f t="shared" si="384"/>
        <v>3.3860891056E-2</v>
      </c>
      <c r="AF549" s="273">
        <f t="shared" si="384"/>
        <v>4.8681949732000011E-2</v>
      </c>
      <c r="AG549" s="273">
        <f t="shared" si="384"/>
        <v>7.1949858700000008E-2</v>
      </c>
      <c r="AH549" s="273">
        <f t="shared" si="384"/>
        <v>7.2987731338000017E-2</v>
      </c>
      <c r="AI549" s="273">
        <f t="shared" si="384"/>
        <v>7.0938688000000014E-2</v>
      </c>
      <c r="AJ549" s="273">
        <f t="shared" si="384"/>
        <v>4.8722104200000005E-2</v>
      </c>
      <c r="AK549" s="273">
        <f t="shared" si="384"/>
        <v>3.9921640675999993E-2</v>
      </c>
      <c r="AL549" s="273">
        <f t="shared" si="384"/>
        <v>4.1640875144E-2</v>
      </c>
      <c r="AM549" s="273">
        <f t="shared" si="384"/>
        <v>3.6517869999999994E-2</v>
      </c>
      <c r="AN549" s="224">
        <f t="shared" si="239"/>
        <v>0.55986885917800011</v>
      </c>
      <c r="AO549" s="273">
        <f t="shared" ref="AO549:AY549" si="385">+AO104</f>
        <v>0.57225876401813991</v>
      </c>
      <c r="AP549" s="273">
        <f t="shared" si="385"/>
        <v>0.59377923827474011</v>
      </c>
      <c r="AQ549" s="273">
        <f t="shared" si="385"/>
        <v>0.61159261542298238</v>
      </c>
      <c r="AR549" s="273">
        <f t="shared" si="385"/>
        <v>0.62994039388567191</v>
      </c>
      <c r="AS549" s="273">
        <f t="shared" si="385"/>
        <v>0.64883860570224205</v>
      </c>
      <c r="AT549" s="273">
        <f t="shared" si="385"/>
        <v>0.66830376387330936</v>
      </c>
      <c r="AU549" s="273">
        <f t="shared" si="385"/>
        <v>0.68835287678950863</v>
      </c>
      <c r="AV549" s="273">
        <f t="shared" si="385"/>
        <v>0.70900346309319395</v>
      </c>
      <c r="AW549" s="273">
        <f t="shared" si="385"/>
        <v>0.73027356698598977</v>
      </c>
      <c r="AX549" s="273">
        <f t="shared" si="385"/>
        <v>0.75218177399556951</v>
      </c>
      <c r="AY549" s="273">
        <f t="shared" si="385"/>
        <v>0.77474722721543665</v>
      </c>
      <c r="AZ549" s="923"/>
      <c r="BA549" s="923"/>
    </row>
    <row r="550" spans="1:53">
      <c r="A550" s="874" t="s">
        <v>806</v>
      </c>
      <c r="B550" s="871" t="s">
        <v>993</v>
      </c>
      <c r="E550" s="277"/>
      <c r="F550" s="273"/>
      <c r="G550" s="273"/>
      <c r="H550" s="273"/>
      <c r="I550" s="273"/>
      <c r="J550" s="273"/>
      <c r="K550" s="273"/>
      <c r="L550" s="273"/>
      <c r="M550" s="273"/>
      <c r="N550" s="224">
        <f t="shared" si="370"/>
        <v>0</v>
      </c>
      <c r="O550" s="273">
        <f t="shared" ref="O550:Z550" si="386">+O163</f>
        <v>1.2333925517128778E-2</v>
      </c>
      <c r="P550" s="273">
        <f t="shared" si="386"/>
        <v>1.1920035399104321E-2</v>
      </c>
      <c r="Q550" s="273">
        <f t="shared" si="386"/>
        <v>1.2830593658758127E-2</v>
      </c>
      <c r="R550" s="273">
        <f t="shared" si="386"/>
        <v>1.2251147493523889E-2</v>
      </c>
      <c r="S550" s="273">
        <f t="shared" si="386"/>
        <v>1.2996149705967909E-2</v>
      </c>
      <c r="T550" s="273">
        <f t="shared" si="386"/>
        <v>1.1257811210265194E-2</v>
      </c>
      <c r="U550" s="273">
        <f t="shared" si="386"/>
        <v>1.2251147493523889E-2</v>
      </c>
      <c r="V550" s="273">
        <f t="shared" si="386"/>
        <v>1.2996149705967909E-2</v>
      </c>
      <c r="W550" s="273">
        <f t="shared" si="386"/>
        <v>1.1257811210265194E-2</v>
      </c>
      <c r="X550" s="273">
        <f t="shared" si="386"/>
        <v>1.3540904509928196E-2</v>
      </c>
      <c r="Y550" s="273">
        <f t="shared" si="386"/>
        <v>1.127006959211415E-2</v>
      </c>
      <c r="Z550" s="273">
        <f t="shared" si="386"/>
        <v>1.1606489579938453E-2</v>
      </c>
      <c r="AA550" s="224">
        <f t="shared" si="237"/>
        <v>0.14651223507648603</v>
      </c>
      <c r="AB550" s="273">
        <f t="shared" ref="AB550:AM550" si="387">+AB163</f>
        <v>1.2159164327077759E-2</v>
      </c>
      <c r="AC550" s="273">
        <f t="shared" si="387"/>
        <v>1.1751138678518104E-2</v>
      </c>
      <c r="AD550" s="273">
        <f t="shared" si="387"/>
        <v>1.2648795105349346E-2</v>
      </c>
      <c r="AE550" s="273">
        <f t="shared" si="387"/>
        <v>1.2077559197365828E-2</v>
      </c>
      <c r="AF550" s="273">
        <f t="shared" si="387"/>
        <v>1.2812005364773211E-2</v>
      </c>
      <c r="AG550" s="273">
        <f t="shared" si="387"/>
        <v>1.1098297640822652E-2</v>
      </c>
      <c r="AH550" s="273">
        <f t="shared" si="387"/>
        <v>1.2077559197365828E-2</v>
      </c>
      <c r="AI550" s="273">
        <f t="shared" si="387"/>
        <v>1.2812005364773211E-2</v>
      </c>
      <c r="AJ550" s="273">
        <f t="shared" si="387"/>
        <v>1.1098297640822652E-2</v>
      </c>
      <c r="AK550" s="273">
        <f t="shared" si="387"/>
        <v>1.3349074455235066E-2</v>
      </c>
      <c r="AL550" s="273">
        <f t="shared" si="387"/>
        <v>1.1110409795040365E-2</v>
      </c>
      <c r="AM550" s="273">
        <f t="shared" si="387"/>
        <v>1.1442063818772913E-2</v>
      </c>
      <c r="AN550" s="224">
        <f t="shared" si="239"/>
        <v>0.14443637058591693</v>
      </c>
      <c r="AO550" s="273">
        <f t="shared" ref="AO550:AY550" si="388">+AO163</f>
        <v>0.14792084156977792</v>
      </c>
      <c r="AP550" s="273">
        <f t="shared" si="388"/>
        <v>0.15149972431221168</v>
      </c>
      <c r="AQ550" s="273">
        <f t="shared" si="388"/>
        <v>0.15604471604157802</v>
      </c>
      <c r="AR550" s="273">
        <f t="shared" si="388"/>
        <v>0.16072605752282537</v>
      </c>
      <c r="AS550" s="273">
        <f t="shared" si="388"/>
        <v>0.16554783924851013</v>
      </c>
      <c r="AT550" s="273">
        <f t="shared" si="388"/>
        <v>0.17051427442596545</v>
      </c>
      <c r="AU550" s="273">
        <f t="shared" si="388"/>
        <v>0.17562970265874442</v>
      </c>
      <c r="AV550" s="273">
        <f t="shared" si="388"/>
        <v>0.18089859373850675</v>
      </c>
      <c r="AW550" s="273">
        <f t="shared" si="388"/>
        <v>0.18632555155066197</v>
      </c>
      <c r="AX550" s="273">
        <f t="shared" si="388"/>
        <v>0.19191531809718182</v>
      </c>
      <c r="AY550" s="273">
        <f t="shared" si="388"/>
        <v>0.19767277764009727</v>
      </c>
      <c r="AZ550" s="923"/>
      <c r="BA550" s="923"/>
    </row>
    <row r="551" spans="1:53">
      <c r="A551" s="874">
        <v>575.70000000000005</v>
      </c>
      <c r="B551" s="871" t="s">
        <v>870</v>
      </c>
      <c r="E551" s="277"/>
      <c r="F551" s="273"/>
      <c r="G551" s="273"/>
      <c r="H551" s="273"/>
      <c r="I551" s="273"/>
      <c r="J551" s="273"/>
      <c r="K551" s="273"/>
      <c r="L551" s="273"/>
      <c r="M551" s="273"/>
      <c r="N551" s="224"/>
      <c r="O551" s="273">
        <f t="shared" ref="O551:Z551" si="389">O109</f>
        <v>0.207423</v>
      </c>
      <c r="P551" s="273">
        <f t="shared" si="389"/>
        <v>0.18187300000000001</v>
      </c>
      <c r="Q551" s="273">
        <f t="shared" si="389"/>
        <v>0.19498699999999999</v>
      </c>
      <c r="R551" s="273">
        <f t="shared" si="389"/>
        <v>0.176149</v>
      </c>
      <c r="S551" s="273">
        <f t="shared" si="389"/>
        <v>0.18563399999999999</v>
      </c>
      <c r="T551" s="273">
        <f t="shared" si="389"/>
        <v>0.19306599999999999</v>
      </c>
      <c r="U551" s="273">
        <f t="shared" si="389"/>
        <v>0.20141000000000001</v>
      </c>
      <c r="V551" s="273">
        <f t="shared" si="389"/>
        <v>0.19725599999999999</v>
      </c>
      <c r="W551" s="273">
        <f t="shared" si="389"/>
        <v>0.12306400000000001</v>
      </c>
      <c r="X551" s="273">
        <f t="shared" si="389"/>
        <v>0.12684500000000001</v>
      </c>
      <c r="Y551" s="273">
        <f t="shared" si="389"/>
        <v>0.12523699999999999</v>
      </c>
      <c r="Z551" s="273">
        <f t="shared" si="389"/>
        <v>0.140295</v>
      </c>
      <c r="AA551" s="224">
        <f t="shared" si="237"/>
        <v>2.053239</v>
      </c>
      <c r="AB551" s="273">
        <f t="shared" ref="AB551:AM551" si="390">AB109</f>
        <v>0.11362899999999999</v>
      </c>
      <c r="AC551" s="273">
        <f t="shared" si="390"/>
        <v>9.9739999999999995E-2</v>
      </c>
      <c r="AD551" s="273">
        <f t="shared" si="390"/>
        <v>0.100621</v>
      </c>
      <c r="AE551" s="273">
        <f t="shared" si="390"/>
        <v>9.0485999999999997E-2</v>
      </c>
      <c r="AF551" s="273">
        <f t="shared" si="390"/>
        <v>9.6902000000000002E-2</v>
      </c>
      <c r="AG551" s="273">
        <f t="shared" si="390"/>
        <v>0.104772</v>
      </c>
      <c r="AH551" s="273">
        <f t="shared" si="390"/>
        <v>0.110488</v>
      </c>
      <c r="AI551" s="273">
        <f t="shared" si="390"/>
        <v>0.11175</v>
      </c>
      <c r="AJ551" s="273">
        <f t="shared" si="390"/>
        <v>0.100263</v>
      </c>
      <c r="AK551" s="273">
        <f t="shared" si="390"/>
        <v>9.9678000000000003E-2</v>
      </c>
      <c r="AL551" s="273">
        <f t="shared" si="390"/>
        <v>9.9122000000000002E-2</v>
      </c>
      <c r="AM551" s="273">
        <f t="shared" si="390"/>
        <v>0.10996</v>
      </c>
      <c r="AN551" s="224">
        <f t="shared" si="239"/>
        <v>1.237411</v>
      </c>
      <c r="AO551" s="273">
        <f t="shared" ref="AO551:AY551" si="391">AO109</f>
        <v>1.2435849999999999</v>
      </c>
      <c r="AP551" s="273">
        <f t="shared" si="391"/>
        <v>1.2563869999999999</v>
      </c>
      <c r="AQ551" s="273">
        <f t="shared" si="391"/>
        <v>1.2940786099999999</v>
      </c>
      <c r="AR551" s="273">
        <f t="shared" si="391"/>
        <v>1.3329009682999999</v>
      </c>
      <c r="AS551" s="273">
        <f t="shared" si="391"/>
        <v>1.372887997349</v>
      </c>
      <c r="AT551" s="273">
        <f t="shared" si="391"/>
        <v>1.4140746372694701</v>
      </c>
      <c r="AU551" s="273">
        <f t="shared" si="391"/>
        <v>1.4564968763875543</v>
      </c>
      <c r="AV551" s="273">
        <f t="shared" si="391"/>
        <v>1.5001917826791811</v>
      </c>
      <c r="AW551" s="273">
        <f t="shared" si="391"/>
        <v>1.5451975361595565</v>
      </c>
      <c r="AX551" s="273">
        <f t="shared" si="391"/>
        <v>1.5915534622443432</v>
      </c>
      <c r="AY551" s="273">
        <f t="shared" si="391"/>
        <v>1.6393000661116737</v>
      </c>
      <c r="AZ551" s="923"/>
      <c r="BA551" s="923"/>
    </row>
    <row r="552" spans="1:53">
      <c r="A552" s="874" t="s">
        <v>808</v>
      </c>
      <c r="B552" s="871" t="s">
        <v>994</v>
      </c>
      <c r="E552" s="277"/>
      <c r="F552" s="273"/>
      <c r="G552" s="273"/>
      <c r="H552" s="273"/>
      <c r="I552" s="273"/>
      <c r="J552" s="273"/>
      <c r="K552" s="273"/>
      <c r="L552" s="273"/>
      <c r="M552" s="273"/>
      <c r="N552" s="224">
        <f t="shared" si="370"/>
        <v>0</v>
      </c>
      <c r="O552" s="273">
        <f t="shared" ref="O552:Z552" si="392">+O164</f>
        <v>1.6531538533001579E-2</v>
      </c>
      <c r="P552" s="273">
        <f t="shared" si="392"/>
        <v>1.5976788917800182E-2</v>
      </c>
      <c r="Q552" s="273">
        <f t="shared" si="392"/>
        <v>1.7197238071243258E-2</v>
      </c>
      <c r="R552" s="273">
        <f t="shared" si="392"/>
        <v>1.64205886099613E-2</v>
      </c>
      <c r="S552" s="273">
        <f t="shared" si="392"/>
        <v>1.7419137917323812E-2</v>
      </c>
      <c r="T552" s="273">
        <f t="shared" si="392"/>
        <v>1.5089189533477952E-2</v>
      </c>
      <c r="U552" s="273">
        <f t="shared" si="392"/>
        <v>1.64205886099613E-2</v>
      </c>
      <c r="V552" s="273">
        <f t="shared" si="392"/>
        <v>1.7419137917323812E-2</v>
      </c>
      <c r="W552" s="273">
        <f t="shared" si="392"/>
        <v>1.5090475337485233E-2</v>
      </c>
      <c r="X552" s="273">
        <f t="shared" si="392"/>
        <v>1.7866839550062869E-2</v>
      </c>
      <c r="Y552" s="273">
        <f t="shared" si="392"/>
        <v>1.4870537265269719E-2</v>
      </c>
      <c r="Z552" s="273">
        <f t="shared" si="392"/>
        <v>1.531443390005389E-2</v>
      </c>
      <c r="AA552" s="224">
        <f t="shared" si="237"/>
        <v>0.19561649416296489</v>
      </c>
      <c r="AB552" s="273">
        <f t="shared" ref="AB552:AM552" si="393">+AB164</f>
        <v>1.6284889504467888E-2</v>
      </c>
      <c r="AC552" s="273">
        <f t="shared" si="393"/>
        <v>1.5738416702304532E-2</v>
      </c>
      <c r="AD552" s="273">
        <f t="shared" si="393"/>
        <v>1.6940656867063909E-2</v>
      </c>
      <c r="AE552" s="273">
        <f t="shared" si="393"/>
        <v>1.6175594944035216E-2</v>
      </c>
      <c r="AF552" s="273">
        <f t="shared" si="393"/>
        <v>1.7159245987929249E-2</v>
      </c>
      <c r="AG552" s="273">
        <f t="shared" si="393"/>
        <v>1.4864060218843171E-2</v>
      </c>
      <c r="AH552" s="273">
        <f t="shared" si="393"/>
        <v>1.6175594944035216E-2</v>
      </c>
      <c r="AI552" s="273">
        <f t="shared" si="393"/>
        <v>1.7159245987929249E-2</v>
      </c>
      <c r="AJ552" s="273">
        <f t="shared" si="393"/>
        <v>1.4864060218843171E-2</v>
      </c>
      <c r="AK552" s="273">
        <f t="shared" si="393"/>
        <v>1.7598852438646465E-2</v>
      </c>
      <c r="AL552" s="273">
        <f t="shared" si="393"/>
        <v>1.4647492091792709E-2</v>
      </c>
      <c r="AM552" s="273">
        <f t="shared" si="393"/>
        <v>1.5084730661696967E-2</v>
      </c>
      <c r="AN552" s="224">
        <f t="shared" si="239"/>
        <v>0.1926928405675877</v>
      </c>
      <c r="AO552" s="273">
        <f t="shared" ref="AO552:AY552" si="394">+AO164</f>
        <v>0.19737293953064419</v>
      </c>
      <c r="AP552" s="273">
        <f t="shared" si="394"/>
        <v>0.20190686286730755</v>
      </c>
      <c r="AQ552" s="273">
        <f t="shared" si="394"/>
        <v>0.20796406875332679</v>
      </c>
      <c r="AR552" s="273">
        <f t="shared" si="394"/>
        <v>0.21420299081592661</v>
      </c>
      <c r="AS552" s="273">
        <f t="shared" si="394"/>
        <v>0.22062908054040442</v>
      </c>
      <c r="AT552" s="273">
        <f t="shared" si="394"/>
        <v>0.22724795295661657</v>
      </c>
      <c r="AU552" s="273">
        <f t="shared" si="394"/>
        <v>0.23406539154531508</v>
      </c>
      <c r="AV552" s="273">
        <f t="shared" si="394"/>
        <v>0.24108735329167455</v>
      </c>
      <c r="AW552" s="273">
        <f t="shared" si="394"/>
        <v>0.24831997389042479</v>
      </c>
      <c r="AX552" s="273">
        <f t="shared" si="394"/>
        <v>0.25576957310713755</v>
      </c>
      <c r="AY552" s="273">
        <f t="shared" si="394"/>
        <v>0.26344266030035168</v>
      </c>
      <c r="AZ552" s="923"/>
      <c r="BA552" s="923"/>
    </row>
    <row r="553" spans="1:53">
      <c r="A553" s="874">
        <v>908.1</v>
      </c>
      <c r="B553" s="871" t="s">
        <v>994</v>
      </c>
      <c r="E553" s="277"/>
      <c r="F553" s="273"/>
      <c r="G553" s="273"/>
      <c r="H553" s="273"/>
      <c r="I553" s="273"/>
      <c r="J553" s="273"/>
      <c r="K553" s="273"/>
      <c r="L553" s="273"/>
      <c r="M553" s="273"/>
      <c r="N553" s="224">
        <f t="shared" si="370"/>
        <v>0</v>
      </c>
      <c r="O553" s="273">
        <f t="shared" ref="O553:Z553" si="395">+O18</f>
        <v>5.0316471290000012E-2</v>
      </c>
      <c r="P553" s="273">
        <f t="shared" si="395"/>
        <v>4.4639701480000002E-2</v>
      </c>
      <c r="Q553" s="273">
        <f t="shared" si="395"/>
        <v>0.16670022529000003</v>
      </c>
      <c r="R553" s="273">
        <f t="shared" si="395"/>
        <v>6.6229918679999986E-2</v>
      </c>
      <c r="S553" s="273">
        <f t="shared" si="395"/>
        <v>6.6121494699999991E-2</v>
      </c>
      <c r="T553" s="273">
        <f t="shared" si="395"/>
        <v>0.26170981800000004</v>
      </c>
      <c r="U553" s="273">
        <f t="shared" si="395"/>
        <v>6.6849484279999996E-2</v>
      </c>
      <c r="V553" s="273">
        <f t="shared" si="395"/>
        <v>6.6229918679999986E-2</v>
      </c>
      <c r="W553" s="273">
        <f t="shared" si="395"/>
        <v>0.17268677789999998</v>
      </c>
      <c r="X553" s="273">
        <f t="shared" si="395"/>
        <v>7.9271774560000008E-2</v>
      </c>
      <c r="Y553" s="273">
        <f t="shared" si="395"/>
        <v>6.5680054210000005E-2</v>
      </c>
      <c r="Z553" s="273">
        <f t="shared" si="395"/>
        <v>0.19574770055000001</v>
      </c>
      <c r="AA553" s="224">
        <f t="shared" si="237"/>
        <v>1.30218333962</v>
      </c>
      <c r="AB553" s="273">
        <f t="shared" ref="AB553:AM553" si="396">+AB18</f>
        <v>4.8986186501099989E-2</v>
      </c>
      <c r="AC553" s="273">
        <f t="shared" si="396"/>
        <v>4.3459501153199992E-2</v>
      </c>
      <c r="AD553" s="273">
        <f t="shared" si="396"/>
        <v>0.14097194536110003</v>
      </c>
      <c r="AE553" s="273">
        <f t="shared" si="396"/>
        <v>4.3157908501199993E-2</v>
      </c>
      <c r="AF553" s="273">
        <f t="shared" si="396"/>
        <v>4.3052351072999998E-2</v>
      </c>
      <c r="AG553" s="273">
        <f t="shared" si="396"/>
        <v>0.2282946418206</v>
      </c>
      <c r="AH553" s="273">
        <f t="shared" si="396"/>
        <v>4.3761093805199991E-2</v>
      </c>
      <c r="AI553" s="273">
        <f t="shared" si="396"/>
        <v>4.3157908501199993E-2</v>
      </c>
      <c r="AJ553" s="273">
        <f t="shared" si="396"/>
        <v>0.14680022336100002</v>
      </c>
      <c r="AK553" s="273">
        <f t="shared" si="396"/>
        <v>5.5854959150400001E-2</v>
      </c>
      <c r="AL553" s="273">
        <f t="shared" si="396"/>
        <v>4.2622581543899994E-2</v>
      </c>
      <c r="AM553" s="273">
        <f t="shared" si="396"/>
        <v>0.21886232892449997</v>
      </c>
      <c r="AN553" s="224">
        <f t="shared" si="239"/>
        <v>1.0989816296963999</v>
      </c>
      <c r="AO553" s="273">
        <f t="shared" ref="AO553:AY553" si="397">+AO18</f>
        <v>1.1319510785872919</v>
      </c>
      <c r="AP553" s="273">
        <f t="shared" si="397"/>
        <v>1.154590100159038</v>
      </c>
      <c r="AQ553" s="273">
        <f t="shared" si="397"/>
        <v>1.189227803163809</v>
      </c>
      <c r="AR553" s="273">
        <f t="shared" si="397"/>
        <v>1.2249046372587233</v>
      </c>
      <c r="AS553" s="273">
        <f t="shared" si="397"/>
        <v>1.2616517763764852</v>
      </c>
      <c r="AT553" s="273">
        <f t="shared" si="397"/>
        <v>1.2995013296677798</v>
      </c>
      <c r="AU553" s="273">
        <f t="shared" si="397"/>
        <v>1.3384863695578131</v>
      </c>
      <c r="AV553" s="273">
        <f t="shared" si="397"/>
        <v>1.3786409606445476</v>
      </c>
      <c r="AW553" s="273">
        <f t="shared" si="397"/>
        <v>1.4200001894638841</v>
      </c>
      <c r="AX553" s="273">
        <f t="shared" si="397"/>
        <v>1.4626001951478007</v>
      </c>
      <c r="AY553" s="273">
        <f t="shared" si="397"/>
        <v>1.5064782010022348</v>
      </c>
      <c r="AZ553" s="923"/>
      <c r="BA553" s="923"/>
    </row>
    <row r="554" spans="1:53">
      <c r="A554" s="874">
        <v>909.1</v>
      </c>
      <c r="B554" s="871" t="s">
        <v>105</v>
      </c>
      <c r="E554" s="277"/>
      <c r="F554" s="273"/>
      <c r="G554" s="273"/>
      <c r="H554" s="273"/>
      <c r="I554" s="273"/>
      <c r="J554" s="273"/>
      <c r="K554" s="273"/>
      <c r="L554" s="273"/>
      <c r="M554" s="273"/>
      <c r="N554" s="224">
        <f t="shared" si="370"/>
        <v>0</v>
      </c>
      <c r="O554" s="273">
        <f t="shared" ref="O554:Z554" si="398">+O19</f>
        <v>1.3785334599999998E-3</v>
      </c>
      <c r="P554" s="273">
        <f t="shared" si="398"/>
        <v>1.22300552E-3</v>
      </c>
      <c r="Q554" s="273">
        <f t="shared" si="398"/>
        <v>4.5671294600000013E-3</v>
      </c>
      <c r="R554" s="273">
        <f t="shared" si="398"/>
        <v>1.8145183199999998E-3</v>
      </c>
      <c r="S554" s="273">
        <f t="shared" si="398"/>
        <v>1.8115477999999996E-3</v>
      </c>
      <c r="T554" s="273">
        <f t="shared" si="398"/>
        <v>7.1701320000000009E-3</v>
      </c>
      <c r="U554" s="273">
        <f t="shared" si="398"/>
        <v>1.8314927199999998E-3</v>
      </c>
      <c r="V554" s="273">
        <f t="shared" si="398"/>
        <v>1.8145183199999998E-3</v>
      </c>
      <c r="W554" s="273">
        <f t="shared" si="398"/>
        <v>4.7311446000000007E-3</v>
      </c>
      <c r="X554" s="273">
        <f t="shared" si="398"/>
        <v>2.1718294400000001E-3</v>
      </c>
      <c r="Y554" s="273">
        <f t="shared" si="398"/>
        <v>1.7994535399999997E-3</v>
      </c>
      <c r="Z554" s="273">
        <f t="shared" si="398"/>
        <v>5.3629507000000007E-3</v>
      </c>
      <c r="AA554" s="224">
        <f t="shared" si="237"/>
        <v>3.5676255880000007E-2</v>
      </c>
      <c r="AB554" s="273">
        <f t="shared" ref="AB554:AM554" si="399">+AB19</f>
        <v>1.4198894637999998E-3</v>
      </c>
      <c r="AC554" s="273">
        <f t="shared" si="399"/>
        <v>1.2596956855999999E-3</v>
      </c>
      <c r="AD554" s="273">
        <f t="shared" si="399"/>
        <v>4.0861433438000002E-3</v>
      </c>
      <c r="AE554" s="273">
        <f t="shared" si="399"/>
        <v>1.2509538696E-3</v>
      </c>
      <c r="AF554" s="273">
        <f t="shared" si="399"/>
        <v>1.2478942340000002E-3</v>
      </c>
      <c r="AG554" s="273">
        <f t="shared" si="399"/>
        <v>6.617235994800001E-3</v>
      </c>
      <c r="AH554" s="273">
        <f t="shared" si="399"/>
        <v>1.2684375015999999E-3</v>
      </c>
      <c r="AI554" s="273">
        <f t="shared" si="399"/>
        <v>1.2509538696E-3</v>
      </c>
      <c r="AJ554" s="273">
        <f t="shared" si="399"/>
        <v>4.2550789380000013E-3</v>
      </c>
      <c r="AK554" s="273">
        <f t="shared" si="399"/>
        <v>1.6189843232000001E-3</v>
      </c>
      <c r="AL554" s="273">
        <f t="shared" si="399"/>
        <v>1.2354371461999998E-3</v>
      </c>
      <c r="AM554" s="273">
        <f t="shared" si="399"/>
        <v>6.3438356210000005E-3</v>
      </c>
      <c r="AN554" s="224">
        <f t="shared" si="239"/>
        <v>3.1854539991199998E-2</v>
      </c>
      <c r="AO554" s="273">
        <f t="shared" ref="AO554:AY554" si="400">+AO19</f>
        <v>3.2810176190936E-2</v>
      </c>
      <c r="AP554" s="273">
        <f t="shared" si="400"/>
        <v>3.3466379714754732E-2</v>
      </c>
      <c r="AQ554" s="273">
        <f t="shared" si="400"/>
        <v>3.4470371106197377E-2</v>
      </c>
      <c r="AR554" s="273">
        <f t="shared" si="400"/>
        <v>3.5504482239383302E-2</v>
      </c>
      <c r="AS554" s="273">
        <f t="shared" si="400"/>
        <v>3.6569616706564799E-2</v>
      </c>
      <c r="AT554" s="273">
        <f t="shared" si="400"/>
        <v>3.7666705207761747E-2</v>
      </c>
      <c r="AU554" s="273">
        <f t="shared" si="400"/>
        <v>3.8796706363994599E-2</v>
      </c>
      <c r="AV554" s="273">
        <f t="shared" si="400"/>
        <v>3.9960607554914436E-2</v>
      </c>
      <c r="AW554" s="273">
        <f t="shared" si="400"/>
        <v>4.115942578156187E-2</v>
      </c>
      <c r="AX554" s="273">
        <f t="shared" si="400"/>
        <v>4.2394208555008729E-2</v>
      </c>
      <c r="AY554" s="273">
        <f t="shared" si="400"/>
        <v>4.3666034811658989E-2</v>
      </c>
      <c r="AZ554" s="923"/>
      <c r="BA554" s="923"/>
    </row>
    <row r="555" spans="1:53">
      <c r="A555" s="874">
        <v>913.1</v>
      </c>
      <c r="B555" s="871" t="s">
        <v>106</v>
      </c>
      <c r="E555" s="277"/>
      <c r="F555" s="273"/>
      <c r="G555" s="273"/>
      <c r="H555" s="273"/>
      <c r="I555" s="273"/>
      <c r="J555" s="273"/>
      <c r="K555" s="273"/>
      <c r="L555" s="273"/>
      <c r="M555" s="273"/>
      <c r="N555" s="224">
        <f t="shared" si="370"/>
        <v>0</v>
      </c>
      <c r="O555" s="273">
        <f t="shared" ref="O555:Z555" si="401">+O22</f>
        <v>5.5141338399999993E-3</v>
      </c>
      <c r="P555" s="273">
        <f t="shared" si="401"/>
        <v>4.8920220799999999E-3</v>
      </c>
      <c r="Q555" s="273">
        <f t="shared" si="401"/>
        <v>1.8268517840000005E-2</v>
      </c>
      <c r="R555" s="273">
        <f t="shared" si="401"/>
        <v>7.2580732799999992E-3</v>
      </c>
      <c r="S555" s="273">
        <f t="shared" si="401"/>
        <v>7.2461911999999983E-3</v>
      </c>
      <c r="T555" s="273">
        <f t="shared" si="401"/>
        <v>2.8680528000000004E-2</v>
      </c>
      <c r="U555" s="273">
        <f t="shared" si="401"/>
        <v>7.3259708799999993E-3</v>
      </c>
      <c r="V555" s="273">
        <f t="shared" si="401"/>
        <v>7.2580732799999992E-3</v>
      </c>
      <c r="W555" s="273">
        <f t="shared" si="401"/>
        <v>1.8924578400000003E-2</v>
      </c>
      <c r="X555" s="273">
        <f t="shared" si="401"/>
        <v>8.6873177600000004E-3</v>
      </c>
      <c r="Y555" s="273">
        <f t="shared" si="401"/>
        <v>7.1978141599999988E-3</v>
      </c>
      <c r="Z555" s="273">
        <f t="shared" si="401"/>
        <v>2.1451802800000003E-2</v>
      </c>
      <c r="AA555" s="224">
        <f t="shared" si="237"/>
        <v>0.14270502352000003</v>
      </c>
      <c r="AB555" s="273">
        <f t="shared" ref="AB555:AM555" si="402">+AB22</f>
        <v>6.3895025870999997E-3</v>
      </c>
      <c r="AC555" s="273">
        <f t="shared" si="402"/>
        <v>5.6686305851999996E-3</v>
      </c>
      <c r="AD555" s="273">
        <f t="shared" si="402"/>
        <v>1.8387645047099999E-2</v>
      </c>
      <c r="AE555" s="273">
        <f t="shared" si="402"/>
        <v>5.6292924131999995E-3</v>
      </c>
      <c r="AF555" s="273">
        <f t="shared" si="402"/>
        <v>5.6155240529999996E-3</v>
      </c>
      <c r="AG555" s="273">
        <f t="shared" si="402"/>
        <v>2.97775619766E-2</v>
      </c>
      <c r="AH555" s="273">
        <f t="shared" si="402"/>
        <v>5.7079687572000005E-3</v>
      </c>
      <c r="AI555" s="273">
        <f t="shared" si="402"/>
        <v>5.6292924131999995E-3</v>
      </c>
      <c r="AJ555" s="273">
        <f t="shared" si="402"/>
        <v>1.9147855221000001E-2</v>
      </c>
      <c r="AK555" s="273">
        <f t="shared" si="402"/>
        <v>7.2854294544000006E-3</v>
      </c>
      <c r="AL555" s="273">
        <f t="shared" si="402"/>
        <v>5.5594671578999997E-3</v>
      </c>
      <c r="AM555" s="273">
        <f t="shared" si="402"/>
        <v>2.8547260294499999E-2</v>
      </c>
      <c r="AN555" s="224">
        <f t="shared" si="239"/>
        <v>0.14334542996040001</v>
      </c>
      <c r="AO555" s="273">
        <f t="shared" ref="AO555:AY555" si="403">+AO22</f>
        <v>0.14764579285921201</v>
      </c>
      <c r="AP555" s="273">
        <f t="shared" si="403"/>
        <v>0.15059870871639627</v>
      </c>
      <c r="AQ555" s="273">
        <f t="shared" si="403"/>
        <v>0.15511666997788817</v>
      </c>
      <c r="AR555" s="273">
        <f t="shared" si="403"/>
        <v>0.15977017007722483</v>
      </c>
      <c r="AS555" s="273">
        <f t="shared" si="403"/>
        <v>0.16456327517954158</v>
      </c>
      <c r="AT555" s="273">
        <f t="shared" si="403"/>
        <v>0.16950017343492785</v>
      </c>
      <c r="AU555" s="273">
        <f t="shared" si="403"/>
        <v>0.17458517863797568</v>
      </c>
      <c r="AV555" s="273">
        <f t="shared" si="403"/>
        <v>0.17982273399711496</v>
      </c>
      <c r="AW555" s="273">
        <f t="shared" si="403"/>
        <v>0.1852174160170284</v>
      </c>
      <c r="AX555" s="273">
        <f t="shared" si="403"/>
        <v>0.19077393849753926</v>
      </c>
      <c r="AY555" s="273">
        <f t="shared" si="403"/>
        <v>0.19649715665246545</v>
      </c>
      <c r="AZ555" s="923"/>
      <c r="BA555" s="923"/>
    </row>
    <row r="556" spans="1:53">
      <c r="A556" s="874" t="s">
        <v>810</v>
      </c>
      <c r="B556" s="871" t="s">
        <v>107</v>
      </c>
      <c r="E556" s="277"/>
      <c r="F556" s="273"/>
      <c r="G556" s="273"/>
      <c r="H556" s="273"/>
      <c r="I556" s="273"/>
      <c r="J556" s="273"/>
      <c r="K556" s="273"/>
      <c r="L556" s="273"/>
      <c r="M556" s="273"/>
      <c r="N556" s="224">
        <f t="shared" si="370"/>
        <v>0</v>
      </c>
      <c r="O556" s="273">
        <f t="shared" ref="O556:Z556" si="404">+O165+O182</f>
        <v>1.2157867828020203</v>
      </c>
      <c r="P556" s="273">
        <f t="shared" si="404"/>
        <v>1.1737800451241003</v>
      </c>
      <c r="Q556" s="273">
        <f t="shared" si="404"/>
        <v>1.2661948680155246</v>
      </c>
      <c r="R556" s="273">
        <f t="shared" si="404"/>
        <v>1.2073854352664364</v>
      </c>
      <c r="S556" s="273">
        <f t="shared" si="404"/>
        <v>1.2829975630866925</v>
      </c>
      <c r="T556" s="273">
        <f t="shared" si="404"/>
        <v>1.1065692648394281</v>
      </c>
      <c r="U556" s="273">
        <f t="shared" si="404"/>
        <v>1.2073854352664364</v>
      </c>
      <c r="V556" s="273">
        <f t="shared" si="404"/>
        <v>1.2829975630866925</v>
      </c>
      <c r="W556" s="273">
        <f t="shared" si="404"/>
        <v>1.1082426551316609</v>
      </c>
      <c r="X556" s="273">
        <f t="shared" si="404"/>
        <v>1.3194972900368998</v>
      </c>
      <c r="Y556" s="273">
        <f t="shared" si="404"/>
        <v>1.092175520900277</v>
      </c>
      <c r="Z556" s="273">
        <f t="shared" si="404"/>
        <v>1.0766656111086459</v>
      </c>
      <c r="AA556" s="224">
        <f t="shared" si="237"/>
        <v>14.339678034664816</v>
      </c>
      <c r="AB556" s="273">
        <f t="shared" ref="AB556:AM556" si="405">+AB165+AB182</f>
        <v>1.148537578263553</v>
      </c>
      <c r="AC556" s="273">
        <f t="shared" si="405"/>
        <v>1.1087592031540376</v>
      </c>
      <c r="AD556" s="273">
        <f t="shared" si="405"/>
        <v>1.1962716283949708</v>
      </c>
      <c r="AE556" s="273">
        <f t="shared" si="405"/>
        <v>1.1405819032416498</v>
      </c>
      <c r="AF556" s="273">
        <f t="shared" si="405"/>
        <v>1.2121829784387774</v>
      </c>
      <c r="AG556" s="273">
        <f t="shared" si="405"/>
        <v>1.0451138029788132</v>
      </c>
      <c r="AH556" s="273">
        <f t="shared" si="405"/>
        <v>1.1405819032416498</v>
      </c>
      <c r="AI556" s="273">
        <f t="shared" si="405"/>
        <v>1.2121829784387774</v>
      </c>
      <c r="AJ556" s="273">
        <f t="shared" si="405"/>
        <v>1.0461585576736301</v>
      </c>
      <c r="AK556" s="273">
        <f t="shared" si="405"/>
        <v>1.2580277259571448</v>
      </c>
      <c r="AL556" s="273">
        <f t="shared" si="405"/>
        <v>1.0408729768835865</v>
      </c>
      <c r="AM556" s="273">
        <f t="shared" si="405"/>
        <v>1.0730440508204098</v>
      </c>
      <c r="AN556" s="224">
        <f t="shared" si="239"/>
        <v>13.622315287487</v>
      </c>
      <c r="AO556" s="273">
        <f t="shared" ref="AO556:AY556" si="406">+AO165+AO182</f>
        <v>14.069524273470325</v>
      </c>
      <c r="AP556" s="273">
        <f t="shared" si="406"/>
        <v>14.400943815414019</v>
      </c>
      <c r="AQ556" s="273">
        <f t="shared" si="406"/>
        <v>14.83297212987644</v>
      </c>
      <c r="AR556" s="273">
        <f t="shared" si="406"/>
        <v>15.277961293772734</v>
      </c>
      <c r="AS556" s="273">
        <f t="shared" si="406"/>
        <v>15.736300132585916</v>
      </c>
      <c r="AT556" s="273">
        <f t="shared" si="406"/>
        <v>16.208389136563493</v>
      </c>
      <c r="AU556" s="273">
        <f t="shared" si="406"/>
        <v>16.694640810660399</v>
      </c>
      <c r="AV556" s="273">
        <f t="shared" si="406"/>
        <v>17.195480034980211</v>
      </c>
      <c r="AW556" s="273">
        <f t="shared" si="406"/>
        <v>17.711344436029616</v>
      </c>
      <c r="AX556" s="273">
        <f t="shared" si="406"/>
        <v>18.242684769110504</v>
      </c>
      <c r="AY556" s="273">
        <f t="shared" si="406"/>
        <v>18.789965312183821</v>
      </c>
      <c r="AZ556" s="923"/>
      <c r="BA556" s="923"/>
    </row>
    <row r="557" spans="1:53">
      <c r="A557" s="874" t="s">
        <v>626</v>
      </c>
      <c r="B557" s="871" t="s">
        <v>108</v>
      </c>
      <c r="E557" s="277"/>
      <c r="F557" s="273"/>
      <c r="G557" s="273"/>
      <c r="H557" s="273"/>
      <c r="I557" s="273"/>
      <c r="J557" s="273"/>
      <c r="K557" s="273"/>
      <c r="L557" s="273"/>
      <c r="M557" s="273"/>
      <c r="N557" s="224">
        <f t="shared" si="370"/>
        <v>0</v>
      </c>
      <c r="O557" s="273">
        <f t="shared" ref="O557:Z557" si="407">+O37</f>
        <v>0.59970047304999996</v>
      </c>
      <c r="P557" s="273">
        <f t="shared" si="407"/>
        <v>0.57262918589999989</v>
      </c>
      <c r="Q557" s="273">
        <f t="shared" si="407"/>
        <v>1.0918803646499999</v>
      </c>
      <c r="R557" s="273">
        <f t="shared" si="407"/>
        <v>0.5774350772500001</v>
      </c>
      <c r="S557" s="273">
        <f t="shared" si="407"/>
        <v>0.66083669825000002</v>
      </c>
      <c r="T557" s="273">
        <f t="shared" si="407"/>
        <v>0.7893160144500001</v>
      </c>
      <c r="U557" s="273">
        <f t="shared" si="407"/>
        <v>0.60393180797000001</v>
      </c>
      <c r="V557" s="273">
        <f t="shared" si="407"/>
        <v>0.59598041486374997</v>
      </c>
      <c r="W557" s="273">
        <f t="shared" si="407"/>
        <v>0.57549497430999996</v>
      </c>
      <c r="X557" s="273">
        <f t="shared" si="407"/>
        <v>0.61052207354999999</v>
      </c>
      <c r="Y557" s="273">
        <f t="shared" si="407"/>
        <v>0.52810946834999994</v>
      </c>
      <c r="Z557" s="273">
        <f t="shared" si="407"/>
        <v>0.72707597475000008</v>
      </c>
      <c r="AA557" s="224">
        <f t="shared" si="237"/>
        <v>7.9329125273437491</v>
      </c>
      <c r="AB557" s="273">
        <f t="shared" ref="AB557:AM557" si="408">+AB37</f>
        <v>0.61678824722000003</v>
      </c>
      <c r="AC557" s="273">
        <f t="shared" si="408"/>
        <v>0.59747604967000012</v>
      </c>
      <c r="AD557" s="273">
        <f t="shared" si="408"/>
        <v>1.1137021849100002</v>
      </c>
      <c r="AE557" s="273">
        <f t="shared" si="408"/>
        <v>0.64262052326999997</v>
      </c>
      <c r="AF557" s="273">
        <f t="shared" si="408"/>
        <v>0.68549010266999999</v>
      </c>
      <c r="AG557" s="273">
        <f t="shared" si="408"/>
        <v>0.79019398777000005</v>
      </c>
      <c r="AH557" s="273">
        <f t="shared" si="408"/>
        <v>0.62582592372000012</v>
      </c>
      <c r="AI557" s="273">
        <f t="shared" si="408"/>
        <v>0.62338395537000002</v>
      </c>
      <c r="AJ557" s="273">
        <f t="shared" si="408"/>
        <v>0.63014110739499996</v>
      </c>
      <c r="AK557" s="273">
        <f t="shared" si="408"/>
        <v>0.64805168327000007</v>
      </c>
      <c r="AL557" s="273">
        <f t="shared" si="408"/>
        <v>0.56323245682</v>
      </c>
      <c r="AM557" s="273">
        <f t="shared" si="408"/>
        <v>0.78299753136999994</v>
      </c>
      <c r="AN557" s="224">
        <f t="shared" si="239"/>
        <v>8.3199037534549998</v>
      </c>
      <c r="AO557" s="273">
        <f t="shared" ref="AO557:AY557" si="409">+AO37</f>
        <v>8.4787328288066526</v>
      </c>
      <c r="AP557" s="273">
        <f t="shared" si="409"/>
        <v>8.7787176135641509</v>
      </c>
      <c r="AQ557" s="273">
        <f t="shared" si="409"/>
        <v>9.042079141971076</v>
      </c>
      <c r="AR557" s="273">
        <f t="shared" si="409"/>
        <v>9.3133415162302082</v>
      </c>
      <c r="AS557" s="273">
        <f t="shared" si="409"/>
        <v>9.5927417617171145</v>
      </c>
      <c r="AT557" s="273">
        <f t="shared" si="409"/>
        <v>9.8805240145686284</v>
      </c>
      <c r="AU557" s="273">
        <f t="shared" si="409"/>
        <v>10.176939735005687</v>
      </c>
      <c r="AV557" s="273">
        <f t="shared" si="409"/>
        <v>10.482247927055859</v>
      </c>
      <c r="AW557" s="273">
        <f t="shared" si="409"/>
        <v>10.796715364867534</v>
      </c>
      <c r="AX557" s="273">
        <f t="shared" si="409"/>
        <v>11.12061682581356</v>
      </c>
      <c r="AY557" s="273">
        <f t="shared" si="409"/>
        <v>11.454235330587967</v>
      </c>
      <c r="AZ557" s="923"/>
      <c r="BA557" s="923"/>
    </row>
    <row r="558" spans="1:53">
      <c r="A558" s="874" t="s">
        <v>628</v>
      </c>
      <c r="B558" s="871" t="s">
        <v>109</v>
      </c>
      <c r="E558" s="277"/>
      <c r="F558" s="273"/>
      <c r="G558" s="273"/>
      <c r="H558" s="273"/>
      <c r="I558" s="273"/>
      <c r="J558" s="273"/>
      <c r="K558" s="273"/>
      <c r="L558" s="273"/>
      <c r="M558" s="273"/>
      <c r="N558" s="224">
        <f t="shared" si="370"/>
        <v>0</v>
      </c>
      <c r="O558" s="273">
        <f t="shared" ref="O558:Z558" si="410">+O183</f>
        <v>0</v>
      </c>
      <c r="P558" s="273">
        <f t="shared" si="410"/>
        <v>0</v>
      </c>
      <c r="Q558" s="273">
        <f t="shared" si="410"/>
        <v>0</v>
      </c>
      <c r="R558" s="273">
        <f t="shared" si="410"/>
        <v>0</v>
      </c>
      <c r="S558" s="273">
        <f t="shared" si="410"/>
        <v>0</v>
      </c>
      <c r="T558" s="273">
        <f t="shared" si="410"/>
        <v>0</v>
      </c>
      <c r="U558" s="273">
        <f t="shared" si="410"/>
        <v>0</v>
      </c>
      <c r="V558" s="273">
        <f t="shared" si="410"/>
        <v>0</v>
      </c>
      <c r="W558" s="273">
        <f t="shared" si="410"/>
        <v>0</v>
      </c>
      <c r="X558" s="273">
        <f t="shared" si="410"/>
        <v>0</v>
      </c>
      <c r="Y558" s="273">
        <f t="shared" si="410"/>
        <v>0</v>
      </c>
      <c r="Z558" s="273">
        <f t="shared" si="410"/>
        <v>0</v>
      </c>
      <c r="AA558" s="224">
        <f t="shared" si="237"/>
        <v>0</v>
      </c>
      <c r="AB558" s="273">
        <f t="shared" ref="AB558:AM558" si="411">+AB183</f>
        <v>0</v>
      </c>
      <c r="AC558" s="273">
        <f t="shared" si="411"/>
        <v>0</v>
      </c>
      <c r="AD558" s="273">
        <f t="shared" si="411"/>
        <v>0</v>
      </c>
      <c r="AE558" s="273">
        <f t="shared" si="411"/>
        <v>0</v>
      </c>
      <c r="AF558" s="273">
        <f t="shared" si="411"/>
        <v>0</v>
      </c>
      <c r="AG558" s="273">
        <f t="shared" si="411"/>
        <v>0</v>
      </c>
      <c r="AH558" s="273">
        <f t="shared" si="411"/>
        <v>0</v>
      </c>
      <c r="AI558" s="273">
        <f t="shared" si="411"/>
        <v>0</v>
      </c>
      <c r="AJ558" s="273">
        <f t="shared" si="411"/>
        <v>0</v>
      </c>
      <c r="AK558" s="273">
        <f t="shared" si="411"/>
        <v>0</v>
      </c>
      <c r="AL558" s="273">
        <f t="shared" si="411"/>
        <v>0</v>
      </c>
      <c r="AM558" s="273">
        <f t="shared" si="411"/>
        <v>0</v>
      </c>
      <c r="AN558" s="224">
        <f t="shared" si="239"/>
        <v>0</v>
      </c>
      <c r="AO558" s="273">
        <f t="shared" ref="AO558:AY558" si="412">+AO183</f>
        <v>0</v>
      </c>
      <c r="AP558" s="273">
        <f t="shared" si="412"/>
        <v>0</v>
      </c>
      <c r="AQ558" s="273">
        <f t="shared" si="412"/>
        <v>0</v>
      </c>
      <c r="AR558" s="273">
        <f t="shared" si="412"/>
        <v>0</v>
      </c>
      <c r="AS558" s="273">
        <f t="shared" si="412"/>
        <v>0</v>
      </c>
      <c r="AT558" s="273">
        <f t="shared" si="412"/>
        <v>0</v>
      </c>
      <c r="AU558" s="273">
        <f t="shared" si="412"/>
        <v>0</v>
      </c>
      <c r="AV558" s="273">
        <f t="shared" si="412"/>
        <v>0</v>
      </c>
      <c r="AW558" s="273">
        <f t="shared" si="412"/>
        <v>0</v>
      </c>
      <c r="AX558" s="273">
        <f t="shared" si="412"/>
        <v>0</v>
      </c>
      <c r="AY558" s="273">
        <f t="shared" si="412"/>
        <v>0</v>
      </c>
      <c r="AZ558" s="923"/>
      <c r="BA558" s="923"/>
    </row>
    <row r="559" spans="1:53">
      <c r="A559" s="874">
        <v>921.10500000000002</v>
      </c>
      <c r="B559" s="873" t="s">
        <v>995</v>
      </c>
      <c r="E559" s="277"/>
      <c r="F559" s="273"/>
      <c r="G559" s="273"/>
      <c r="H559" s="273"/>
      <c r="I559" s="273"/>
      <c r="J559" s="273"/>
      <c r="K559" s="273"/>
      <c r="L559" s="273"/>
      <c r="M559" s="273"/>
      <c r="N559" s="224">
        <f t="shared" si="370"/>
        <v>0</v>
      </c>
      <c r="O559" s="273">
        <f t="shared" ref="O559:Z559" si="413">O185</f>
        <v>4.7808999999999997E-2</v>
      </c>
      <c r="P559" s="273">
        <f t="shared" si="413"/>
        <v>4.7808999999999997E-2</v>
      </c>
      <c r="Q559" s="273">
        <f t="shared" si="413"/>
        <v>4.7808999999999997E-2</v>
      </c>
      <c r="R559" s="273">
        <f t="shared" si="413"/>
        <v>4.7808999999999997E-2</v>
      </c>
      <c r="S559" s="273">
        <f t="shared" si="413"/>
        <v>4.7808999999999997E-2</v>
      </c>
      <c r="T559" s="273">
        <f t="shared" si="413"/>
        <v>4.7760999999999998E-2</v>
      </c>
      <c r="U559" s="273">
        <f t="shared" si="413"/>
        <v>4.7760999999999998E-2</v>
      </c>
      <c r="V559" s="273">
        <f t="shared" si="413"/>
        <v>4.7760999999999998E-2</v>
      </c>
      <c r="W559" s="273">
        <f t="shared" si="413"/>
        <v>4.7760999999999998E-2</v>
      </c>
      <c r="X559" s="273">
        <f t="shared" si="413"/>
        <v>4.7760999999999998E-2</v>
      </c>
      <c r="Y559" s="273">
        <f t="shared" si="413"/>
        <v>4.7760999999999998E-2</v>
      </c>
      <c r="Z559" s="273">
        <f t="shared" si="413"/>
        <v>4.7760999999999998E-2</v>
      </c>
      <c r="AA559" s="224">
        <f t="shared" si="237"/>
        <v>0.57337199999999999</v>
      </c>
      <c r="AB559" s="273">
        <f t="shared" ref="AB559:AM559" si="414">AB185</f>
        <v>4.7760999999999998E-2</v>
      </c>
      <c r="AC559" s="273">
        <f t="shared" si="414"/>
        <v>4.7760999999999998E-2</v>
      </c>
      <c r="AD559" s="273">
        <f t="shared" si="414"/>
        <v>4.7760999999999998E-2</v>
      </c>
      <c r="AE559" s="273">
        <f t="shared" si="414"/>
        <v>4.7760999999999998E-2</v>
      </c>
      <c r="AF559" s="273">
        <f t="shared" si="414"/>
        <v>4.7760999999999998E-2</v>
      </c>
      <c r="AG559" s="273">
        <f t="shared" si="414"/>
        <v>4.768E-2</v>
      </c>
      <c r="AH559" s="273">
        <f t="shared" si="414"/>
        <v>4.768E-2</v>
      </c>
      <c r="AI559" s="273">
        <f t="shared" si="414"/>
        <v>4.768E-2</v>
      </c>
      <c r="AJ559" s="273">
        <f t="shared" si="414"/>
        <v>4.768E-2</v>
      </c>
      <c r="AK559" s="273">
        <f t="shared" si="414"/>
        <v>4.768E-2</v>
      </c>
      <c r="AL559" s="273">
        <f t="shared" si="414"/>
        <v>4.768E-2</v>
      </c>
      <c r="AM559" s="273">
        <f t="shared" si="414"/>
        <v>4.768E-2</v>
      </c>
      <c r="AN559" s="224">
        <f t="shared" si="239"/>
        <v>0.57256499999999999</v>
      </c>
      <c r="AO559" s="273">
        <f t="shared" ref="AO559:AY559" si="415">AO185</f>
        <v>0.58050400000000002</v>
      </c>
      <c r="AP559" s="273">
        <f t="shared" si="415"/>
        <v>0.59501800000000005</v>
      </c>
      <c r="AQ559" s="273">
        <f t="shared" si="415"/>
        <v>0.61286854000000002</v>
      </c>
      <c r="AR559" s="273">
        <f t="shared" si="415"/>
        <v>0.63125459620000002</v>
      </c>
      <c r="AS559" s="273">
        <f t="shared" si="415"/>
        <v>0.65019223408600002</v>
      </c>
      <c r="AT559" s="273">
        <f t="shared" si="415"/>
        <v>0.66969800110858002</v>
      </c>
      <c r="AU559" s="273">
        <f t="shared" si="415"/>
        <v>0.68978894114183742</v>
      </c>
      <c r="AV559" s="273">
        <f t="shared" si="415"/>
        <v>0.71048260937609253</v>
      </c>
      <c r="AW559" s="273">
        <f t="shared" si="415"/>
        <v>0.73179708765737528</v>
      </c>
      <c r="AX559" s="273">
        <f t="shared" si="415"/>
        <v>0.75375100028709652</v>
      </c>
      <c r="AY559" s="273">
        <f t="shared" si="415"/>
        <v>0.77636353029570948</v>
      </c>
      <c r="AZ559" s="923"/>
      <c r="BA559" s="923"/>
    </row>
    <row r="560" spans="1:53">
      <c r="A560" s="874" t="s">
        <v>637</v>
      </c>
      <c r="B560" s="871" t="s">
        <v>113</v>
      </c>
      <c r="E560" s="277"/>
      <c r="F560" s="273"/>
      <c r="G560" s="273"/>
      <c r="H560" s="273"/>
      <c r="I560" s="273"/>
      <c r="J560" s="273"/>
      <c r="K560" s="273"/>
      <c r="L560" s="273"/>
      <c r="M560" s="273"/>
      <c r="N560" s="224">
        <f t="shared" si="370"/>
        <v>0</v>
      </c>
      <c r="O560" s="273">
        <f t="shared" ref="O560:Z560" si="416">+O40+O64</f>
        <v>0.19639523170000001</v>
      </c>
      <c r="P560" s="273">
        <f t="shared" si="416"/>
        <v>0.171322434</v>
      </c>
      <c r="Q560" s="273">
        <f t="shared" si="416"/>
        <v>0.25360296869999999</v>
      </c>
      <c r="R560" s="273">
        <f t="shared" si="416"/>
        <v>0.20656231050000001</v>
      </c>
      <c r="S560" s="273">
        <f t="shared" si="416"/>
        <v>0.33284111239999997</v>
      </c>
      <c r="T560" s="273">
        <f t="shared" si="416"/>
        <v>0.63534759140000008</v>
      </c>
      <c r="U560" s="273">
        <f t="shared" si="416"/>
        <v>0.17381533000000002</v>
      </c>
      <c r="V560" s="273">
        <f t="shared" si="416"/>
        <v>0.23693147050625002</v>
      </c>
      <c r="W560" s="273">
        <f t="shared" si="416"/>
        <v>0.2096840864</v>
      </c>
      <c r="X560" s="273">
        <f t="shared" si="416"/>
        <v>0.18289227560000001</v>
      </c>
      <c r="Y560" s="273">
        <f t="shared" si="416"/>
        <v>0.14298927110000001</v>
      </c>
      <c r="Z560" s="273">
        <f t="shared" si="416"/>
        <v>0.18116328840000001</v>
      </c>
      <c r="AA560" s="224">
        <f t="shared" ref="AA560:AA569" si="417">SUM(O560:Z560)</f>
        <v>2.9235473707062498</v>
      </c>
      <c r="AB560" s="273">
        <f t="shared" ref="AB560:AM560" si="418">+AB40+AB64</f>
        <v>0.18900775129980002</v>
      </c>
      <c r="AC560" s="273">
        <f t="shared" si="418"/>
        <v>0.16025957948059999</v>
      </c>
      <c r="AD560" s="273">
        <f t="shared" si="418"/>
        <v>0.24093046241880003</v>
      </c>
      <c r="AE560" s="273">
        <f t="shared" si="418"/>
        <v>0.23095090608460001</v>
      </c>
      <c r="AF560" s="273">
        <f t="shared" si="418"/>
        <v>0.31693806197099994</v>
      </c>
      <c r="AG560" s="273">
        <f t="shared" si="418"/>
        <v>0.63744792503580017</v>
      </c>
      <c r="AH560" s="273">
        <f t="shared" si="418"/>
        <v>0.15692613042660003</v>
      </c>
      <c r="AI560" s="273">
        <f t="shared" si="418"/>
        <v>0.21733033148460004</v>
      </c>
      <c r="AJ560" s="273">
        <f t="shared" si="418"/>
        <v>0.23721250566749996</v>
      </c>
      <c r="AK560" s="273">
        <f t="shared" si="418"/>
        <v>0.16661191680619999</v>
      </c>
      <c r="AL560" s="273">
        <f t="shared" si="418"/>
        <v>0.14717607399420002</v>
      </c>
      <c r="AM560" s="273">
        <f t="shared" si="418"/>
        <v>0.20062636559300004</v>
      </c>
      <c r="AN560" s="224">
        <f t="shared" ref="AN560:AN569" si="419">SUM(AB560:AM560)</f>
        <v>2.9014180102627005</v>
      </c>
      <c r="AO560" s="273">
        <f t="shared" ref="AO560:AY560" si="420">+AO40+AO64</f>
        <v>2.8770318232855816</v>
      </c>
      <c r="AP560" s="273">
        <f t="shared" si="420"/>
        <v>3.2576447718395927</v>
      </c>
      <c r="AQ560" s="273">
        <f t="shared" si="420"/>
        <v>3.3553741149947802</v>
      </c>
      <c r="AR560" s="273">
        <f t="shared" si="420"/>
        <v>3.4560353384446239</v>
      </c>
      <c r="AS560" s="273">
        <f t="shared" si="420"/>
        <v>3.559716398597963</v>
      </c>
      <c r="AT560" s="273">
        <f t="shared" si="420"/>
        <v>3.6665078905559021</v>
      </c>
      <c r="AU560" s="273">
        <f t="shared" si="420"/>
        <v>3.7765031272725791</v>
      </c>
      <c r="AV560" s="273">
        <f t="shared" si="420"/>
        <v>3.8897982210907571</v>
      </c>
      <c r="AW560" s="273">
        <f t="shared" si="420"/>
        <v>4.0064921677234793</v>
      </c>
      <c r="AX560" s="273">
        <f t="shared" si="420"/>
        <v>4.1266869327551836</v>
      </c>
      <c r="AY560" s="273">
        <f t="shared" si="420"/>
        <v>4.25048754073784</v>
      </c>
      <c r="AZ560" s="923"/>
      <c r="BA560" s="923"/>
    </row>
    <row r="561" spans="1:53">
      <c r="A561" s="874">
        <v>923.1</v>
      </c>
      <c r="B561" s="871" t="s">
        <v>113</v>
      </c>
      <c r="E561" s="277"/>
      <c r="F561" s="273"/>
      <c r="G561" s="273"/>
      <c r="H561" s="273"/>
      <c r="I561" s="273"/>
      <c r="J561" s="273"/>
      <c r="K561" s="273"/>
      <c r="L561" s="273"/>
      <c r="M561" s="273"/>
      <c r="N561" s="224">
        <f t="shared" si="370"/>
        <v>0</v>
      </c>
      <c r="O561" s="273"/>
      <c r="P561" s="273"/>
      <c r="Q561" s="273"/>
      <c r="R561" s="273"/>
      <c r="S561" s="273"/>
      <c r="T561" s="273"/>
      <c r="U561" s="273"/>
      <c r="V561" s="273"/>
      <c r="W561" s="273"/>
      <c r="X561" s="273"/>
      <c r="Y561" s="273"/>
      <c r="Z561" s="273"/>
      <c r="AA561" s="224">
        <f t="shared" si="417"/>
        <v>0</v>
      </c>
      <c r="AB561" s="273"/>
      <c r="AC561" s="273"/>
      <c r="AD561" s="273"/>
      <c r="AE561" s="273"/>
      <c r="AF561" s="273"/>
      <c r="AG561" s="273"/>
      <c r="AH561" s="273"/>
      <c r="AI561" s="273"/>
      <c r="AJ561" s="273"/>
      <c r="AK561" s="273"/>
      <c r="AL561" s="273"/>
      <c r="AM561" s="273"/>
      <c r="AN561" s="224">
        <f t="shared" si="419"/>
        <v>0</v>
      </c>
      <c r="AO561" s="273"/>
      <c r="AP561" s="273"/>
      <c r="AQ561" s="273"/>
      <c r="AR561" s="273"/>
      <c r="AS561" s="273"/>
      <c r="AT561" s="273"/>
      <c r="AU561" s="273"/>
      <c r="AV561" s="273"/>
      <c r="AW561" s="273"/>
      <c r="AX561" s="273"/>
      <c r="AY561" s="273"/>
      <c r="AZ561" s="923"/>
      <c r="BA561" s="923"/>
    </row>
    <row r="562" spans="1:53">
      <c r="A562" s="874" t="s">
        <v>114</v>
      </c>
      <c r="B562" s="871" t="s">
        <v>996</v>
      </c>
      <c r="E562" s="277"/>
      <c r="F562" s="273"/>
      <c r="G562" s="273"/>
      <c r="H562" s="273"/>
      <c r="I562" s="273"/>
      <c r="J562" s="273"/>
      <c r="K562" s="273"/>
      <c r="L562" s="273"/>
      <c r="M562" s="273"/>
      <c r="N562" s="224">
        <f t="shared" si="370"/>
        <v>0</v>
      </c>
      <c r="O562" s="273">
        <f t="shared" ref="O562:Z562" si="421">O189</f>
        <v>0</v>
      </c>
      <c r="P562" s="273">
        <f t="shared" si="421"/>
        <v>0</v>
      </c>
      <c r="Q562" s="273">
        <f t="shared" si="421"/>
        <v>0</v>
      </c>
      <c r="R562" s="273">
        <f t="shared" si="421"/>
        <v>0</v>
      </c>
      <c r="S562" s="273">
        <f t="shared" si="421"/>
        <v>0</v>
      </c>
      <c r="T562" s="273">
        <f t="shared" si="421"/>
        <v>0</v>
      </c>
      <c r="U562" s="273">
        <f t="shared" si="421"/>
        <v>0</v>
      </c>
      <c r="V562" s="273">
        <f t="shared" si="421"/>
        <v>0</v>
      </c>
      <c r="W562" s="273">
        <f t="shared" si="421"/>
        <v>0</v>
      </c>
      <c r="X562" s="273">
        <f t="shared" si="421"/>
        <v>0</v>
      </c>
      <c r="Y562" s="273">
        <f t="shared" si="421"/>
        <v>0</v>
      </c>
      <c r="Z562" s="273">
        <f t="shared" si="421"/>
        <v>0</v>
      </c>
      <c r="AA562" s="224">
        <f t="shared" si="417"/>
        <v>0</v>
      </c>
      <c r="AB562" s="273">
        <f t="shared" ref="AB562:AM562" si="422">AB189</f>
        <v>0</v>
      </c>
      <c r="AC562" s="273">
        <f t="shared" si="422"/>
        <v>0</v>
      </c>
      <c r="AD562" s="273">
        <f t="shared" si="422"/>
        <v>0</v>
      </c>
      <c r="AE562" s="273">
        <f t="shared" si="422"/>
        <v>0</v>
      </c>
      <c r="AF562" s="273">
        <f t="shared" si="422"/>
        <v>0</v>
      </c>
      <c r="AG562" s="273">
        <f t="shared" si="422"/>
        <v>0</v>
      </c>
      <c r="AH562" s="273">
        <f t="shared" si="422"/>
        <v>0</v>
      </c>
      <c r="AI562" s="273">
        <f t="shared" si="422"/>
        <v>0</v>
      </c>
      <c r="AJ562" s="273">
        <f t="shared" si="422"/>
        <v>0</v>
      </c>
      <c r="AK562" s="273">
        <f t="shared" si="422"/>
        <v>0</v>
      </c>
      <c r="AL562" s="273">
        <f t="shared" si="422"/>
        <v>0</v>
      </c>
      <c r="AM562" s="273">
        <f t="shared" si="422"/>
        <v>0</v>
      </c>
      <c r="AN562" s="224">
        <f t="shared" si="419"/>
        <v>0</v>
      </c>
      <c r="AO562" s="273">
        <f t="shared" ref="AO562:AY562" si="423">AO189</f>
        <v>0</v>
      </c>
      <c r="AP562" s="273">
        <f t="shared" si="423"/>
        <v>0</v>
      </c>
      <c r="AQ562" s="273">
        <f t="shared" si="423"/>
        <v>0</v>
      </c>
      <c r="AR562" s="273">
        <f t="shared" si="423"/>
        <v>0</v>
      </c>
      <c r="AS562" s="273">
        <f t="shared" si="423"/>
        <v>0</v>
      </c>
      <c r="AT562" s="273">
        <f t="shared" si="423"/>
        <v>0</v>
      </c>
      <c r="AU562" s="273">
        <f t="shared" si="423"/>
        <v>0</v>
      </c>
      <c r="AV562" s="273">
        <f t="shared" si="423"/>
        <v>0</v>
      </c>
      <c r="AW562" s="273">
        <f t="shared" si="423"/>
        <v>0</v>
      </c>
      <c r="AX562" s="273">
        <f t="shared" si="423"/>
        <v>0</v>
      </c>
      <c r="AY562" s="273">
        <f t="shared" si="423"/>
        <v>0</v>
      </c>
      <c r="AZ562" s="923"/>
      <c r="BA562" s="923"/>
    </row>
    <row r="563" spans="1:53">
      <c r="A563" s="874" t="s">
        <v>115</v>
      </c>
      <c r="B563" s="871" t="s">
        <v>997</v>
      </c>
      <c r="E563" s="277"/>
      <c r="F563" s="273"/>
      <c r="G563" s="273"/>
      <c r="H563" s="273"/>
      <c r="I563" s="273"/>
      <c r="J563" s="273"/>
      <c r="K563" s="273"/>
      <c r="L563" s="273"/>
      <c r="M563" s="273"/>
      <c r="N563" s="224">
        <f t="shared" ref="N563:N569" si="424">SUM(E563:M563)</f>
        <v>0</v>
      </c>
      <c r="O563" s="273">
        <f t="shared" ref="O563:Z563" si="425">+O166+O42</f>
        <v>4.0289050000000007E-2</v>
      </c>
      <c r="P563" s="273">
        <f t="shared" si="425"/>
        <v>3.0151300000000002E-2</v>
      </c>
      <c r="Q563" s="273">
        <f t="shared" si="425"/>
        <v>3.8926500000000003E-2</v>
      </c>
      <c r="R563" s="273">
        <f t="shared" si="425"/>
        <v>3.1379799999999999E-2</v>
      </c>
      <c r="S563" s="273">
        <f t="shared" si="425"/>
        <v>3.1064800000000004E-2</v>
      </c>
      <c r="T563" s="273">
        <f t="shared" si="425"/>
        <v>3.3706600000000003E-2</v>
      </c>
      <c r="U563" s="273">
        <f t="shared" si="425"/>
        <v>3.2749E-2</v>
      </c>
      <c r="V563" s="273">
        <f t="shared" si="425"/>
        <v>3.6522700000000005E-2</v>
      </c>
      <c r="W563" s="273">
        <f t="shared" si="425"/>
        <v>3.1121500000000003E-2</v>
      </c>
      <c r="X563" s="273">
        <f t="shared" si="425"/>
        <v>4.1169999999999998E-2</v>
      </c>
      <c r="Y563" s="273">
        <f t="shared" si="425"/>
        <v>3.0071500000000001E-2</v>
      </c>
      <c r="Z563" s="273">
        <f t="shared" si="425"/>
        <v>3.1722100000000003E-2</v>
      </c>
      <c r="AA563" s="224">
        <f t="shared" si="417"/>
        <v>0.40887485000000001</v>
      </c>
      <c r="AB563" s="273">
        <f t="shared" ref="AB563:AM563" si="426">+AB166+AB42</f>
        <v>3.6902799999999999E-2</v>
      </c>
      <c r="AC563" s="273">
        <f t="shared" si="426"/>
        <v>2.9565400000000002E-2</v>
      </c>
      <c r="AD563" s="273">
        <f t="shared" si="426"/>
        <v>3.9182700000000001E-2</v>
      </c>
      <c r="AE563" s="273">
        <f t="shared" si="426"/>
        <v>3.4374399999999999E-2</v>
      </c>
      <c r="AF563" s="273">
        <f t="shared" si="426"/>
        <v>3.0478900000000003E-2</v>
      </c>
      <c r="AG563" s="273">
        <f t="shared" si="426"/>
        <v>3.2759500000000004E-2</v>
      </c>
      <c r="AH563" s="273">
        <f t="shared" si="426"/>
        <v>3.1436500000000006E-2</v>
      </c>
      <c r="AI563" s="273">
        <f t="shared" si="426"/>
        <v>3.3055600000000004E-2</v>
      </c>
      <c r="AJ563" s="273">
        <f t="shared" si="426"/>
        <v>3.0655300000000003E-2</v>
      </c>
      <c r="AK563" s="273">
        <f t="shared" si="426"/>
        <v>4.1308600000000001E-2</v>
      </c>
      <c r="AL563" s="273">
        <f t="shared" si="426"/>
        <v>3.0222700000000002E-2</v>
      </c>
      <c r="AM563" s="273">
        <f t="shared" si="426"/>
        <v>3.0613300000000003E-2</v>
      </c>
      <c r="AN563" s="224">
        <f t="shared" si="419"/>
        <v>0.40055570000000007</v>
      </c>
      <c r="AO563" s="273">
        <f t="shared" ref="AO563:AY563" si="427">+AO166+AO42</f>
        <v>0.39259880000000003</v>
      </c>
      <c r="AP563" s="273">
        <f t="shared" si="427"/>
        <v>0.39811130000000006</v>
      </c>
      <c r="AQ563" s="273">
        <f t="shared" si="427"/>
        <v>0.41005463900000005</v>
      </c>
      <c r="AR563" s="273">
        <f t="shared" si="427"/>
        <v>0.4223562781700001</v>
      </c>
      <c r="AS563" s="273">
        <f t="shared" si="427"/>
        <v>0.43502696651510009</v>
      </c>
      <c r="AT563" s="273">
        <f t="shared" si="427"/>
        <v>0.44807777551055306</v>
      </c>
      <c r="AU563" s="273">
        <f t="shared" si="427"/>
        <v>0.46152010877586969</v>
      </c>
      <c r="AV563" s="273">
        <f t="shared" si="427"/>
        <v>0.47536571203914579</v>
      </c>
      <c r="AW563" s="273">
        <f t="shared" si="427"/>
        <v>0.48962668340032017</v>
      </c>
      <c r="AX563" s="273">
        <f t="shared" si="427"/>
        <v>0.50431548390232983</v>
      </c>
      <c r="AY563" s="273">
        <f t="shared" si="427"/>
        <v>0.5194449484193997</v>
      </c>
      <c r="AZ563" s="923"/>
      <c r="BA563" s="923"/>
    </row>
    <row r="564" spans="1:53">
      <c r="A564" s="874">
        <v>926.1</v>
      </c>
      <c r="B564" s="871" t="s">
        <v>998</v>
      </c>
      <c r="E564" s="277"/>
      <c r="F564" s="273"/>
      <c r="G564" s="273"/>
      <c r="H564" s="273"/>
      <c r="I564" s="273"/>
      <c r="J564" s="273"/>
      <c r="K564" s="273"/>
      <c r="L564" s="273"/>
      <c r="M564" s="273"/>
      <c r="N564" s="224">
        <f t="shared" si="424"/>
        <v>0</v>
      </c>
      <c r="O564" s="273">
        <f t="shared" ref="O564:Z564" si="428">+O181</f>
        <v>0</v>
      </c>
      <c r="P564" s="273">
        <f t="shared" si="428"/>
        <v>0</v>
      </c>
      <c r="Q564" s="273">
        <f t="shared" si="428"/>
        <v>0</v>
      </c>
      <c r="R564" s="273">
        <f t="shared" si="428"/>
        <v>0</v>
      </c>
      <c r="S564" s="273">
        <f t="shared" si="428"/>
        <v>0</v>
      </c>
      <c r="T564" s="273">
        <f t="shared" si="428"/>
        <v>0</v>
      </c>
      <c r="U564" s="273">
        <f t="shared" si="428"/>
        <v>0</v>
      </c>
      <c r="V564" s="273">
        <f t="shared" si="428"/>
        <v>0</v>
      </c>
      <c r="W564" s="273">
        <f t="shared" si="428"/>
        <v>0</v>
      </c>
      <c r="X564" s="273">
        <f t="shared" si="428"/>
        <v>0</v>
      </c>
      <c r="Y564" s="273">
        <f t="shared" si="428"/>
        <v>0</v>
      </c>
      <c r="Z564" s="273">
        <f t="shared" si="428"/>
        <v>0</v>
      </c>
      <c r="AA564" s="224">
        <f t="shared" si="417"/>
        <v>0</v>
      </c>
      <c r="AB564" s="273">
        <f t="shared" ref="AB564:AM564" si="429">+AB181</f>
        <v>0</v>
      </c>
      <c r="AC564" s="273">
        <f t="shared" si="429"/>
        <v>0</v>
      </c>
      <c r="AD564" s="273">
        <f t="shared" si="429"/>
        <v>0</v>
      </c>
      <c r="AE564" s="273">
        <f t="shared" si="429"/>
        <v>0</v>
      </c>
      <c r="AF564" s="273">
        <f t="shared" si="429"/>
        <v>0</v>
      </c>
      <c r="AG564" s="273">
        <f t="shared" si="429"/>
        <v>0</v>
      </c>
      <c r="AH564" s="273">
        <f t="shared" si="429"/>
        <v>0</v>
      </c>
      <c r="AI564" s="273">
        <f t="shared" si="429"/>
        <v>0</v>
      </c>
      <c r="AJ564" s="273">
        <f t="shared" si="429"/>
        <v>0</v>
      </c>
      <c r="AK564" s="273">
        <f t="shared" si="429"/>
        <v>0</v>
      </c>
      <c r="AL564" s="273">
        <f t="shared" si="429"/>
        <v>0</v>
      </c>
      <c r="AM564" s="273">
        <f t="shared" si="429"/>
        <v>0</v>
      </c>
      <c r="AN564" s="224">
        <f t="shared" si="419"/>
        <v>0</v>
      </c>
      <c r="AO564" s="273">
        <f t="shared" ref="AO564:AY564" si="430">+AO181</f>
        <v>0</v>
      </c>
      <c r="AP564" s="273">
        <f t="shared" si="430"/>
        <v>0</v>
      </c>
      <c r="AQ564" s="273">
        <f t="shared" si="430"/>
        <v>0</v>
      </c>
      <c r="AR564" s="273">
        <f t="shared" si="430"/>
        <v>0</v>
      </c>
      <c r="AS564" s="273">
        <f t="shared" si="430"/>
        <v>0</v>
      </c>
      <c r="AT564" s="273">
        <f t="shared" si="430"/>
        <v>0</v>
      </c>
      <c r="AU564" s="273">
        <f t="shared" si="430"/>
        <v>0</v>
      </c>
      <c r="AV564" s="273">
        <f t="shared" si="430"/>
        <v>0</v>
      </c>
      <c r="AW564" s="273">
        <f t="shared" si="430"/>
        <v>0</v>
      </c>
      <c r="AX564" s="273">
        <f t="shared" si="430"/>
        <v>0</v>
      </c>
      <c r="AY564" s="273">
        <f t="shared" si="430"/>
        <v>0</v>
      </c>
      <c r="AZ564" s="923"/>
      <c r="BA564" s="923"/>
    </row>
    <row r="565" spans="1:53">
      <c r="A565" s="874" t="s">
        <v>630</v>
      </c>
      <c r="B565" s="871" t="s">
        <v>120</v>
      </c>
      <c r="E565" s="277"/>
      <c r="F565" s="273"/>
      <c r="G565" s="273"/>
      <c r="H565" s="273"/>
      <c r="I565" s="273"/>
      <c r="J565" s="273"/>
      <c r="K565" s="273"/>
      <c r="L565" s="273"/>
      <c r="M565" s="273"/>
      <c r="N565" s="224">
        <f t="shared" si="424"/>
        <v>0</v>
      </c>
      <c r="O565" s="273">
        <f t="shared" ref="O565:Z565" si="431">+O38</f>
        <v>0</v>
      </c>
      <c r="P565" s="273">
        <f t="shared" si="431"/>
        <v>0</v>
      </c>
      <c r="Q565" s="273">
        <f t="shared" si="431"/>
        <v>0</v>
      </c>
      <c r="R565" s="273">
        <f t="shared" si="431"/>
        <v>0</v>
      </c>
      <c r="S565" s="273">
        <f t="shared" si="431"/>
        <v>0</v>
      </c>
      <c r="T565" s="273">
        <f t="shared" si="431"/>
        <v>0</v>
      </c>
      <c r="U565" s="273">
        <f t="shared" si="431"/>
        <v>0</v>
      </c>
      <c r="V565" s="273">
        <f t="shared" si="431"/>
        <v>0</v>
      </c>
      <c r="W565" s="273">
        <f t="shared" si="431"/>
        <v>0</v>
      </c>
      <c r="X565" s="273">
        <f t="shared" si="431"/>
        <v>0</v>
      </c>
      <c r="Y565" s="273">
        <f t="shared" si="431"/>
        <v>0</v>
      </c>
      <c r="Z565" s="273">
        <f t="shared" si="431"/>
        <v>0</v>
      </c>
      <c r="AA565" s="224">
        <f t="shared" si="417"/>
        <v>0</v>
      </c>
      <c r="AB565" s="273">
        <f t="shared" ref="AB565:AM565" si="432">+AB38</f>
        <v>0</v>
      </c>
      <c r="AC565" s="273">
        <f t="shared" si="432"/>
        <v>0</v>
      </c>
      <c r="AD565" s="273">
        <f t="shared" si="432"/>
        <v>0</v>
      </c>
      <c r="AE565" s="273">
        <f t="shared" si="432"/>
        <v>0</v>
      </c>
      <c r="AF565" s="273">
        <f t="shared" si="432"/>
        <v>0</v>
      </c>
      <c r="AG565" s="273">
        <f t="shared" si="432"/>
        <v>0</v>
      </c>
      <c r="AH565" s="273">
        <f t="shared" si="432"/>
        <v>0</v>
      </c>
      <c r="AI565" s="273">
        <f t="shared" si="432"/>
        <v>0</v>
      </c>
      <c r="AJ565" s="273">
        <f t="shared" si="432"/>
        <v>0</v>
      </c>
      <c r="AK565" s="273">
        <f t="shared" si="432"/>
        <v>0</v>
      </c>
      <c r="AL565" s="273">
        <f t="shared" si="432"/>
        <v>0</v>
      </c>
      <c r="AM565" s="273">
        <f t="shared" si="432"/>
        <v>0</v>
      </c>
      <c r="AN565" s="224">
        <f t="shared" si="419"/>
        <v>0</v>
      </c>
      <c r="AO565" s="273">
        <f t="shared" ref="AO565:AY565" si="433">+AO38</f>
        <v>0</v>
      </c>
      <c r="AP565" s="273">
        <f t="shared" si="433"/>
        <v>0</v>
      </c>
      <c r="AQ565" s="273">
        <f t="shared" si="433"/>
        <v>0</v>
      </c>
      <c r="AR565" s="273">
        <f t="shared" si="433"/>
        <v>0</v>
      </c>
      <c r="AS565" s="273">
        <f t="shared" si="433"/>
        <v>0</v>
      </c>
      <c r="AT565" s="273">
        <f t="shared" si="433"/>
        <v>0</v>
      </c>
      <c r="AU565" s="273">
        <f t="shared" si="433"/>
        <v>0</v>
      </c>
      <c r="AV565" s="273">
        <f t="shared" si="433"/>
        <v>0</v>
      </c>
      <c r="AW565" s="273">
        <f t="shared" si="433"/>
        <v>0</v>
      </c>
      <c r="AX565" s="273">
        <f t="shared" si="433"/>
        <v>0</v>
      </c>
      <c r="AY565" s="273">
        <f t="shared" si="433"/>
        <v>0</v>
      </c>
      <c r="AZ565" s="923"/>
      <c r="BA565" s="923"/>
    </row>
    <row r="566" spans="1:53">
      <c r="A566" s="874">
        <v>930.2</v>
      </c>
      <c r="B566" s="871" t="s">
        <v>999</v>
      </c>
      <c r="E566" s="277"/>
      <c r="F566" s="273"/>
      <c r="G566" s="273"/>
      <c r="H566" s="273"/>
      <c r="I566" s="273"/>
      <c r="J566" s="273"/>
      <c r="K566" s="273"/>
      <c r="L566" s="273"/>
      <c r="M566" s="273"/>
      <c r="N566" s="224">
        <f t="shared" si="424"/>
        <v>0</v>
      </c>
      <c r="O566" s="273">
        <f t="shared" ref="O566:Z566" si="434">+O39+O65+O82+O184+O186</f>
        <v>0.12982880151000001</v>
      </c>
      <c r="P566" s="273">
        <f t="shared" si="434"/>
        <v>8.7182511719999994E-2</v>
      </c>
      <c r="Q566" s="273">
        <f t="shared" si="434"/>
        <v>0.15765448551</v>
      </c>
      <c r="R566" s="273">
        <f t="shared" si="434"/>
        <v>0.12760092651999999</v>
      </c>
      <c r="S566" s="273">
        <f t="shared" si="434"/>
        <v>0.2260046037</v>
      </c>
      <c r="T566" s="273">
        <f t="shared" si="434"/>
        <v>0.2634141364</v>
      </c>
      <c r="U566" s="273">
        <f t="shared" si="434"/>
        <v>0.11897964492000002</v>
      </c>
      <c r="V566" s="273">
        <f t="shared" si="434"/>
        <v>9.1195462382499995E-2</v>
      </c>
      <c r="W566" s="273">
        <f t="shared" si="434"/>
        <v>0.15016815649999998</v>
      </c>
      <c r="X566" s="273">
        <f t="shared" si="434"/>
        <v>0.11853917144000001</v>
      </c>
      <c r="Y566" s="273">
        <f t="shared" si="434"/>
        <v>0.10445479979</v>
      </c>
      <c r="Z566" s="273">
        <f t="shared" si="434"/>
        <v>0.14412663185000002</v>
      </c>
      <c r="AA566" s="224">
        <f t="shared" si="417"/>
        <v>1.7191493322424998</v>
      </c>
      <c r="AB566" s="273">
        <f t="shared" ref="AB566:AM566" si="435">+AB39+AB65+AB82+AB184+AB186</f>
        <v>0.13731069385520001</v>
      </c>
      <c r="AC566" s="273">
        <f t="shared" si="435"/>
        <v>9.4559890742399996E-2</v>
      </c>
      <c r="AD566" s="273">
        <f t="shared" si="435"/>
        <v>0.16464348137520002</v>
      </c>
      <c r="AE566" s="273">
        <f t="shared" si="435"/>
        <v>0.13287841947840001</v>
      </c>
      <c r="AF566" s="273">
        <f t="shared" si="435"/>
        <v>0.23127622293599995</v>
      </c>
      <c r="AG566" s="273">
        <f t="shared" si="435"/>
        <v>0.27409815397920001</v>
      </c>
      <c r="AH566" s="273">
        <f t="shared" si="435"/>
        <v>0.12412270200640001</v>
      </c>
      <c r="AI566" s="273">
        <f t="shared" si="435"/>
        <v>9.6370911478400004E-2</v>
      </c>
      <c r="AJ566" s="273">
        <f t="shared" si="435"/>
        <v>0.16144127575200001</v>
      </c>
      <c r="AK566" s="273">
        <f t="shared" si="435"/>
        <v>0.12823602129280001</v>
      </c>
      <c r="AL566" s="273">
        <f t="shared" si="435"/>
        <v>0.1139051405848</v>
      </c>
      <c r="AM566" s="273">
        <f t="shared" si="435"/>
        <v>0.161620406484</v>
      </c>
      <c r="AN566" s="224">
        <f t="shared" si="419"/>
        <v>1.8204633199647997</v>
      </c>
      <c r="AO566" s="273">
        <f t="shared" ref="AO566:AY566" si="436">+AO39+AO65+AO82+AO184+AO186</f>
        <v>1.8910036551037437</v>
      </c>
      <c r="AP566" s="273">
        <f t="shared" si="436"/>
        <v>2.0081346248590188</v>
      </c>
      <c r="AQ566" s="273">
        <f t="shared" si="436"/>
        <v>2.0539360636047896</v>
      </c>
      <c r="AR566" s="273">
        <f t="shared" si="436"/>
        <v>2.101111545512933</v>
      </c>
      <c r="AS566" s="273">
        <f t="shared" si="436"/>
        <v>2.1497022918783211</v>
      </c>
      <c r="AT566" s="273">
        <f t="shared" si="436"/>
        <v>2.1997507606346711</v>
      </c>
      <c r="AU566" s="273">
        <f t="shared" si="436"/>
        <v>2.251300683453711</v>
      </c>
      <c r="AV566" s="273">
        <f t="shared" si="436"/>
        <v>2.3043971039573226</v>
      </c>
      <c r="AW566" s="273">
        <f t="shared" si="436"/>
        <v>2.3590864170760422</v>
      </c>
      <c r="AX566" s="273">
        <f t="shared" si="436"/>
        <v>2.4154164095883233</v>
      </c>
      <c r="AY566" s="273">
        <f t="shared" si="436"/>
        <v>2.4734363018759731</v>
      </c>
      <c r="AZ566" s="923"/>
      <c r="BA566" s="923"/>
    </row>
    <row r="567" spans="1:53">
      <c r="A567" s="874" t="s">
        <v>122</v>
      </c>
      <c r="B567" s="871" t="s">
        <v>123</v>
      </c>
      <c r="E567" s="277"/>
      <c r="F567" s="273"/>
      <c r="G567" s="273"/>
      <c r="H567" s="273"/>
      <c r="I567" s="273"/>
      <c r="J567" s="273"/>
      <c r="K567" s="273"/>
      <c r="L567" s="273"/>
      <c r="M567" s="273"/>
      <c r="N567" s="224">
        <f t="shared" si="424"/>
        <v>0</v>
      </c>
      <c r="O567" s="273">
        <f t="shared" ref="O567:Z567" si="437">O10</f>
        <v>1.6108999999999999E-4</v>
      </c>
      <c r="P567" s="273">
        <f t="shared" si="437"/>
        <v>1.6108999999999999E-4</v>
      </c>
      <c r="Q567" s="273">
        <f t="shared" si="437"/>
        <v>1.6108999999999999E-4</v>
      </c>
      <c r="R567" s="273">
        <f t="shared" si="437"/>
        <v>1.6108999999999999E-4</v>
      </c>
      <c r="S567" s="273">
        <f t="shared" si="437"/>
        <v>1.6108999999999999E-4</v>
      </c>
      <c r="T567" s="273">
        <f t="shared" si="437"/>
        <v>1.6108999999999999E-4</v>
      </c>
      <c r="U567" s="273">
        <f t="shared" si="437"/>
        <v>1.6108999999999999E-4</v>
      </c>
      <c r="V567" s="273">
        <f t="shared" si="437"/>
        <v>1.6108999999999999E-4</v>
      </c>
      <c r="W567" s="273">
        <f t="shared" si="437"/>
        <v>1.6108999999999999E-4</v>
      </c>
      <c r="X567" s="273">
        <f t="shared" si="437"/>
        <v>1.6108999999999999E-4</v>
      </c>
      <c r="Y567" s="273">
        <f t="shared" si="437"/>
        <v>1.6108999999999999E-4</v>
      </c>
      <c r="Z567" s="273">
        <f t="shared" si="437"/>
        <v>1.6108999999999999E-4</v>
      </c>
      <c r="AA567" s="224">
        <f t="shared" si="417"/>
        <v>1.93308E-3</v>
      </c>
      <c r="AB567" s="273">
        <f t="shared" ref="AB567:AM567" si="438">AB10</f>
        <v>1.6108999999999999E-4</v>
      </c>
      <c r="AC567" s="273">
        <f t="shared" si="438"/>
        <v>1.6108999999999999E-4</v>
      </c>
      <c r="AD567" s="273">
        <f t="shared" si="438"/>
        <v>1.6108999999999999E-4</v>
      </c>
      <c r="AE567" s="273">
        <f t="shared" si="438"/>
        <v>1.6108999999999999E-4</v>
      </c>
      <c r="AF567" s="273">
        <f t="shared" si="438"/>
        <v>1.6108999999999999E-4</v>
      </c>
      <c r="AG567" s="273">
        <f t="shared" si="438"/>
        <v>1.6108999999999999E-4</v>
      </c>
      <c r="AH567" s="273">
        <f t="shared" si="438"/>
        <v>1.6108999999999999E-4</v>
      </c>
      <c r="AI567" s="273">
        <f t="shared" si="438"/>
        <v>1.6108999999999999E-4</v>
      </c>
      <c r="AJ567" s="273">
        <f t="shared" si="438"/>
        <v>1.6108999999999999E-4</v>
      </c>
      <c r="AK567" s="273">
        <f t="shared" si="438"/>
        <v>1.6108999999999999E-4</v>
      </c>
      <c r="AL567" s="273">
        <f t="shared" si="438"/>
        <v>1.6108999999999999E-4</v>
      </c>
      <c r="AM567" s="273">
        <f t="shared" si="438"/>
        <v>1.6108999999999999E-4</v>
      </c>
      <c r="AN567" s="224">
        <f t="shared" si="419"/>
        <v>1.93308E-3</v>
      </c>
      <c r="AO567" s="273">
        <f t="shared" ref="AO567:AY567" si="439">AO10</f>
        <v>1.93308E-3</v>
      </c>
      <c r="AP567" s="273">
        <f t="shared" si="439"/>
        <v>1.93308E-3</v>
      </c>
      <c r="AQ567" s="273">
        <f t="shared" si="439"/>
        <v>1.93308E-3</v>
      </c>
      <c r="AR567" s="273">
        <f t="shared" si="439"/>
        <v>1.93308E-3</v>
      </c>
      <c r="AS567" s="273">
        <f t="shared" si="439"/>
        <v>1.93308E-3</v>
      </c>
      <c r="AT567" s="273">
        <f t="shared" si="439"/>
        <v>1.93308E-3</v>
      </c>
      <c r="AU567" s="273">
        <f t="shared" si="439"/>
        <v>1.93308E-3</v>
      </c>
      <c r="AV567" s="273">
        <f t="shared" si="439"/>
        <v>1.93308E-3</v>
      </c>
      <c r="AW567" s="273">
        <f t="shared" si="439"/>
        <v>1.93308E-3</v>
      </c>
      <c r="AX567" s="273">
        <f t="shared" si="439"/>
        <v>1.93308E-3</v>
      </c>
      <c r="AY567" s="273">
        <f t="shared" si="439"/>
        <v>1.93308E-3</v>
      </c>
      <c r="AZ567" s="923"/>
      <c r="BA567" s="923"/>
    </row>
    <row r="568" spans="1:53">
      <c r="A568" s="874">
        <v>935.1</v>
      </c>
      <c r="B568" s="871" t="s">
        <v>1000</v>
      </c>
      <c r="E568" s="277"/>
      <c r="F568" s="273"/>
      <c r="G568" s="273"/>
      <c r="H568" s="273"/>
      <c r="I568" s="273"/>
      <c r="J568" s="273"/>
      <c r="K568" s="273"/>
      <c r="L568" s="273"/>
      <c r="M568" s="273"/>
      <c r="N568" s="224">
        <f t="shared" si="424"/>
        <v>0</v>
      </c>
      <c r="O568" s="273">
        <f t="shared" ref="O568:Z568" si="440">O167</f>
        <v>9.2504441378465814E-3</v>
      </c>
      <c r="P568" s="273">
        <f t="shared" si="440"/>
        <v>8.9400265493282428E-3</v>
      </c>
      <c r="Q568" s="273">
        <f t="shared" si="440"/>
        <v>9.6229452440685943E-3</v>
      </c>
      <c r="R568" s="273">
        <f t="shared" si="440"/>
        <v>9.1883606201429158E-3</v>
      </c>
      <c r="S568" s="273">
        <f t="shared" si="440"/>
        <v>9.7471122794759307E-3</v>
      </c>
      <c r="T568" s="273">
        <f t="shared" si="440"/>
        <v>8.4433584076988935E-3</v>
      </c>
      <c r="U568" s="273">
        <f t="shared" si="440"/>
        <v>9.1883606201429158E-3</v>
      </c>
      <c r="V568" s="273">
        <f t="shared" si="440"/>
        <v>9.7471122794759307E-3</v>
      </c>
      <c r="W568" s="273">
        <f t="shared" si="440"/>
        <v>8.4433584076988935E-3</v>
      </c>
      <c r="X568" s="273">
        <f t="shared" si="440"/>
        <v>1.0155678382446147E-2</v>
      </c>
      <c r="Y568" s="273">
        <f t="shared" si="440"/>
        <v>8.4525521940856125E-3</v>
      </c>
      <c r="Z568" s="273">
        <f t="shared" si="440"/>
        <v>8.7048671849538403E-3</v>
      </c>
      <c r="AA568" s="224">
        <f t="shared" si="417"/>
        <v>0.10988417630736448</v>
      </c>
      <c r="AB568" s="273">
        <f t="shared" ref="AB568:AM568" si="441">AB167</f>
        <v>9.1193732453083189E-3</v>
      </c>
      <c r="AC568" s="273">
        <f t="shared" si="441"/>
        <v>8.8133540088885763E-3</v>
      </c>
      <c r="AD568" s="273">
        <f t="shared" si="441"/>
        <v>9.4865963290120103E-3</v>
      </c>
      <c r="AE568" s="273">
        <f t="shared" si="441"/>
        <v>9.0581693980243683E-3</v>
      </c>
      <c r="AF568" s="273">
        <f t="shared" si="441"/>
        <v>9.609004023579908E-3</v>
      </c>
      <c r="AG568" s="273">
        <f t="shared" si="441"/>
        <v>8.3237232306169907E-3</v>
      </c>
      <c r="AH568" s="273">
        <f t="shared" si="441"/>
        <v>9.0581693980243683E-3</v>
      </c>
      <c r="AI568" s="273">
        <f t="shared" si="441"/>
        <v>9.609004023579908E-3</v>
      </c>
      <c r="AJ568" s="273">
        <f t="shared" si="441"/>
        <v>8.3237232306169907E-3</v>
      </c>
      <c r="AK568" s="273">
        <f t="shared" si="441"/>
        <v>1.0011805841426299E-2</v>
      </c>
      <c r="AL568" s="273">
        <f t="shared" si="441"/>
        <v>8.3328073462802747E-3</v>
      </c>
      <c r="AM568" s="273">
        <f t="shared" si="441"/>
        <v>8.5815478640796847E-3</v>
      </c>
      <c r="AN568" s="224">
        <f t="shared" si="419"/>
        <v>0.10832727793943769</v>
      </c>
      <c r="AO568" s="273">
        <f t="shared" ref="AO568:AY568" si="442">AO167</f>
        <v>0.11094063117733344</v>
      </c>
      <c r="AP568" s="273">
        <f t="shared" si="442"/>
        <v>0.11362479323415875</v>
      </c>
      <c r="AQ568" s="273">
        <f t="shared" si="442"/>
        <v>0.11703353703118352</v>
      </c>
      <c r="AR568" s="273">
        <f t="shared" si="442"/>
        <v>0.12054454314211903</v>
      </c>
      <c r="AS568" s="273">
        <f t="shared" si="442"/>
        <v>0.1241608794363826</v>
      </c>
      <c r="AT568" s="273">
        <f t="shared" si="442"/>
        <v>0.12788570581947409</v>
      </c>
      <c r="AU568" s="273">
        <f t="shared" si="442"/>
        <v>0.13172227699405831</v>
      </c>
      <c r="AV568" s="273">
        <f t="shared" si="442"/>
        <v>0.13567394530388005</v>
      </c>
      <c r="AW568" s="273">
        <f t="shared" si="442"/>
        <v>0.13974416366299647</v>
      </c>
      <c r="AX568" s="273">
        <f t="shared" si="442"/>
        <v>0.14393648857288638</v>
      </c>
      <c r="AY568" s="273">
        <f t="shared" si="442"/>
        <v>0.14825458323007298</v>
      </c>
      <c r="AZ568" s="923"/>
      <c r="BA568" s="923"/>
    </row>
    <row r="569" spans="1:53">
      <c r="A569" s="874">
        <v>935.1</v>
      </c>
      <c r="B569" s="871" t="s">
        <v>1000</v>
      </c>
      <c r="E569" s="277"/>
      <c r="F569" s="273"/>
      <c r="G569" s="273"/>
      <c r="H569" s="273"/>
      <c r="I569" s="273"/>
      <c r="J569" s="273"/>
      <c r="K569" s="273"/>
      <c r="L569" s="273"/>
      <c r="M569" s="273"/>
      <c r="N569" s="224">
        <f t="shared" si="424"/>
        <v>0</v>
      </c>
      <c r="O569" s="273">
        <f t="shared" ref="O569:Z569" si="443">+O41</f>
        <v>1.0446513500000001E-2</v>
      </c>
      <c r="P569" s="273">
        <f t="shared" si="443"/>
        <v>8.8085135000000002E-3</v>
      </c>
      <c r="Q569" s="273">
        <f t="shared" si="443"/>
        <v>7.9835354999999997E-3</v>
      </c>
      <c r="R569" s="273">
        <f t="shared" si="443"/>
        <v>9.0861680000000004E-3</v>
      </c>
      <c r="S569" s="273">
        <f t="shared" si="443"/>
        <v>8.1078655000000003E-3</v>
      </c>
      <c r="T569" s="273">
        <f t="shared" si="443"/>
        <v>8.423700499999999E-3</v>
      </c>
      <c r="U569" s="273">
        <f t="shared" si="443"/>
        <v>9.1681504999999996E-3</v>
      </c>
      <c r="V569" s="273">
        <f t="shared" si="443"/>
        <v>8.3010655000000013E-3</v>
      </c>
      <c r="W569" s="273">
        <f t="shared" si="443"/>
        <v>8.2943355000000014E-3</v>
      </c>
      <c r="X569" s="273">
        <f t="shared" si="443"/>
        <v>8.7756654999999999E-3</v>
      </c>
      <c r="Y569" s="273">
        <f t="shared" si="443"/>
        <v>8.1078655000000003E-3</v>
      </c>
      <c r="Z569" s="273">
        <f t="shared" si="443"/>
        <v>9.1062479999999991E-3</v>
      </c>
      <c r="AA569" s="224">
        <f t="shared" si="417"/>
        <v>0.104609627</v>
      </c>
      <c r="AB569" s="273">
        <f t="shared" ref="AB569:AM569" si="444">+AB41</f>
        <v>1.08777635E-2</v>
      </c>
      <c r="AC569" s="273">
        <f t="shared" si="444"/>
        <v>9.1893635000000005E-3</v>
      </c>
      <c r="AD569" s="273">
        <f t="shared" si="444"/>
        <v>8.3414184999999995E-3</v>
      </c>
      <c r="AE569" s="273">
        <f t="shared" si="444"/>
        <v>9.4735175000000005E-3</v>
      </c>
      <c r="AF569" s="273">
        <f t="shared" si="444"/>
        <v>8.4675445000000002E-3</v>
      </c>
      <c r="AG569" s="273">
        <f t="shared" si="444"/>
        <v>8.7940315000000005E-3</v>
      </c>
      <c r="AH569" s="273">
        <f t="shared" si="444"/>
        <v>9.5563315000000027E-3</v>
      </c>
      <c r="AI569" s="273">
        <f t="shared" si="444"/>
        <v>8.6649444999999988E-3</v>
      </c>
      <c r="AJ569" s="273">
        <f t="shared" si="444"/>
        <v>8.6606184999999999E-3</v>
      </c>
      <c r="AK569" s="273">
        <f t="shared" si="444"/>
        <v>9.1563445E-3</v>
      </c>
      <c r="AL569" s="273">
        <f t="shared" si="444"/>
        <v>8.4675445000000002E-3</v>
      </c>
      <c r="AM569" s="273">
        <f t="shared" si="444"/>
        <v>9.4954790000000011E-3</v>
      </c>
      <c r="AN569" s="224">
        <f t="shared" si="419"/>
        <v>0.1091449015</v>
      </c>
      <c r="AO569" s="273">
        <f t="shared" ref="AO569:AY569" si="445">+AO41</f>
        <v>0.11241435349999999</v>
      </c>
      <c r="AP569" s="273">
        <f t="shared" si="445"/>
        <v>0.11578417850000002</v>
      </c>
      <c r="AQ569" s="273">
        <f t="shared" si="445"/>
        <v>0.11925770385500002</v>
      </c>
      <c r="AR569" s="273">
        <f t="shared" si="445"/>
        <v>0.12283543497065003</v>
      </c>
      <c r="AS569" s="273">
        <f t="shared" si="445"/>
        <v>0.12652049801976953</v>
      </c>
      <c r="AT569" s="273">
        <f t="shared" si="445"/>
        <v>0.13031611296036261</v>
      </c>
      <c r="AU569" s="273">
        <f t="shared" si="445"/>
        <v>0.1342255963491735</v>
      </c>
      <c r="AV569" s="273">
        <f t="shared" si="445"/>
        <v>0.13825236423964871</v>
      </c>
      <c r="AW569" s="273">
        <f t="shared" si="445"/>
        <v>0.14239993516683816</v>
      </c>
      <c r="AX569" s="273">
        <f t="shared" si="445"/>
        <v>0.1466719332218433</v>
      </c>
      <c r="AY569" s="273">
        <f t="shared" si="445"/>
        <v>0.1510720912184986</v>
      </c>
      <c r="AZ569" s="923"/>
      <c r="BA569" s="923"/>
    </row>
    <row r="570" spans="1:53">
      <c r="E570" s="277"/>
      <c r="F570" s="273"/>
      <c r="G570" s="273"/>
      <c r="H570" s="273"/>
      <c r="I570" s="273"/>
      <c r="J570" s="273"/>
      <c r="K570" s="273"/>
      <c r="L570" s="273"/>
      <c r="M570" s="273"/>
      <c r="N570" s="224"/>
      <c r="O570" s="273"/>
      <c r="P570" s="273"/>
      <c r="Q570" s="273"/>
      <c r="R570" s="273"/>
      <c r="S570" s="273"/>
      <c r="T570" s="273"/>
      <c r="U570" s="273"/>
      <c r="V570" s="273"/>
      <c r="W570" s="273"/>
      <c r="X570" s="273"/>
      <c r="Y570" s="273"/>
      <c r="Z570" s="273"/>
      <c r="AA570" s="224"/>
      <c r="AB570" s="273"/>
      <c r="AC570" s="273"/>
      <c r="AD570" s="273"/>
      <c r="AE570" s="273"/>
      <c r="AF570" s="273"/>
      <c r="AG570" s="273"/>
      <c r="AH570" s="273"/>
      <c r="AI570" s="273"/>
      <c r="AJ570" s="273"/>
      <c r="AK570" s="273"/>
      <c r="AL570" s="273"/>
      <c r="AM570" s="273"/>
      <c r="AN570" s="224"/>
      <c r="AO570" s="273"/>
      <c r="AP570" s="273"/>
      <c r="AQ570" s="273"/>
      <c r="AR570" s="273"/>
      <c r="AS570" s="273"/>
      <c r="AT570" s="273"/>
      <c r="AU570" s="273"/>
      <c r="AV570" s="273"/>
      <c r="AW570" s="273"/>
      <c r="AX570" s="273"/>
      <c r="AY570" s="273"/>
      <c r="AZ570" s="923"/>
      <c r="BA570" s="923"/>
    </row>
    <row r="571" spans="1:53">
      <c r="E571" s="277"/>
      <c r="F571" s="279"/>
      <c r="G571" s="279"/>
      <c r="H571" s="279"/>
      <c r="I571" s="279"/>
      <c r="J571" s="279"/>
      <c r="K571" s="279"/>
      <c r="L571" s="279"/>
      <c r="M571" s="279"/>
      <c r="N571" s="280">
        <f>SUM(E571:M571)</f>
        <v>0</v>
      </c>
      <c r="O571" s="279">
        <f t="shared" ref="O571:Z571" si="446">SUM(O433:O570)</f>
        <v>11.037898830975506</v>
      </c>
      <c r="P571" s="279">
        <f t="shared" si="446"/>
        <v>11.210115011664291</v>
      </c>
      <c r="Q571" s="279">
        <f t="shared" si="446"/>
        <v>13.808078408255689</v>
      </c>
      <c r="R571" s="279">
        <f t="shared" si="446"/>
        <v>14.864721686597118</v>
      </c>
      <c r="S571" s="279">
        <f t="shared" si="446"/>
        <v>17.971108006435148</v>
      </c>
      <c r="T571" s="279">
        <f t="shared" si="446"/>
        <v>12.461763713188088</v>
      </c>
      <c r="U571" s="279">
        <f t="shared" si="446"/>
        <v>11.956812463446953</v>
      </c>
      <c r="V571" s="279">
        <f t="shared" si="446"/>
        <v>11.848951010997705</v>
      </c>
      <c r="W571" s="279">
        <f t="shared" si="446"/>
        <v>10.968580836039072</v>
      </c>
      <c r="X571" s="279">
        <f t="shared" si="446"/>
        <v>12.007822463140736</v>
      </c>
      <c r="Y571" s="279">
        <f t="shared" si="446"/>
        <v>9.8134698451674964</v>
      </c>
      <c r="Z571" s="279">
        <f t="shared" si="446"/>
        <v>9.3117450032928772</v>
      </c>
      <c r="AA571" s="280">
        <f t="shared" ref="AA571" si="447">SUM(O571:Z571)</f>
        <v>147.26106727920069</v>
      </c>
      <c r="AB571" s="279">
        <f t="shared" ref="AB571:AM571" si="448">SUM(AB433:AB570)</f>
        <v>9.8076030941426495</v>
      </c>
      <c r="AC571" s="279">
        <f t="shared" si="448"/>
        <v>9.3180063040841112</v>
      </c>
      <c r="AD571" s="279">
        <f t="shared" si="448"/>
        <v>13.724729885610831</v>
      </c>
      <c r="AE571" s="279">
        <f t="shared" si="448"/>
        <v>16.23490362360441</v>
      </c>
      <c r="AF571" s="279">
        <f t="shared" si="448"/>
        <v>14.697067646078869</v>
      </c>
      <c r="AG571" s="279">
        <f t="shared" si="448"/>
        <v>10.867401583304849</v>
      </c>
      <c r="AH571" s="279">
        <f t="shared" si="448"/>
        <v>10.214932270717144</v>
      </c>
      <c r="AI571" s="279">
        <f t="shared" si="448"/>
        <v>10.518776638448189</v>
      </c>
      <c r="AJ571" s="279">
        <f t="shared" si="448"/>
        <v>10.238644537898486</v>
      </c>
      <c r="AK571" s="279">
        <f t="shared" si="448"/>
        <v>11.272819595626249</v>
      </c>
      <c r="AL571" s="279">
        <f t="shared" si="448"/>
        <v>9.1673799123284869</v>
      </c>
      <c r="AM571" s="279">
        <f t="shared" si="448"/>
        <v>9.5194376218690451</v>
      </c>
      <c r="AN571" s="280">
        <f>SUM(AB571:AM571)</f>
        <v>135.5817027137133</v>
      </c>
      <c r="AO571" s="279">
        <f t="shared" ref="AO571:AY571" si="449">SUM(AO433:AO570)</f>
        <v>135.43260202309915</v>
      </c>
      <c r="AP571" s="279">
        <f t="shared" si="449"/>
        <v>143.70877622947518</v>
      </c>
      <c r="AQ571" s="279">
        <f t="shared" si="449"/>
        <v>147.98662467275946</v>
      </c>
      <c r="AR571" s="279">
        <f t="shared" si="449"/>
        <v>152.39280856934224</v>
      </c>
      <c r="AS571" s="279">
        <f t="shared" si="449"/>
        <v>185.26720646974425</v>
      </c>
      <c r="AT571" s="279">
        <f t="shared" si="449"/>
        <v>190.79180782023664</v>
      </c>
      <c r="AU571" s="279">
        <f t="shared" si="449"/>
        <v>196.4821472112437</v>
      </c>
      <c r="AV571" s="279">
        <f t="shared" si="449"/>
        <v>202.34319678398111</v>
      </c>
      <c r="AW571" s="279">
        <f t="shared" si="449"/>
        <v>208.38007784390052</v>
      </c>
      <c r="AX571" s="279">
        <f t="shared" si="449"/>
        <v>214.59806533561743</v>
      </c>
      <c r="AY571" s="279">
        <f t="shared" si="449"/>
        <v>221.00259245208611</v>
      </c>
      <c r="AZ571" s="924"/>
      <c r="BA571" s="924"/>
    </row>
    <row r="572" spans="1:53">
      <c r="F572" s="49"/>
      <c r="G572" s="49"/>
      <c r="H572" s="49"/>
      <c r="I572" s="49"/>
      <c r="J572" s="49"/>
      <c r="K572" s="49"/>
      <c r="L572" s="49"/>
      <c r="M572" s="49"/>
      <c r="N572" s="303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303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303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925"/>
      <c r="BA572" s="925"/>
    </row>
    <row r="573" spans="1:53">
      <c r="F573" s="49"/>
      <c r="G573" s="49"/>
      <c r="H573" s="49"/>
      <c r="I573" s="49"/>
      <c r="J573" s="49"/>
      <c r="K573" s="49"/>
      <c r="L573" s="49"/>
      <c r="M573" s="49"/>
      <c r="N573" s="303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303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303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925"/>
      <c r="BA573" s="925"/>
    </row>
    <row r="575" spans="1:53">
      <c r="B575" s="276" t="s">
        <v>397</v>
      </c>
      <c r="F575" s="272"/>
      <c r="G575" s="272"/>
      <c r="H575" s="272"/>
      <c r="I575" s="272"/>
      <c r="J575" s="272"/>
      <c r="K575" s="272"/>
      <c r="L575" s="272"/>
      <c r="M575" s="272"/>
      <c r="N575" s="274">
        <f>N173</f>
        <v>0</v>
      </c>
      <c r="O575" s="264">
        <f t="shared" ref="O575:Z575" si="450">O173+O195</f>
        <v>11.037898830975504</v>
      </c>
      <c r="P575" s="264">
        <f t="shared" si="450"/>
        <v>11.210115011664291</v>
      </c>
      <c r="Q575" s="264">
        <f t="shared" si="450"/>
        <v>13.808078408255691</v>
      </c>
      <c r="R575" s="264">
        <f t="shared" si="450"/>
        <v>14.864721686597111</v>
      </c>
      <c r="S575" s="264">
        <f t="shared" si="450"/>
        <v>17.971108006435148</v>
      </c>
      <c r="T575" s="264">
        <f t="shared" si="450"/>
        <v>12.461763713188086</v>
      </c>
      <c r="U575" s="264">
        <f t="shared" si="450"/>
        <v>11.956812463446948</v>
      </c>
      <c r="V575" s="264">
        <f t="shared" si="450"/>
        <v>11.848951010997714</v>
      </c>
      <c r="W575" s="264">
        <f t="shared" si="450"/>
        <v>10.96858083603907</v>
      </c>
      <c r="X575" s="264">
        <f t="shared" si="450"/>
        <v>12.007822463140736</v>
      </c>
      <c r="Y575" s="264">
        <f t="shared" si="450"/>
        <v>9.8134698451674947</v>
      </c>
      <c r="Z575" s="264">
        <f t="shared" si="450"/>
        <v>9.3117450032928772</v>
      </c>
      <c r="AA575" s="464">
        <f>SUM(O575:Z575)</f>
        <v>147.26106727920069</v>
      </c>
      <c r="AB575" s="264">
        <f t="shared" ref="AB575:AM575" si="451">AB173+AB195</f>
        <v>9.8076030941426477</v>
      </c>
      <c r="AC575" s="264">
        <f t="shared" si="451"/>
        <v>9.3180063040841112</v>
      </c>
      <c r="AD575" s="264">
        <f t="shared" si="451"/>
        <v>13.724729885610833</v>
      </c>
      <c r="AE575" s="264">
        <f t="shared" si="451"/>
        <v>16.234903623604417</v>
      </c>
      <c r="AF575" s="264">
        <f t="shared" si="451"/>
        <v>14.697067646078866</v>
      </c>
      <c r="AG575" s="264">
        <f t="shared" si="451"/>
        <v>10.867401583304849</v>
      </c>
      <c r="AH575" s="264">
        <f t="shared" si="451"/>
        <v>10.21493227071714</v>
      </c>
      <c r="AI575" s="264">
        <f t="shared" si="451"/>
        <v>10.518776638448186</v>
      </c>
      <c r="AJ575" s="264">
        <f t="shared" si="451"/>
        <v>10.23864453789848</v>
      </c>
      <c r="AK575" s="264">
        <f t="shared" si="451"/>
        <v>11.272819595626249</v>
      </c>
      <c r="AL575" s="264">
        <f t="shared" si="451"/>
        <v>9.1673799123284905</v>
      </c>
      <c r="AM575" s="264">
        <f t="shared" si="451"/>
        <v>9.5194376218690451</v>
      </c>
      <c r="AN575" s="464">
        <f>SUM(AB575:AM575)</f>
        <v>135.5817027137133</v>
      </c>
      <c r="AO575" s="264">
        <f t="shared" ref="AO575:AY575" si="452">AO173+AO195</f>
        <v>135.43260202309918</v>
      </c>
      <c r="AP575" s="264">
        <f t="shared" si="452"/>
        <v>143.70877622947521</v>
      </c>
      <c r="AQ575" s="264">
        <f t="shared" si="452"/>
        <v>147.98662467275946</v>
      </c>
      <c r="AR575" s="264">
        <f t="shared" si="452"/>
        <v>152.39280856934226</v>
      </c>
      <c r="AS575" s="264">
        <f t="shared" si="452"/>
        <v>185.26720646974434</v>
      </c>
      <c r="AT575" s="264">
        <f t="shared" si="452"/>
        <v>190.79180782023664</v>
      </c>
      <c r="AU575" s="264">
        <f t="shared" si="452"/>
        <v>196.48214721124378</v>
      </c>
      <c r="AV575" s="264">
        <f t="shared" si="452"/>
        <v>202.34319678398109</v>
      </c>
      <c r="AW575" s="264">
        <f t="shared" si="452"/>
        <v>208.38007784390052</v>
      </c>
      <c r="AX575" s="264">
        <f t="shared" si="452"/>
        <v>214.59806533561752</v>
      </c>
      <c r="AY575" s="264">
        <f t="shared" si="452"/>
        <v>221.00259245208611</v>
      </c>
      <c r="AZ575" s="926"/>
      <c r="BA575" s="926"/>
    </row>
    <row r="576" spans="1:53">
      <c r="B576" s="276" t="s">
        <v>400</v>
      </c>
      <c r="F576" s="272"/>
      <c r="G576" s="272"/>
      <c r="H576" s="272"/>
      <c r="I576" s="272"/>
      <c r="J576" s="272"/>
      <c r="K576" s="272"/>
      <c r="L576" s="272"/>
      <c r="M576" s="272"/>
      <c r="N576" s="274">
        <f>N571-N575</f>
        <v>0</v>
      </c>
      <c r="O576" s="272">
        <f>O571-O575</f>
        <v>0</v>
      </c>
      <c r="P576" s="272">
        <f t="shared" ref="P576:Z576" si="453">P571-P575</f>
        <v>0</v>
      </c>
      <c r="Q576" s="272">
        <f t="shared" si="453"/>
        <v>0</v>
      </c>
      <c r="R576" s="272">
        <f t="shared" si="453"/>
        <v>0</v>
      </c>
      <c r="S576" s="272">
        <f t="shared" si="453"/>
        <v>0</v>
      </c>
      <c r="T576" s="272">
        <f t="shared" si="453"/>
        <v>0</v>
      </c>
      <c r="U576" s="272">
        <f t="shared" si="453"/>
        <v>0</v>
      </c>
      <c r="V576" s="272">
        <f t="shared" si="453"/>
        <v>0</v>
      </c>
      <c r="W576" s="272">
        <f t="shared" si="453"/>
        <v>0</v>
      </c>
      <c r="X576" s="272">
        <f t="shared" si="453"/>
        <v>0</v>
      </c>
      <c r="Y576" s="272">
        <f t="shared" si="453"/>
        <v>0</v>
      </c>
      <c r="Z576" s="272">
        <f t="shared" si="453"/>
        <v>0</v>
      </c>
      <c r="AA576" s="274">
        <f>AA571-AA575</f>
        <v>0</v>
      </c>
      <c r="AB576" s="272">
        <f t="shared" ref="AB576:AN576" si="454">AB571-AB575</f>
        <v>0</v>
      </c>
      <c r="AC576" s="272">
        <f t="shared" si="454"/>
        <v>0</v>
      </c>
      <c r="AD576" s="272">
        <f t="shared" si="454"/>
        <v>0</v>
      </c>
      <c r="AE576" s="272">
        <f t="shared" si="454"/>
        <v>0</v>
      </c>
      <c r="AF576" s="272">
        <f t="shared" si="454"/>
        <v>0</v>
      </c>
      <c r="AG576" s="272">
        <f t="shared" si="454"/>
        <v>0</v>
      </c>
      <c r="AH576" s="272">
        <f t="shared" si="454"/>
        <v>0</v>
      </c>
      <c r="AI576" s="272">
        <f t="shared" si="454"/>
        <v>0</v>
      </c>
      <c r="AJ576" s="272">
        <f t="shared" si="454"/>
        <v>0</v>
      </c>
      <c r="AK576" s="272">
        <f t="shared" si="454"/>
        <v>0</v>
      </c>
      <c r="AL576" s="272">
        <f t="shared" si="454"/>
        <v>0</v>
      </c>
      <c r="AM576" s="272">
        <f t="shared" si="454"/>
        <v>0</v>
      </c>
      <c r="AN576" s="274">
        <f t="shared" si="454"/>
        <v>0</v>
      </c>
      <c r="AO576" s="272">
        <f t="shared" ref="AO576:AY576" si="455">AO571-AO575</f>
        <v>0</v>
      </c>
      <c r="AP576" s="272">
        <f t="shared" si="455"/>
        <v>0</v>
      </c>
      <c r="AQ576" s="272">
        <f>AQ571-AQ575</f>
        <v>0</v>
      </c>
      <c r="AR576" s="272">
        <f t="shared" si="455"/>
        <v>0</v>
      </c>
      <c r="AS576" s="272">
        <f t="shared" si="455"/>
        <v>0</v>
      </c>
      <c r="AT576" s="272">
        <f t="shared" si="455"/>
        <v>0</v>
      </c>
      <c r="AU576" s="272">
        <f t="shared" si="455"/>
        <v>0</v>
      </c>
      <c r="AV576" s="272">
        <f t="shared" si="455"/>
        <v>0</v>
      </c>
      <c r="AW576" s="272">
        <f t="shared" si="455"/>
        <v>0</v>
      </c>
      <c r="AX576" s="272">
        <f t="shared" si="455"/>
        <v>0</v>
      </c>
      <c r="AY576" s="272">
        <f t="shared" si="455"/>
        <v>0</v>
      </c>
      <c r="AZ576" s="927"/>
      <c r="BA576" s="927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3:BB575"/>
  <sheetViews>
    <sheetView zoomScale="75" workbookViewId="0">
      <pane xSplit="2" ySplit="4" topLeftCell="C11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AV42" sqref="AV42"/>
    </sheetView>
  </sheetViews>
  <sheetFormatPr defaultRowHeight="12.75"/>
  <cols>
    <col min="2" max="2" width="37.42578125" customWidth="1"/>
    <col min="3" max="3" width="4.7109375" customWidth="1"/>
    <col min="4" max="4" width="9.140625" hidden="1" customWidth="1"/>
    <col min="5" max="5" width="8.85546875" style="165" hidden="1" customWidth="1"/>
    <col min="6" max="7" width="9.7109375" hidden="1" customWidth="1"/>
    <col min="8" max="8" width="9.5703125" hidden="1" customWidth="1"/>
    <col min="9" max="9" width="10" hidden="1" customWidth="1"/>
    <col min="10" max="10" width="10.28515625" hidden="1" customWidth="1"/>
    <col min="11" max="11" width="10.7109375" hidden="1" customWidth="1"/>
    <col min="12" max="12" width="9.140625" hidden="1" customWidth="1"/>
    <col min="13" max="13" width="8.5703125" hidden="1" customWidth="1"/>
    <col min="14" max="14" width="7.28515625" style="88" customWidth="1"/>
    <col min="15" max="26" width="9.5703125" customWidth="1"/>
    <col min="27" max="27" width="10.28515625" style="88" customWidth="1"/>
    <col min="28" max="39" width="10.42578125" customWidth="1"/>
    <col min="40" max="40" width="10.42578125" style="88" customWidth="1"/>
    <col min="41" max="41" width="7.7109375" customWidth="1"/>
    <col min="44" max="44" width="8.42578125" customWidth="1"/>
    <col min="52" max="53" width="9.140625" style="28"/>
  </cols>
  <sheetData>
    <row r="3" spans="1:54" s="1" customFormat="1">
      <c r="E3" s="187"/>
      <c r="F3" s="180"/>
      <c r="G3" s="180"/>
      <c r="H3" s="180"/>
      <c r="I3" s="180"/>
      <c r="J3" s="180"/>
      <c r="K3" s="180"/>
      <c r="L3" s="180"/>
      <c r="M3" s="180"/>
      <c r="N3" s="181"/>
      <c r="O3" s="180">
        <f>'Stmts RUS'!G1</f>
        <v>2013</v>
      </c>
      <c r="P3" s="180">
        <f>'Stmts RUS'!H1</f>
        <v>2013</v>
      </c>
      <c r="Q3" s="180">
        <f>'Stmts RUS'!I1</f>
        <v>2013</v>
      </c>
      <c r="R3" s="180">
        <f>'Stmts RUS'!J1</f>
        <v>2013</v>
      </c>
      <c r="S3" s="180">
        <f>'Stmts RUS'!K1</f>
        <v>2013</v>
      </c>
      <c r="T3" s="180">
        <f>'Stmts RUS'!L1</f>
        <v>2013</v>
      </c>
      <c r="U3" s="180">
        <f>'Stmts RUS'!M1</f>
        <v>2013</v>
      </c>
      <c r="V3" s="180">
        <f>'Stmts RUS'!N1</f>
        <v>2013</v>
      </c>
      <c r="W3" s="180">
        <f>'Stmts RUS'!O1</f>
        <v>2013</v>
      </c>
      <c r="X3" s="180">
        <f>'Stmts RUS'!P1</f>
        <v>2013</v>
      </c>
      <c r="Y3" s="180">
        <f>'Stmts RUS'!Q1</f>
        <v>2013</v>
      </c>
      <c r="Z3" s="180">
        <f>'Stmts RUS'!R1</f>
        <v>2013</v>
      </c>
      <c r="AA3" s="181">
        <f>'Stmts RUS'!S1</f>
        <v>0</v>
      </c>
      <c r="AB3" s="180">
        <f>'Stmts RUS'!T1</f>
        <v>2014</v>
      </c>
      <c r="AC3" s="180">
        <f>'Stmts RUS'!U1</f>
        <v>2014</v>
      </c>
      <c r="AD3" s="180">
        <f>'Stmts RUS'!V1</f>
        <v>2014</v>
      </c>
      <c r="AE3" s="180">
        <f>'Stmts RUS'!W1</f>
        <v>2014</v>
      </c>
      <c r="AF3" s="180">
        <f>'Stmts RUS'!X1</f>
        <v>2014</v>
      </c>
      <c r="AG3" s="180">
        <f>'Stmts RUS'!Y1</f>
        <v>2014</v>
      </c>
      <c r="AH3" s="180">
        <f>'Stmts RUS'!Z1</f>
        <v>2014</v>
      </c>
      <c r="AI3" s="180">
        <f>'Stmts RUS'!AA1</f>
        <v>2014</v>
      </c>
      <c r="AJ3" s="180">
        <f>'Stmts RUS'!AB1</f>
        <v>2014</v>
      </c>
      <c r="AK3" s="180">
        <f>'Stmts RUS'!AC1</f>
        <v>2014</v>
      </c>
      <c r="AL3" s="180">
        <f>'Stmts RUS'!AD1</f>
        <v>2014</v>
      </c>
      <c r="AM3" s="180">
        <f>'Stmts RUS'!AE1</f>
        <v>2014</v>
      </c>
      <c r="AN3" s="181">
        <f>'Stmts RUS'!AF1</f>
        <v>0</v>
      </c>
      <c r="AZ3" s="918"/>
      <c r="BA3" s="918"/>
    </row>
    <row r="4" spans="1:54" s="1" customFormat="1">
      <c r="B4" s="1" t="s">
        <v>347</v>
      </c>
      <c r="E4" s="187"/>
      <c r="F4" s="180"/>
      <c r="G4" s="180"/>
      <c r="H4" s="180"/>
      <c r="I4" s="180"/>
      <c r="J4" s="180"/>
      <c r="K4" s="180"/>
      <c r="L4" s="180"/>
      <c r="M4" s="180"/>
      <c r="N4" s="181"/>
      <c r="O4" s="180" t="str">
        <f>'Stmts RUS'!G2</f>
        <v>January</v>
      </c>
      <c r="P4" s="180" t="str">
        <f>'Stmts RUS'!H2</f>
        <v>February</v>
      </c>
      <c r="Q4" s="180" t="str">
        <f>'Stmts RUS'!I2</f>
        <v>March</v>
      </c>
      <c r="R4" s="180" t="str">
        <f>'Stmts RUS'!J2</f>
        <v>April</v>
      </c>
      <c r="S4" s="180" t="str">
        <f>'Stmts RUS'!K2</f>
        <v>May</v>
      </c>
      <c r="T4" s="180" t="str">
        <f>'Stmts RUS'!L2</f>
        <v>June</v>
      </c>
      <c r="U4" s="180" t="str">
        <f>'Stmts RUS'!M2</f>
        <v>July</v>
      </c>
      <c r="V4" s="180" t="str">
        <f>'Stmts RUS'!N2</f>
        <v>August</v>
      </c>
      <c r="W4" s="180" t="str">
        <f>'Stmts RUS'!O2</f>
        <v>September</v>
      </c>
      <c r="X4" s="180" t="str">
        <f>'Stmts RUS'!P2</f>
        <v>October</v>
      </c>
      <c r="Y4" s="180" t="str">
        <f>'Stmts RUS'!Q2</f>
        <v>November</v>
      </c>
      <c r="Z4" s="180" t="str">
        <f>'Stmts RUS'!R2</f>
        <v>December</v>
      </c>
      <c r="AA4" s="181">
        <f>'Stmts RUS'!S2</f>
        <v>2013</v>
      </c>
      <c r="AB4" s="180" t="str">
        <f>'Stmts RUS'!T2</f>
        <v>January</v>
      </c>
      <c r="AC4" s="180" t="str">
        <f>'Stmts RUS'!U2</f>
        <v>February</v>
      </c>
      <c r="AD4" s="180" t="str">
        <f>'Stmts RUS'!V2</f>
        <v>March</v>
      </c>
      <c r="AE4" s="180" t="str">
        <f>'Stmts RUS'!W2</f>
        <v>April</v>
      </c>
      <c r="AF4" s="180" t="str">
        <f>'Stmts RUS'!X2</f>
        <v>May</v>
      </c>
      <c r="AG4" s="180" t="str">
        <f>'Stmts RUS'!Y2</f>
        <v>June</v>
      </c>
      <c r="AH4" s="180" t="str">
        <f>'Stmts RUS'!Z2</f>
        <v>July</v>
      </c>
      <c r="AI4" s="180" t="str">
        <f>'Stmts RUS'!AA2</f>
        <v>August</v>
      </c>
      <c r="AJ4" s="180" t="str">
        <f>'Stmts RUS'!AB2</f>
        <v>September</v>
      </c>
      <c r="AK4" s="180" t="str">
        <f>'Stmts RUS'!AC2</f>
        <v>October</v>
      </c>
      <c r="AL4" s="180" t="str">
        <f>'Stmts RUS'!AD2</f>
        <v>November</v>
      </c>
      <c r="AM4" s="180" t="str">
        <f>'Stmts RUS'!AE2</f>
        <v>December</v>
      </c>
      <c r="AN4" s="181">
        <f>'Stmts RUS'!AF2</f>
        <v>2014</v>
      </c>
      <c r="AO4" s="1">
        <f>'Stmts RUS'!AG2</f>
        <v>2015</v>
      </c>
      <c r="AP4" s="1">
        <f>'Stmts RUS'!AH2</f>
        <v>2016</v>
      </c>
      <c r="AQ4" s="1">
        <f>'Stmts RUS'!AI2</f>
        <v>2017</v>
      </c>
      <c r="AR4" s="1">
        <f>'Stmts RUS'!AJ2</f>
        <v>2018</v>
      </c>
      <c r="AS4" s="1">
        <f>'Stmts RUS'!AK2</f>
        <v>2019</v>
      </c>
      <c r="AT4" s="1">
        <f>'Stmts RUS'!AL2</f>
        <v>2020</v>
      </c>
      <c r="AU4" s="1">
        <f>'Stmts RUS'!AM2</f>
        <v>2021</v>
      </c>
      <c r="AV4" s="1">
        <f>'Stmts RUS'!AN2</f>
        <v>2022</v>
      </c>
      <c r="AW4" s="1">
        <f>'Stmts RUS'!AO2</f>
        <v>2023</v>
      </c>
      <c r="AX4" s="1">
        <f>'Stmts RUS'!AP2</f>
        <v>2024</v>
      </c>
      <c r="AY4" s="1">
        <f>'Stmts RUS'!AQ2</f>
        <v>2025</v>
      </c>
      <c r="AZ4" s="918"/>
      <c r="BA4" s="918"/>
    </row>
    <row r="5" spans="1:54">
      <c r="G5" s="5"/>
      <c r="H5" s="5"/>
      <c r="I5" s="5"/>
      <c r="J5" s="5"/>
      <c r="K5" s="5"/>
      <c r="L5" s="5"/>
      <c r="M5" s="5"/>
      <c r="N5" s="171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171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7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374"/>
      <c r="BA5" s="374"/>
    </row>
    <row r="6" spans="1:54">
      <c r="A6" s="79"/>
      <c r="B6" s="34" t="s">
        <v>286</v>
      </c>
      <c r="D6" s="83"/>
      <c r="E6" s="212"/>
      <c r="F6" s="59"/>
      <c r="G6" s="380"/>
      <c r="H6" s="380"/>
      <c r="I6" s="380"/>
      <c r="J6" s="380"/>
      <c r="K6" s="380"/>
      <c r="L6" s="380"/>
      <c r="M6" s="380"/>
      <c r="N6" s="381"/>
      <c r="O6" s="756">
        <v>0.554145</v>
      </c>
      <c r="P6" s="756">
        <v>0.85094599999999998</v>
      </c>
      <c r="Q6" s="756">
        <v>0.57664000000000004</v>
      </c>
      <c r="R6" s="756">
        <v>0.80822400000000005</v>
      </c>
      <c r="S6" s="756">
        <v>0.63125500000000001</v>
      </c>
      <c r="T6" s="756">
        <v>0.79543299999999995</v>
      </c>
      <c r="U6" s="756">
        <v>0.52130399999999999</v>
      </c>
      <c r="V6" s="756">
        <v>0.48618899999999998</v>
      </c>
      <c r="W6" s="756">
        <v>0.411275</v>
      </c>
      <c r="X6" s="756">
        <v>0.85429600000000006</v>
      </c>
      <c r="Y6" s="756">
        <v>1.584638</v>
      </c>
      <c r="Z6" s="756">
        <v>0.14763799999999999</v>
      </c>
      <c r="AA6" s="679">
        <f>SUM(O6:Z6)</f>
        <v>8.2219829999999998</v>
      </c>
      <c r="AB6" s="756">
        <v>0.21667700000000001</v>
      </c>
      <c r="AC6" s="756">
        <v>0.33355899999999999</v>
      </c>
      <c r="AD6" s="756">
        <v>0.32781300000000002</v>
      </c>
      <c r="AE6" s="756">
        <v>0.39291399999999999</v>
      </c>
      <c r="AF6" s="756">
        <v>0.38054199999999999</v>
      </c>
      <c r="AG6" s="756">
        <v>0.33474999999999999</v>
      </c>
      <c r="AH6" s="756">
        <v>0.17350099999999999</v>
      </c>
      <c r="AI6" s="756">
        <v>0.35635099999999997</v>
      </c>
      <c r="AJ6" s="756">
        <v>0.88255600000000001</v>
      </c>
      <c r="AK6" s="756">
        <v>0.61387000000000003</v>
      </c>
      <c r="AL6" s="756">
        <v>0.18410099999999999</v>
      </c>
      <c r="AM6" s="756">
        <v>0.104112</v>
      </c>
      <c r="AN6" s="679">
        <f>SUM(AB6:AM6)</f>
        <v>4.3007460000000002</v>
      </c>
      <c r="AO6" s="756">
        <v>2.2834409999999998</v>
      </c>
      <c r="AP6" s="756">
        <v>2.9445269999999999</v>
      </c>
      <c r="AQ6" s="715">
        <f>AP6*1.03</f>
        <v>3.0328628100000001</v>
      </c>
      <c r="AR6" s="715">
        <f t="shared" ref="AR6:AY6" si="0">AQ6*1.03</f>
        <v>3.1238486943000003</v>
      </c>
      <c r="AS6" s="715">
        <f t="shared" si="0"/>
        <v>3.2175641551290006</v>
      </c>
      <c r="AT6" s="715">
        <f t="shared" si="0"/>
        <v>3.3140910797828709</v>
      </c>
      <c r="AU6" s="715">
        <f t="shared" si="0"/>
        <v>3.4135138121763573</v>
      </c>
      <c r="AV6" s="715">
        <f t="shared" si="0"/>
        <v>3.5159192265416479</v>
      </c>
      <c r="AW6" s="715">
        <f t="shared" si="0"/>
        <v>3.6213968033378974</v>
      </c>
      <c r="AX6" s="715">
        <f t="shared" si="0"/>
        <v>3.7300387074380343</v>
      </c>
      <c r="AY6" s="715">
        <f t="shared" si="0"/>
        <v>3.8419398686611754</v>
      </c>
      <c r="AZ6" s="682"/>
      <c r="BA6" s="682"/>
      <c r="BB6" s="5"/>
    </row>
    <row r="7" spans="1:54">
      <c r="A7" s="79"/>
      <c r="G7" s="382"/>
      <c r="H7" s="382"/>
      <c r="I7" s="382"/>
      <c r="J7" s="382"/>
      <c r="K7" s="382"/>
      <c r="L7" s="382"/>
      <c r="M7" s="382"/>
      <c r="N7" s="171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11"/>
      <c r="AB7" s="758"/>
      <c r="AC7" s="758"/>
      <c r="AD7" s="758"/>
      <c r="AE7" s="758"/>
      <c r="AF7" s="758"/>
      <c r="AG7" s="758"/>
      <c r="AH7" s="758"/>
      <c r="AI7" s="758"/>
      <c r="AJ7" s="758"/>
      <c r="AK7" s="758"/>
      <c r="AL7" s="758"/>
      <c r="AM7" s="758"/>
      <c r="AN7" s="711"/>
      <c r="AO7" s="759"/>
      <c r="AP7" s="759"/>
      <c r="AQ7" s="700"/>
      <c r="AR7" s="700"/>
      <c r="AS7" s="700"/>
      <c r="AT7" s="700"/>
      <c r="AU7" s="700"/>
      <c r="AV7" s="700"/>
      <c r="AW7" s="700"/>
      <c r="AX7" s="700"/>
      <c r="AY7" s="700"/>
      <c r="AZ7" s="686"/>
      <c r="BA7" s="686"/>
    </row>
    <row r="8" spans="1:54">
      <c r="A8" s="79"/>
      <c r="B8" s="34" t="s">
        <v>294</v>
      </c>
      <c r="D8" s="83"/>
      <c r="E8" s="212"/>
      <c r="F8" s="59"/>
      <c r="G8" s="380"/>
      <c r="H8" s="380"/>
      <c r="I8" s="380"/>
      <c r="J8" s="380"/>
      <c r="K8" s="380"/>
      <c r="L8" s="380"/>
      <c r="M8" s="380"/>
      <c r="N8" s="381"/>
      <c r="O8" s="756">
        <v>1.7000000000000001E-2</v>
      </c>
      <c r="P8" s="756">
        <v>0.60099999999999998</v>
      </c>
      <c r="Q8" s="756">
        <v>0.29699999999999999</v>
      </c>
      <c r="R8" s="756">
        <v>0.57899999999999996</v>
      </c>
      <c r="S8" s="756">
        <v>0.1</v>
      </c>
      <c r="T8" s="756">
        <v>0.1</v>
      </c>
      <c r="U8" s="756">
        <v>0.1</v>
      </c>
      <c r="V8" s="756">
        <v>0.1</v>
      </c>
      <c r="W8" s="756">
        <v>0.15</v>
      </c>
      <c r="X8" s="756">
        <v>0.2</v>
      </c>
      <c r="Y8" s="756">
        <v>0.2</v>
      </c>
      <c r="Z8" s="756">
        <v>0.2</v>
      </c>
      <c r="AA8" s="683">
        <f>SUM(O8:Z8)</f>
        <v>2.644000000000001</v>
      </c>
      <c r="AB8" s="756">
        <v>0</v>
      </c>
      <c r="AC8" s="756">
        <v>0.20626800000000001</v>
      </c>
      <c r="AD8" s="756">
        <v>0.1</v>
      </c>
      <c r="AE8" s="756">
        <v>0.2475</v>
      </c>
      <c r="AF8" s="756">
        <v>0</v>
      </c>
      <c r="AG8" s="756">
        <v>0</v>
      </c>
      <c r="AH8" s="756">
        <v>0</v>
      </c>
      <c r="AI8" s="756">
        <v>0</v>
      </c>
      <c r="AJ8" s="756">
        <v>0</v>
      </c>
      <c r="AK8" s="756">
        <v>0</v>
      </c>
      <c r="AL8" s="756">
        <v>0</v>
      </c>
      <c r="AM8" s="756">
        <v>0</v>
      </c>
      <c r="AN8" s="711">
        <f>SUM(AB8:AM8)</f>
        <v>0.55376800000000004</v>
      </c>
      <c r="AO8" s="756">
        <v>0.23749999999999999</v>
      </c>
      <c r="AP8" s="756">
        <v>0.23250000000000001</v>
      </c>
      <c r="AQ8" s="715">
        <f>AP8*1.03</f>
        <v>0.23947500000000002</v>
      </c>
      <c r="AR8" s="715">
        <f t="shared" ref="AR8:AY8" si="1">AQ8*1.03</f>
        <v>0.24665925000000002</v>
      </c>
      <c r="AS8" s="715">
        <f t="shared" si="1"/>
        <v>0.25405902750000003</v>
      </c>
      <c r="AT8" s="715">
        <f t="shared" si="1"/>
        <v>0.26168079832500002</v>
      </c>
      <c r="AU8" s="715">
        <f t="shared" si="1"/>
        <v>0.26953122227475002</v>
      </c>
      <c r="AV8" s="715">
        <f t="shared" si="1"/>
        <v>0.27761715894299255</v>
      </c>
      <c r="AW8" s="715">
        <f t="shared" si="1"/>
        <v>0.28594567371128232</v>
      </c>
      <c r="AX8" s="715">
        <f t="shared" si="1"/>
        <v>0.29452404392262083</v>
      </c>
      <c r="AY8" s="715">
        <f t="shared" si="1"/>
        <v>0.30335976524029945</v>
      </c>
      <c r="AZ8" s="682"/>
      <c r="BA8" s="682"/>
      <c r="BB8" s="5"/>
    </row>
    <row r="9" spans="1:54">
      <c r="A9" s="79"/>
      <c r="G9" s="382"/>
      <c r="H9" s="382"/>
      <c r="I9" s="382"/>
      <c r="J9" s="382"/>
      <c r="K9" s="382"/>
      <c r="L9" s="382"/>
      <c r="M9" s="382"/>
      <c r="N9" s="171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8"/>
      <c r="AA9" s="711"/>
      <c r="AB9" s="759"/>
      <c r="AC9" s="759"/>
      <c r="AD9" s="759"/>
      <c r="AE9" s="759"/>
      <c r="AF9" s="759"/>
      <c r="AG9" s="759"/>
      <c r="AH9" s="759"/>
      <c r="AI9" s="759"/>
      <c r="AJ9" s="759"/>
      <c r="AK9" s="759"/>
      <c r="AL9" s="759"/>
      <c r="AM9" s="759"/>
      <c r="AN9" s="711"/>
      <c r="AO9" s="759"/>
      <c r="AP9" s="759"/>
      <c r="AQ9" s="700"/>
      <c r="AR9" s="700"/>
      <c r="AS9" s="700"/>
      <c r="AT9" s="700"/>
      <c r="AU9" s="700"/>
      <c r="AV9" s="700"/>
      <c r="AW9" s="700"/>
      <c r="AX9" s="700"/>
      <c r="AY9" s="700"/>
      <c r="AZ9" s="686"/>
      <c r="BA9" s="686"/>
    </row>
    <row r="10" spans="1:54">
      <c r="A10" s="79"/>
      <c r="B10" s="34" t="s">
        <v>670</v>
      </c>
      <c r="G10" s="382"/>
      <c r="H10" s="382"/>
      <c r="I10" s="382"/>
      <c r="J10" s="382"/>
      <c r="K10" s="382"/>
      <c r="L10" s="382"/>
      <c r="M10" s="382"/>
      <c r="N10" s="171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8"/>
      <c r="AA10" s="711"/>
      <c r="AB10" s="759"/>
      <c r="AC10" s="759"/>
      <c r="AD10" s="759"/>
      <c r="AE10" s="759"/>
      <c r="AF10" s="759"/>
      <c r="AG10" s="759"/>
      <c r="AH10" s="759"/>
      <c r="AI10" s="759"/>
      <c r="AJ10" s="759"/>
      <c r="AK10" s="759"/>
      <c r="AL10" s="759"/>
      <c r="AM10" s="759"/>
      <c r="AN10" s="711"/>
      <c r="AO10" s="759"/>
      <c r="AP10" s="759"/>
      <c r="AQ10" s="700"/>
      <c r="AR10" s="700"/>
      <c r="AS10" s="700"/>
      <c r="AT10" s="700"/>
      <c r="AU10" s="700"/>
      <c r="AV10" s="700"/>
      <c r="AW10" s="700"/>
      <c r="AX10" s="700"/>
      <c r="AY10" s="700"/>
      <c r="AZ10" s="686"/>
      <c r="BA10" s="686"/>
    </row>
    <row r="11" spans="1:54">
      <c r="A11" s="79"/>
      <c r="B11" t="s">
        <v>358</v>
      </c>
      <c r="D11" s="83"/>
      <c r="E11" s="212"/>
      <c r="F11" s="83"/>
      <c r="G11" s="382"/>
      <c r="H11" s="382"/>
      <c r="I11" s="382"/>
      <c r="J11" s="382"/>
      <c r="K11" s="382"/>
      <c r="L11" s="382"/>
      <c r="M11" s="382"/>
      <c r="N11" s="310"/>
      <c r="O11" s="759"/>
      <c r="P11" s="759"/>
      <c r="Q11" s="759"/>
      <c r="R11" s="759"/>
      <c r="S11" s="759"/>
      <c r="T11" s="759"/>
      <c r="U11" s="759"/>
      <c r="V11" s="759"/>
      <c r="W11" s="759"/>
      <c r="X11" s="759"/>
      <c r="Y11" s="759"/>
      <c r="Z11" s="759"/>
      <c r="AA11" s="688"/>
      <c r="AB11" s="759"/>
      <c r="AC11" s="759"/>
      <c r="AD11" s="759"/>
      <c r="AE11" s="759"/>
      <c r="AF11" s="759"/>
      <c r="AG11" s="759"/>
      <c r="AH11" s="759"/>
      <c r="AI11" s="759"/>
      <c r="AJ11" s="759"/>
      <c r="AK11" s="759"/>
      <c r="AL11" s="759"/>
      <c r="AM11" s="759"/>
      <c r="AN11" s="688"/>
      <c r="AO11" s="759"/>
      <c r="AP11" s="759"/>
      <c r="AQ11" s="700"/>
      <c r="AR11" s="700"/>
      <c r="AS11" s="700"/>
      <c r="AT11" s="700"/>
      <c r="AU11" s="700"/>
      <c r="AV11" s="700"/>
      <c r="AW11" s="700"/>
      <c r="AX11" s="700"/>
      <c r="AY11" s="700"/>
      <c r="AZ11" s="686"/>
      <c r="BA11" s="686"/>
    </row>
    <row r="12" spans="1:54">
      <c r="A12" s="79"/>
      <c r="B12" t="s">
        <v>359</v>
      </c>
      <c r="D12" s="84"/>
      <c r="E12" s="213"/>
      <c r="F12" s="84"/>
      <c r="G12" s="386"/>
      <c r="H12" s="386"/>
      <c r="I12" s="386"/>
      <c r="J12" s="386"/>
      <c r="K12" s="386"/>
      <c r="L12" s="386"/>
      <c r="M12" s="386"/>
      <c r="N12" s="383"/>
      <c r="O12" s="760"/>
      <c r="P12" s="760"/>
      <c r="Q12" s="760"/>
      <c r="R12" s="760"/>
      <c r="S12" s="760"/>
      <c r="T12" s="760"/>
      <c r="U12" s="760"/>
      <c r="V12" s="760"/>
      <c r="W12" s="760"/>
      <c r="X12" s="760"/>
      <c r="Y12" s="760"/>
      <c r="Z12" s="760"/>
      <c r="AA12" s="693">
        <f>SUM(O12:Z12)</f>
        <v>0</v>
      </c>
      <c r="AB12" s="760"/>
      <c r="AC12" s="760"/>
      <c r="AD12" s="760"/>
      <c r="AE12" s="760"/>
      <c r="AF12" s="760"/>
      <c r="AG12" s="760"/>
      <c r="AH12" s="760"/>
      <c r="AI12" s="760"/>
      <c r="AJ12" s="760"/>
      <c r="AK12" s="760"/>
      <c r="AL12" s="760"/>
      <c r="AM12" s="760"/>
      <c r="AN12" s="761"/>
      <c r="AO12" s="760"/>
      <c r="AP12" s="760"/>
      <c r="AQ12" s="762"/>
      <c r="AR12" s="762"/>
      <c r="AS12" s="762"/>
      <c r="AT12" s="762"/>
      <c r="AU12" s="762"/>
      <c r="AV12" s="762"/>
      <c r="AW12" s="762"/>
      <c r="AX12" s="762"/>
      <c r="AY12" s="762"/>
      <c r="AZ12" s="686"/>
      <c r="BA12" s="686"/>
    </row>
    <row r="13" spans="1:54">
      <c r="A13" s="79"/>
      <c r="B13" t="s">
        <v>131</v>
      </c>
      <c r="D13" s="4"/>
      <c r="E13" s="191"/>
      <c r="F13" s="4"/>
      <c r="G13" s="5"/>
      <c r="H13" s="5"/>
      <c r="I13" s="5"/>
      <c r="J13" s="5"/>
      <c r="K13" s="5"/>
      <c r="L13" s="5"/>
      <c r="M13" s="5"/>
      <c r="N13" s="171"/>
      <c r="O13" s="759"/>
      <c r="P13" s="759"/>
      <c r="Q13" s="759"/>
      <c r="R13" s="759"/>
      <c r="S13" s="759"/>
      <c r="T13" s="759"/>
      <c r="U13" s="759"/>
      <c r="V13" s="759"/>
      <c r="W13" s="759"/>
      <c r="X13" s="759"/>
      <c r="Y13" s="759"/>
      <c r="Z13" s="759"/>
      <c r="AA13" s="711">
        <f>SUM(AA12)</f>
        <v>0</v>
      </c>
      <c r="AB13" s="759"/>
      <c r="AC13" s="759"/>
      <c r="AD13" s="759"/>
      <c r="AE13" s="759"/>
      <c r="AF13" s="759"/>
      <c r="AG13" s="759"/>
      <c r="AH13" s="759"/>
      <c r="AI13" s="759"/>
      <c r="AJ13" s="759"/>
      <c r="AK13" s="759"/>
      <c r="AL13" s="759"/>
      <c r="AM13" s="759"/>
      <c r="AN13" s="711"/>
      <c r="AO13" s="759"/>
      <c r="AP13" s="759"/>
      <c r="AQ13" s="700"/>
      <c r="AR13" s="700"/>
      <c r="AS13" s="700"/>
      <c r="AT13" s="700"/>
      <c r="AU13" s="700"/>
      <c r="AV13" s="700"/>
      <c r="AW13" s="700"/>
      <c r="AX13" s="700"/>
      <c r="AY13" s="700"/>
      <c r="AZ13" s="686"/>
      <c r="BA13" s="686"/>
    </row>
    <row r="14" spans="1:54">
      <c r="A14" s="79"/>
      <c r="G14" s="5"/>
      <c r="H14" s="5"/>
      <c r="I14" s="5"/>
      <c r="J14" s="5"/>
      <c r="K14" s="5"/>
      <c r="L14" s="5"/>
      <c r="M14" s="5"/>
      <c r="N14" s="171"/>
      <c r="O14" s="759"/>
      <c r="P14" s="759"/>
      <c r="Q14" s="759"/>
      <c r="R14" s="759"/>
      <c r="S14" s="759"/>
      <c r="T14" s="759"/>
      <c r="U14" s="759"/>
      <c r="V14" s="759"/>
      <c r="W14" s="759"/>
      <c r="X14" s="759"/>
      <c r="Y14" s="759"/>
      <c r="Z14" s="759"/>
      <c r="AA14" s="711"/>
      <c r="AB14" s="759"/>
      <c r="AC14" s="759"/>
      <c r="AD14" s="759"/>
      <c r="AE14" s="759"/>
      <c r="AF14" s="759"/>
      <c r="AG14" s="759"/>
      <c r="AH14" s="759"/>
      <c r="AI14" s="759"/>
      <c r="AJ14" s="759"/>
      <c r="AK14" s="759"/>
      <c r="AL14" s="759"/>
      <c r="AM14" s="759"/>
      <c r="AN14" s="711"/>
      <c r="AO14" s="759"/>
      <c r="AP14" s="759"/>
      <c r="AQ14" s="700"/>
      <c r="AR14" s="700"/>
      <c r="AS14" s="700"/>
      <c r="AT14" s="700"/>
      <c r="AU14" s="700"/>
      <c r="AV14" s="700"/>
      <c r="AW14" s="700"/>
      <c r="AX14" s="700"/>
      <c r="AY14" s="700"/>
      <c r="AZ14" s="686"/>
      <c r="BA14" s="686"/>
    </row>
    <row r="15" spans="1:54">
      <c r="A15" s="79"/>
      <c r="B15" s="34" t="s">
        <v>1033</v>
      </c>
      <c r="G15" s="5"/>
      <c r="H15" s="382"/>
      <c r="I15" s="382"/>
      <c r="J15" s="382"/>
      <c r="K15" s="382"/>
      <c r="L15" s="382"/>
      <c r="M15" s="382"/>
      <c r="N15" s="171"/>
      <c r="O15" s="758"/>
      <c r="P15" s="758"/>
      <c r="Q15" s="758"/>
      <c r="R15" s="758"/>
      <c r="S15" s="758"/>
      <c r="T15" s="758"/>
      <c r="U15" s="758"/>
      <c r="V15" s="758"/>
      <c r="W15" s="758"/>
      <c r="X15" s="758"/>
      <c r="Y15" s="758"/>
      <c r="Z15" s="758"/>
      <c r="AA15" s="711"/>
      <c r="AB15" s="759"/>
      <c r="AC15" s="759"/>
      <c r="AD15" s="759"/>
      <c r="AE15" s="759"/>
      <c r="AF15" s="759"/>
      <c r="AG15" s="759"/>
      <c r="AH15" s="759"/>
      <c r="AI15" s="759"/>
      <c r="AJ15" s="759"/>
      <c r="AK15" s="759"/>
      <c r="AL15" s="759"/>
      <c r="AM15" s="759"/>
      <c r="AN15" s="711"/>
      <c r="AO15" s="759"/>
      <c r="AP15" s="759"/>
      <c r="AQ15" s="700"/>
      <c r="AR15" s="700"/>
      <c r="AS15" s="700"/>
      <c r="AT15" s="700"/>
      <c r="AU15" s="700"/>
      <c r="AV15" s="700"/>
      <c r="AW15" s="700"/>
      <c r="AX15" s="700"/>
      <c r="AY15" s="700"/>
      <c r="AZ15" s="686"/>
      <c r="BA15" s="686"/>
    </row>
    <row r="16" spans="1:54">
      <c r="A16" s="79"/>
      <c r="B16" t="s">
        <v>131</v>
      </c>
      <c r="D16" s="83"/>
      <c r="E16" s="212"/>
      <c r="F16" s="59"/>
      <c r="G16" s="233"/>
      <c r="H16" s="382"/>
      <c r="I16" s="380"/>
      <c r="J16" s="382"/>
      <c r="K16" s="382"/>
      <c r="L16" s="382"/>
      <c r="M16" s="382"/>
      <c r="N16" s="381"/>
      <c r="O16" s="756">
        <v>0.05</v>
      </c>
      <c r="P16" s="756">
        <v>9.5000000000000001E-2</v>
      </c>
      <c r="Q16" s="756">
        <v>0.24</v>
      </c>
      <c r="R16" s="756">
        <v>0.47499999999999998</v>
      </c>
      <c r="S16" s="756">
        <v>0.46500000000000002</v>
      </c>
      <c r="T16" s="756">
        <v>0.38500000000000001</v>
      </c>
      <c r="U16" s="756">
        <v>0.30499999999999999</v>
      </c>
      <c r="V16" s="756">
        <v>0.215</v>
      </c>
      <c r="W16" s="756">
        <v>0.14499999999999999</v>
      </c>
      <c r="X16" s="756">
        <v>0.11</v>
      </c>
      <c r="Y16" s="756">
        <v>0.115</v>
      </c>
      <c r="Z16" s="756">
        <v>7.4999999999999997E-2</v>
      </c>
      <c r="AA16" s="679">
        <f>SUM(O16:Z16)</f>
        <v>2.6750000000000003</v>
      </c>
      <c r="AB16" s="756">
        <v>0</v>
      </c>
      <c r="AC16" s="756">
        <v>4.7E-2</v>
      </c>
      <c r="AD16" s="756">
        <v>0.1</v>
      </c>
      <c r="AE16" s="756">
        <v>0.31</v>
      </c>
      <c r="AF16" s="756">
        <v>0.113</v>
      </c>
      <c r="AG16" s="756">
        <v>0.26</v>
      </c>
      <c r="AH16" s="756">
        <v>0.22</v>
      </c>
      <c r="AI16" s="756">
        <v>0.32</v>
      </c>
      <c r="AJ16" s="756">
        <v>0.22500000000000001</v>
      </c>
      <c r="AK16" s="756">
        <v>0.04</v>
      </c>
      <c r="AL16" s="756">
        <v>5.0000000000000001E-3</v>
      </c>
      <c r="AM16" s="756">
        <v>0</v>
      </c>
      <c r="AN16" s="679">
        <f>SUM(AB16:AM16)</f>
        <v>1.6400000000000001</v>
      </c>
      <c r="AO16" s="756">
        <v>2.044</v>
      </c>
      <c r="AP16" s="756">
        <v>1.0315000000000001</v>
      </c>
      <c r="AQ16" s="763">
        <f>AP16*1.03</f>
        <v>1.0624450000000001</v>
      </c>
      <c r="AR16" s="763">
        <f t="shared" ref="AR16:AY16" si="2">AQ16*1.03</f>
        <v>1.0943183500000002</v>
      </c>
      <c r="AS16" s="763">
        <f t="shared" si="2"/>
        <v>1.1271479005000002</v>
      </c>
      <c r="AT16" s="763">
        <f t="shared" si="2"/>
        <v>1.1609623375150002</v>
      </c>
      <c r="AU16" s="763">
        <f t="shared" si="2"/>
        <v>1.1957912076404502</v>
      </c>
      <c r="AV16" s="763">
        <f t="shared" si="2"/>
        <v>1.2316649438696639</v>
      </c>
      <c r="AW16" s="763">
        <f t="shared" si="2"/>
        <v>1.2686148921857539</v>
      </c>
      <c r="AX16" s="763">
        <f t="shared" si="2"/>
        <v>1.3066733389513265</v>
      </c>
      <c r="AY16" s="763">
        <f t="shared" si="2"/>
        <v>1.3458735391198664</v>
      </c>
      <c r="AZ16" s="682"/>
      <c r="BA16" s="682"/>
    </row>
    <row r="17" spans="1:54">
      <c r="A17" s="79"/>
      <c r="G17" s="5"/>
      <c r="H17" s="382"/>
      <c r="I17" s="382"/>
      <c r="J17" s="382"/>
      <c r="K17" s="382"/>
      <c r="L17" s="382"/>
      <c r="M17" s="382"/>
      <c r="N17" s="171"/>
      <c r="O17" s="758"/>
      <c r="P17" s="758"/>
      <c r="Q17" s="758"/>
      <c r="R17" s="758"/>
      <c r="S17" s="758"/>
      <c r="T17" s="758"/>
      <c r="U17" s="758"/>
      <c r="V17" s="758"/>
      <c r="W17" s="758"/>
      <c r="X17" s="758"/>
      <c r="Y17" s="758"/>
      <c r="Z17" s="758"/>
      <c r="AA17" s="711"/>
      <c r="AB17" s="758"/>
      <c r="AC17" s="758"/>
      <c r="AD17" s="758"/>
      <c r="AE17" s="758"/>
      <c r="AF17" s="758"/>
      <c r="AG17" s="758"/>
      <c r="AH17" s="758"/>
      <c r="AI17" s="758"/>
      <c r="AJ17" s="758"/>
      <c r="AK17" s="758"/>
      <c r="AL17" s="758"/>
      <c r="AM17" s="758"/>
      <c r="AN17" s="711"/>
      <c r="AO17" s="758"/>
      <c r="AP17" s="758"/>
      <c r="AQ17" s="700"/>
      <c r="AR17" s="700"/>
      <c r="AS17" s="700"/>
      <c r="AT17" s="700"/>
      <c r="AU17" s="700"/>
      <c r="AV17" s="700"/>
      <c r="AW17" s="700"/>
      <c r="AX17" s="700"/>
      <c r="AY17" s="700"/>
      <c r="AZ17" s="686"/>
      <c r="BA17" s="686"/>
    </row>
    <row r="18" spans="1:54">
      <c r="A18" s="79"/>
      <c r="B18" s="34" t="s">
        <v>360</v>
      </c>
      <c r="D18" s="4"/>
      <c r="E18" s="191"/>
      <c r="F18" s="4"/>
      <c r="G18" s="5"/>
      <c r="H18" s="382"/>
      <c r="I18" s="382"/>
      <c r="J18" s="382"/>
      <c r="K18" s="382"/>
      <c r="L18" s="382"/>
      <c r="M18" s="382"/>
      <c r="N18" s="171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11"/>
      <c r="AB18" s="758"/>
      <c r="AC18" s="758"/>
      <c r="AD18" s="758"/>
      <c r="AE18" s="758"/>
      <c r="AF18" s="758"/>
      <c r="AG18" s="758"/>
      <c r="AH18" s="758"/>
      <c r="AI18" s="758"/>
      <c r="AJ18" s="758"/>
      <c r="AK18" s="758"/>
      <c r="AL18" s="758"/>
      <c r="AM18" s="758"/>
      <c r="AN18" s="711"/>
      <c r="AO18" s="758"/>
      <c r="AP18" s="758"/>
      <c r="AQ18" s="700"/>
      <c r="AR18" s="700"/>
      <c r="AS18" s="700"/>
      <c r="AT18" s="700"/>
      <c r="AU18" s="700"/>
      <c r="AV18" s="700"/>
      <c r="AW18" s="700"/>
      <c r="AX18" s="700"/>
      <c r="AY18" s="700"/>
      <c r="AZ18" s="686"/>
      <c r="BA18" s="686"/>
    </row>
    <row r="19" spans="1:54">
      <c r="A19" s="79"/>
      <c r="B19" t="s">
        <v>351</v>
      </c>
      <c r="D19" s="4"/>
      <c r="E19" s="191"/>
      <c r="F19" s="59"/>
      <c r="G19" s="230"/>
      <c r="H19" s="382"/>
      <c r="I19" s="382"/>
      <c r="J19" s="382"/>
      <c r="K19" s="382"/>
      <c r="L19" s="382"/>
      <c r="M19" s="382"/>
      <c r="N19" s="387"/>
      <c r="O19" s="756">
        <v>0.59886200000000001</v>
      </c>
      <c r="P19" s="756">
        <v>0.156885</v>
      </c>
      <c r="Q19" s="756">
        <v>4.6330980000000004</v>
      </c>
      <c r="R19" s="756">
        <v>6.4058149999999996</v>
      </c>
      <c r="S19" s="756">
        <v>6.5961410000000003</v>
      </c>
      <c r="T19" s="756">
        <v>2.3767330000000002</v>
      </c>
      <c r="U19" s="756">
        <v>2.4213269999999998</v>
      </c>
      <c r="V19" s="756">
        <v>1.188625</v>
      </c>
      <c r="W19" s="756">
        <v>2.263728</v>
      </c>
      <c r="X19" s="756">
        <v>6.236008</v>
      </c>
      <c r="Y19" s="756">
        <v>0.911605</v>
      </c>
      <c r="Z19" s="756">
        <v>0.01</v>
      </c>
      <c r="AA19" s="683">
        <f>SUM(O19:Z19)</f>
        <v>33.798827000000003</v>
      </c>
      <c r="AB19" s="756">
        <v>1.418401</v>
      </c>
      <c r="AC19" s="756">
        <v>0.309278</v>
      </c>
      <c r="AD19" s="756">
        <v>3.6597770000000001</v>
      </c>
      <c r="AE19" s="756">
        <v>13.940576999999999</v>
      </c>
      <c r="AF19" s="756">
        <v>9.3516670000000008</v>
      </c>
      <c r="AG19" s="756">
        <v>1.1399459999999999</v>
      </c>
      <c r="AH19" s="756">
        <v>1.21116</v>
      </c>
      <c r="AI19" s="756">
        <v>2.9426890000000001</v>
      </c>
      <c r="AJ19" s="756">
        <v>2.6672880000000001</v>
      </c>
      <c r="AK19" s="756">
        <v>3.67008</v>
      </c>
      <c r="AL19" s="756">
        <v>0.02</v>
      </c>
      <c r="AM19" s="756">
        <v>2.5000000000000001E-2</v>
      </c>
      <c r="AN19" s="679">
        <f>SUM(AB19:AM19)</f>
        <v>40.355862999999992</v>
      </c>
      <c r="AO19" s="756">
        <v>43.049574</v>
      </c>
      <c r="AP19" s="756">
        <v>33.793489999999998</v>
      </c>
      <c r="AQ19" s="715">
        <f>(AP19)*1.03</f>
        <v>34.8072947</v>
      </c>
      <c r="AR19" s="715">
        <f t="shared" ref="AR19:AY19" si="3">AQ19*1.03</f>
        <v>35.851513541000003</v>
      </c>
      <c r="AS19" s="715">
        <f>AR19*1.03+'Bud. Adj.'!AK7</f>
        <v>47.984432666273335</v>
      </c>
      <c r="AT19" s="715">
        <f t="shared" si="3"/>
        <v>49.423965646261536</v>
      </c>
      <c r="AU19" s="715">
        <f t="shared" si="3"/>
        <v>50.906684615649382</v>
      </c>
      <c r="AV19" s="715">
        <f t="shared" si="3"/>
        <v>52.433885154118862</v>
      </c>
      <c r="AW19" s="715">
        <f t="shared" si="3"/>
        <v>54.006901708742426</v>
      </c>
      <c r="AX19" s="715">
        <f t="shared" si="3"/>
        <v>55.627108760004703</v>
      </c>
      <c r="AY19" s="715">
        <f t="shared" si="3"/>
        <v>57.295922022804845</v>
      </c>
      <c r="AZ19" s="682"/>
      <c r="BA19" s="682"/>
    </row>
    <row r="20" spans="1:54">
      <c r="A20" s="79"/>
      <c r="B20" t="s">
        <v>909</v>
      </c>
      <c r="D20" s="8"/>
      <c r="E20" s="210"/>
      <c r="F20" s="84"/>
      <c r="G20" s="384"/>
      <c r="H20" s="384"/>
      <c r="I20" s="384"/>
      <c r="J20" s="384"/>
      <c r="K20" s="384"/>
      <c r="L20" s="384"/>
      <c r="M20" s="384"/>
      <c r="N20" s="308"/>
      <c r="O20" s="757">
        <v>0</v>
      </c>
      <c r="P20" s="757">
        <v>0</v>
      </c>
      <c r="Q20" s="757">
        <v>0</v>
      </c>
      <c r="R20" s="757">
        <v>0</v>
      </c>
      <c r="S20" s="757">
        <v>0.9</v>
      </c>
      <c r="T20" s="757">
        <v>1.2</v>
      </c>
      <c r="U20" s="757">
        <v>2.2999999999999998</v>
      </c>
      <c r="V20" s="757">
        <v>2.2999999999999998</v>
      </c>
      <c r="W20" s="757">
        <v>3.5</v>
      </c>
      <c r="X20" s="757">
        <v>7.15</v>
      </c>
      <c r="Y20" s="757">
        <v>7.15</v>
      </c>
      <c r="Z20" s="757">
        <v>7.3</v>
      </c>
      <c r="AA20" s="693">
        <f>SUM(O20:Z20)</f>
        <v>31.8</v>
      </c>
      <c r="AB20" s="757">
        <v>5</v>
      </c>
      <c r="AC20" s="757">
        <v>5</v>
      </c>
      <c r="AD20" s="757">
        <v>5.0615379999999996</v>
      </c>
      <c r="AE20" s="757">
        <v>5.0615379999999996</v>
      </c>
      <c r="AF20" s="757">
        <v>5.0615379999999996</v>
      </c>
      <c r="AG20" s="757">
        <v>2.4678849999999999</v>
      </c>
      <c r="AH20" s="757">
        <v>0</v>
      </c>
      <c r="AI20" s="757">
        <v>0</v>
      </c>
      <c r="AJ20" s="757">
        <v>0</v>
      </c>
      <c r="AK20" s="757">
        <v>0</v>
      </c>
      <c r="AL20" s="757">
        <v>0</v>
      </c>
      <c r="AM20" s="757">
        <v>0</v>
      </c>
      <c r="AN20" s="693">
        <f>SUM(AB20:AM20)</f>
        <v>27.652498999999995</v>
      </c>
      <c r="AO20" s="757">
        <v>0</v>
      </c>
      <c r="AP20" s="757">
        <v>0</v>
      </c>
      <c r="AQ20" s="760"/>
      <c r="AR20" s="762"/>
      <c r="AS20" s="762"/>
      <c r="AT20" s="762"/>
      <c r="AU20" s="762"/>
      <c r="AV20" s="762"/>
      <c r="AW20" s="762"/>
      <c r="AX20" s="762"/>
      <c r="AY20" s="762"/>
      <c r="AZ20" s="686"/>
      <c r="BA20" s="686"/>
    </row>
    <row r="21" spans="1:54">
      <c r="A21" s="79"/>
      <c r="B21" t="s">
        <v>131</v>
      </c>
      <c r="C21" s="7"/>
      <c r="D21" s="85"/>
      <c r="E21" s="214"/>
      <c r="F21" s="44"/>
      <c r="G21" s="388"/>
      <c r="H21" s="388"/>
      <c r="I21" s="388"/>
      <c r="J21" s="388"/>
      <c r="K21" s="388"/>
      <c r="L21" s="388"/>
      <c r="M21" s="388"/>
      <c r="N21" s="385"/>
      <c r="O21" s="764">
        <f t="shared" ref="O21:Z21" si="4">SUM(O19:O20)</f>
        <v>0.59886200000000001</v>
      </c>
      <c r="P21" s="764">
        <f t="shared" si="4"/>
        <v>0.156885</v>
      </c>
      <c r="Q21" s="764">
        <f t="shared" si="4"/>
        <v>4.6330980000000004</v>
      </c>
      <c r="R21" s="764">
        <f t="shared" si="4"/>
        <v>6.4058149999999996</v>
      </c>
      <c r="S21" s="764">
        <f t="shared" si="4"/>
        <v>7.4961410000000006</v>
      </c>
      <c r="T21" s="764">
        <f t="shared" si="4"/>
        <v>3.5767329999999999</v>
      </c>
      <c r="U21" s="764">
        <f t="shared" si="4"/>
        <v>4.7213269999999996</v>
      </c>
      <c r="V21" s="764">
        <f t="shared" si="4"/>
        <v>3.4886249999999999</v>
      </c>
      <c r="W21" s="764">
        <f t="shared" si="4"/>
        <v>5.7637280000000004</v>
      </c>
      <c r="X21" s="764">
        <f t="shared" si="4"/>
        <v>13.386008</v>
      </c>
      <c r="Y21" s="764">
        <f t="shared" si="4"/>
        <v>8.0616050000000001</v>
      </c>
      <c r="Z21" s="764">
        <f t="shared" si="4"/>
        <v>7.31</v>
      </c>
      <c r="AA21" s="765">
        <f>SUM(O21:Z21)</f>
        <v>65.598827</v>
      </c>
      <c r="AB21" s="766">
        <f>+AB19+AB20</f>
        <v>6.4184010000000002</v>
      </c>
      <c r="AC21" s="766">
        <f t="shared" ref="AC21:AK21" si="5">+AC19+AC20</f>
        <v>5.3092779999999999</v>
      </c>
      <c r="AD21" s="766">
        <f t="shared" si="5"/>
        <v>8.7213150000000006</v>
      </c>
      <c r="AE21" s="766">
        <f t="shared" si="5"/>
        <v>19.002115</v>
      </c>
      <c r="AF21" s="766">
        <f t="shared" si="5"/>
        <v>14.413205000000001</v>
      </c>
      <c r="AG21" s="766">
        <f t="shared" si="5"/>
        <v>3.607831</v>
      </c>
      <c r="AH21" s="766">
        <f t="shared" si="5"/>
        <v>1.21116</v>
      </c>
      <c r="AI21" s="766">
        <f t="shared" si="5"/>
        <v>2.9426890000000001</v>
      </c>
      <c r="AJ21" s="766">
        <f t="shared" si="5"/>
        <v>2.6672880000000001</v>
      </c>
      <c r="AK21" s="766">
        <f t="shared" si="5"/>
        <v>3.67008</v>
      </c>
      <c r="AL21" s="766">
        <f>+AL19+AL20</f>
        <v>0.02</v>
      </c>
      <c r="AM21" s="766">
        <f>+AM19+AM20</f>
        <v>2.5000000000000001E-2</v>
      </c>
      <c r="AN21" s="679">
        <f>SUM(AB21:AM21)</f>
        <v>68.008362000000005</v>
      </c>
      <c r="AO21" s="763">
        <f>AO19+AO20</f>
        <v>43.049574</v>
      </c>
      <c r="AP21" s="763">
        <f t="shared" ref="AP21:AY21" si="6">AP19+AP20</f>
        <v>33.793489999999998</v>
      </c>
      <c r="AQ21" s="763">
        <f t="shared" si="6"/>
        <v>34.8072947</v>
      </c>
      <c r="AR21" s="763">
        <f t="shared" si="6"/>
        <v>35.851513541000003</v>
      </c>
      <c r="AS21" s="763">
        <f t="shared" si="6"/>
        <v>47.984432666273335</v>
      </c>
      <c r="AT21" s="763">
        <f t="shared" si="6"/>
        <v>49.423965646261536</v>
      </c>
      <c r="AU21" s="763">
        <f t="shared" si="6"/>
        <v>50.906684615649382</v>
      </c>
      <c r="AV21" s="763">
        <f t="shared" si="6"/>
        <v>52.433885154118862</v>
      </c>
      <c r="AW21" s="763">
        <f t="shared" si="6"/>
        <v>54.006901708742426</v>
      </c>
      <c r="AX21" s="763">
        <f t="shared" si="6"/>
        <v>55.627108760004703</v>
      </c>
      <c r="AY21" s="763">
        <f t="shared" si="6"/>
        <v>57.295922022804845</v>
      </c>
      <c r="AZ21" s="682"/>
      <c r="BA21" s="682"/>
      <c r="BB21" s="5"/>
    </row>
    <row r="22" spans="1:54">
      <c r="A22" s="79"/>
      <c r="B22" s="86"/>
      <c r="C22" s="83"/>
      <c r="D22" s="4"/>
      <c r="E22" s="191"/>
      <c r="F22" s="4"/>
      <c r="G22" s="5"/>
      <c r="H22" s="5"/>
      <c r="I22" s="5"/>
      <c r="J22" s="5"/>
      <c r="K22" s="5"/>
      <c r="L22" s="5"/>
      <c r="M22" s="5"/>
      <c r="N22" s="171"/>
      <c r="O22" s="714"/>
      <c r="P22" s="714"/>
      <c r="Q22" s="714"/>
      <c r="R22" s="714"/>
      <c r="S22" s="714"/>
      <c r="T22" s="714"/>
      <c r="U22" s="714"/>
      <c r="V22" s="714"/>
      <c r="W22" s="714"/>
      <c r="X22" s="714"/>
      <c r="Y22" s="714"/>
      <c r="Z22" s="714"/>
      <c r="AA22" s="711"/>
      <c r="AB22" s="714"/>
      <c r="AC22" s="714"/>
      <c r="AD22" s="714"/>
      <c r="AE22" s="714"/>
      <c r="AF22" s="714"/>
      <c r="AG22" s="714"/>
      <c r="AH22" s="714"/>
      <c r="AI22" s="714"/>
      <c r="AJ22" s="714"/>
      <c r="AK22" s="714"/>
      <c r="AL22" s="714"/>
      <c r="AM22" s="714"/>
      <c r="AN22" s="711"/>
      <c r="AO22" s="714"/>
      <c r="AP22" s="714"/>
      <c r="AQ22" s="714"/>
      <c r="AR22" s="714"/>
      <c r="AS22" s="714"/>
      <c r="AT22" s="714"/>
      <c r="AU22" s="714"/>
      <c r="AV22" s="714"/>
      <c r="AW22" s="714"/>
      <c r="AX22" s="714"/>
      <c r="AY22" s="714"/>
      <c r="AZ22" s="766"/>
      <c r="BA22" s="766"/>
    </row>
    <row r="23" spans="1:54">
      <c r="A23" s="79"/>
      <c r="B23" s="34" t="s">
        <v>361</v>
      </c>
      <c r="D23" s="4"/>
      <c r="E23" s="191"/>
      <c r="F23" s="4"/>
      <c r="G23" s="5"/>
      <c r="H23" s="5"/>
      <c r="I23" s="5"/>
      <c r="J23" s="5"/>
      <c r="K23" s="5"/>
      <c r="L23" s="5"/>
      <c r="M23" s="5"/>
      <c r="N23" s="171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1"/>
      <c r="AB23" s="714"/>
      <c r="AC23" s="714"/>
      <c r="AD23" s="714"/>
      <c r="AE23" s="714"/>
      <c r="AF23" s="714"/>
      <c r="AG23" s="714"/>
      <c r="AH23" s="714"/>
      <c r="AI23" s="714"/>
      <c r="AJ23" s="714"/>
      <c r="AK23" s="714"/>
      <c r="AL23" s="714"/>
      <c r="AM23" s="714"/>
      <c r="AN23" s="711"/>
      <c r="AO23" s="714"/>
      <c r="AP23" s="714"/>
      <c r="AQ23" s="714"/>
      <c r="AR23" s="714"/>
      <c r="AS23" s="714"/>
      <c r="AT23" s="714"/>
      <c r="AU23" s="714"/>
      <c r="AV23" s="714"/>
      <c r="AW23" s="714"/>
      <c r="AX23" s="714"/>
      <c r="AY23" s="714"/>
      <c r="AZ23" s="766"/>
      <c r="BA23" s="766"/>
      <c r="BB23" s="5"/>
    </row>
    <row r="24" spans="1:54">
      <c r="A24" s="79"/>
      <c r="B24" t="s">
        <v>362</v>
      </c>
      <c r="D24" s="4"/>
      <c r="E24" s="191"/>
      <c r="F24" s="23"/>
      <c r="G24" s="14"/>
      <c r="H24" s="14"/>
      <c r="I24" s="14"/>
      <c r="J24" s="14"/>
      <c r="K24" s="14"/>
      <c r="L24" s="14"/>
      <c r="M24" s="14"/>
      <c r="N24" s="171"/>
      <c r="O24" s="719">
        <f>O21</f>
        <v>0.59886200000000001</v>
      </c>
      <c r="P24" s="719">
        <f t="shared" ref="P24:Z24" si="7">P21</f>
        <v>0.156885</v>
      </c>
      <c r="Q24" s="719">
        <f t="shared" si="7"/>
        <v>4.6330980000000004</v>
      </c>
      <c r="R24" s="719">
        <f t="shared" si="7"/>
        <v>6.4058149999999996</v>
      </c>
      <c r="S24" s="719">
        <f t="shared" si="7"/>
        <v>7.4961410000000006</v>
      </c>
      <c r="T24" s="719">
        <f t="shared" si="7"/>
        <v>3.5767329999999999</v>
      </c>
      <c r="U24" s="719">
        <f t="shared" si="7"/>
        <v>4.7213269999999996</v>
      </c>
      <c r="V24" s="719">
        <f t="shared" si="7"/>
        <v>3.4886249999999999</v>
      </c>
      <c r="W24" s="719">
        <f t="shared" si="7"/>
        <v>5.7637280000000004</v>
      </c>
      <c r="X24" s="719">
        <f t="shared" si="7"/>
        <v>13.386008</v>
      </c>
      <c r="Y24" s="719">
        <f t="shared" si="7"/>
        <v>8.0616050000000001</v>
      </c>
      <c r="Z24" s="719">
        <f t="shared" si="7"/>
        <v>7.31</v>
      </c>
      <c r="AA24" s="711">
        <f>SUM(O24:Z24)</f>
        <v>65.598827</v>
      </c>
      <c r="AB24" s="719">
        <f>AB21</f>
        <v>6.4184010000000002</v>
      </c>
      <c r="AC24" s="719">
        <f t="shared" ref="AC24:AM24" si="8">AC21</f>
        <v>5.3092779999999999</v>
      </c>
      <c r="AD24" s="719">
        <f t="shared" si="8"/>
        <v>8.7213150000000006</v>
      </c>
      <c r="AE24" s="719">
        <f t="shared" si="8"/>
        <v>19.002115</v>
      </c>
      <c r="AF24" s="719">
        <f t="shared" si="8"/>
        <v>14.413205000000001</v>
      </c>
      <c r="AG24" s="719">
        <f t="shared" si="8"/>
        <v>3.607831</v>
      </c>
      <c r="AH24" s="719">
        <f t="shared" si="8"/>
        <v>1.21116</v>
      </c>
      <c r="AI24" s="719">
        <f t="shared" si="8"/>
        <v>2.9426890000000001</v>
      </c>
      <c r="AJ24" s="719">
        <f t="shared" si="8"/>
        <v>2.6672880000000001</v>
      </c>
      <c r="AK24" s="719">
        <f t="shared" si="8"/>
        <v>3.67008</v>
      </c>
      <c r="AL24" s="719">
        <f t="shared" si="8"/>
        <v>0.02</v>
      </c>
      <c r="AM24" s="719">
        <f t="shared" si="8"/>
        <v>2.5000000000000001E-2</v>
      </c>
      <c r="AN24" s="711">
        <f>SUM(AB24:AM24)</f>
        <v>68.008362000000005</v>
      </c>
      <c r="AO24" s="714">
        <f>AO21</f>
        <v>43.049574</v>
      </c>
      <c r="AP24" s="714">
        <f t="shared" ref="AP24:AY24" si="9">AP21</f>
        <v>33.793489999999998</v>
      </c>
      <c r="AQ24" s="714">
        <f t="shared" si="9"/>
        <v>34.8072947</v>
      </c>
      <c r="AR24" s="714">
        <f t="shared" si="9"/>
        <v>35.851513541000003</v>
      </c>
      <c r="AS24" s="714">
        <f t="shared" si="9"/>
        <v>47.984432666273335</v>
      </c>
      <c r="AT24" s="714">
        <f t="shared" si="9"/>
        <v>49.423965646261536</v>
      </c>
      <c r="AU24" s="714">
        <f t="shared" si="9"/>
        <v>50.906684615649382</v>
      </c>
      <c r="AV24" s="714">
        <f t="shared" si="9"/>
        <v>52.433885154118862</v>
      </c>
      <c r="AW24" s="714">
        <f t="shared" si="9"/>
        <v>54.006901708742426</v>
      </c>
      <c r="AX24" s="714">
        <f t="shared" si="9"/>
        <v>55.627108760004703</v>
      </c>
      <c r="AY24" s="714">
        <f t="shared" si="9"/>
        <v>57.295922022804845</v>
      </c>
      <c r="AZ24" s="766"/>
      <c r="BA24" s="766"/>
    </row>
    <row r="25" spans="1:54">
      <c r="A25" s="79"/>
      <c r="B25" t="s">
        <v>286</v>
      </c>
      <c r="D25" s="4"/>
      <c r="E25" s="191"/>
      <c r="F25" s="23"/>
      <c r="G25" s="14"/>
      <c r="H25" s="14"/>
      <c r="I25" s="14"/>
      <c r="J25" s="14"/>
      <c r="K25" s="14"/>
      <c r="L25" s="14"/>
      <c r="M25" s="14"/>
      <c r="N25" s="171"/>
      <c r="O25" s="719">
        <f>O6</f>
        <v>0.554145</v>
      </c>
      <c r="P25" s="719">
        <f t="shared" ref="P25:Z25" si="10">P6</f>
        <v>0.85094599999999998</v>
      </c>
      <c r="Q25" s="719">
        <f t="shared" si="10"/>
        <v>0.57664000000000004</v>
      </c>
      <c r="R25" s="719">
        <f t="shared" si="10"/>
        <v>0.80822400000000005</v>
      </c>
      <c r="S25" s="719">
        <f t="shared" si="10"/>
        <v>0.63125500000000001</v>
      </c>
      <c r="T25" s="719">
        <f t="shared" si="10"/>
        <v>0.79543299999999995</v>
      </c>
      <c r="U25" s="719">
        <f t="shared" si="10"/>
        <v>0.52130399999999999</v>
      </c>
      <c r="V25" s="719">
        <f t="shared" si="10"/>
        <v>0.48618899999999998</v>
      </c>
      <c r="W25" s="719">
        <f t="shared" si="10"/>
        <v>0.411275</v>
      </c>
      <c r="X25" s="719">
        <f t="shared" si="10"/>
        <v>0.85429600000000006</v>
      </c>
      <c r="Y25" s="719">
        <f t="shared" si="10"/>
        <v>1.584638</v>
      </c>
      <c r="Z25" s="719">
        <f t="shared" si="10"/>
        <v>0.14763799999999999</v>
      </c>
      <c r="AA25" s="711">
        <f t="shared" ref="AA25:AA31" si="11">SUM(O25:Z25)</f>
        <v>8.2219829999999998</v>
      </c>
      <c r="AB25" s="719">
        <f t="shared" ref="AB25:AM25" si="12">AB6</f>
        <v>0.21667700000000001</v>
      </c>
      <c r="AC25" s="719">
        <f t="shared" si="12"/>
        <v>0.33355899999999999</v>
      </c>
      <c r="AD25" s="719">
        <f t="shared" si="12"/>
        <v>0.32781300000000002</v>
      </c>
      <c r="AE25" s="719">
        <f t="shared" si="12"/>
        <v>0.39291399999999999</v>
      </c>
      <c r="AF25" s="719">
        <f t="shared" si="12"/>
        <v>0.38054199999999999</v>
      </c>
      <c r="AG25" s="719">
        <f t="shared" si="12"/>
        <v>0.33474999999999999</v>
      </c>
      <c r="AH25" s="719">
        <f t="shared" si="12"/>
        <v>0.17350099999999999</v>
      </c>
      <c r="AI25" s="719">
        <f t="shared" si="12"/>
        <v>0.35635099999999997</v>
      </c>
      <c r="AJ25" s="719">
        <f t="shared" si="12"/>
        <v>0.88255600000000001</v>
      </c>
      <c r="AK25" s="719">
        <f t="shared" si="12"/>
        <v>0.61387000000000003</v>
      </c>
      <c r="AL25" s="719">
        <f t="shared" si="12"/>
        <v>0.18410099999999999</v>
      </c>
      <c r="AM25" s="719">
        <f t="shared" si="12"/>
        <v>0.104112</v>
      </c>
      <c r="AN25" s="711">
        <f t="shared" ref="AN25:AN31" si="13">SUM(AB25:AM25)</f>
        <v>4.3007460000000002</v>
      </c>
      <c r="AO25" s="714">
        <f t="shared" ref="AO25:AY25" si="14">AO6</f>
        <v>2.2834409999999998</v>
      </c>
      <c r="AP25" s="714">
        <f t="shared" si="14"/>
        <v>2.9445269999999999</v>
      </c>
      <c r="AQ25" s="714">
        <f t="shared" si="14"/>
        <v>3.0328628100000001</v>
      </c>
      <c r="AR25" s="714">
        <f t="shared" si="14"/>
        <v>3.1238486943000003</v>
      </c>
      <c r="AS25" s="714">
        <f t="shared" si="14"/>
        <v>3.2175641551290006</v>
      </c>
      <c r="AT25" s="714">
        <f t="shared" si="14"/>
        <v>3.3140910797828709</v>
      </c>
      <c r="AU25" s="714">
        <f t="shared" si="14"/>
        <v>3.4135138121763573</v>
      </c>
      <c r="AV25" s="714">
        <f t="shared" si="14"/>
        <v>3.5159192265416479</v>
      </c>
      <c r="AW25" s="714">
        <f t="shared" si="14"/>
        <v>3.6213968033378974</v>
      </c>
      <c r="AX25" s="714">
        <f t="shared" si="14"/>
        <v>3.7300387074380343</v>
      </c>
      <c r="AY25" s="714">
        <f t="shared" si="14"/>
        <v>3.8419398686611754</v>
      </c>
      <c r="AZ25" s="766"/>
      <c r="BA25" s="766"/>
    </row>
    <row r="26" spans="1:54">
      <c r="A26" s="79"/>
      <c r="B26" t="s">
        <v>294</v>
      </c>
      <c r="D26" s="4"/>
      <c r="E26" s="191"/>
      <c r="F26" s="23"/>
      <c r="G26" s="14"/>
      <c r="H26" s="14"/>
      <c r="I26" s="14"/>
      <c r="J26" s="14"/>
      <c r="K26" s="14"/>
      <c r="L26" s="14"/>
      <c r="M26" s="14"/>
      <c r="N26" s="171"/>
      <c r="O26" s="719">
        <f>O8</f>
        <v>1.7000000000000001E-2</v>
      </c>
      <c r="P26" s="719">
        <f t="shared" ref="P26:Z26" si="15">P8</f>
        <v>0.60099999999999998</v>
      </c>
      <c r="Q26" s="719">
        <f t="shared" si="15"/>
        <v>0.29699999999999999</v>
      </c>
      <c r="R26" s="719">
        <f t="shared" si="15"/>
        <v>0.57899999999999996</v>
      </c>
      <c r="S26" s="719">
        <f t="shared" si="15"/>
        <v>0.1</v>
      </c>
      <c r="T26" s="719">
        <f t="shared" si="15"/>
        <v>0.1</v>
      </c>
      <c r="U26" s="719">
        <f t="shared" si="15"/>
        <v>0.1</v>
      </c>
      <c r="V26" s="719">
        <f t="shared" si="15"/>
        <v>0.1</v>
      </c>
      <c r="W26" s="719">
        <f t="shared" si="15"/>
        <v>0.15</v>
      </c>
      <c r="X26" s="719">
        <f t="shared" si="15"/>
        <v>0.2</v>
      </c>
      <c r="Y26" s="719">
        <f t="shared" si="15"/>
        <v>0.2</v>
      </c>
      <c r="Z26" s="719">
        <f t="shared" si="15"/>
        <v>0.2</v>
      </c>
      <c r="AA26" s="711">
        <f t="shared" si="11"/>
        <v>2.644000000000001</v>
      </c>
      <c r="AB26" s="719">
        <f t="shared" ref="AB26:AM26" si="16">AB8</f>
        <v>0</v>
      </c>
      <c r="AC26" s="719">
        <f t="shared" si="16"/>
        <v>0.20626800000000001</v>
      </c>
      <c r="AD26" s="719">
        <f t="shared" si="16"/>
        <v>0.1</v>
      </c>
      <c r="AE26" s="719">
        <f t="shared" si="16"/>
        <v>0.2475</v>
      </c>
      <c r="AF26" s="719">
        <f t="shared" si="16"/>
        <v>0</v>
      </c>
      <c r="AG26" s="719">
        <f t="shared" si="16"/>
        <v>0</v>
      </c>
      <c r="AH26" s="719">
        <f t="shared" si="16"/>
        <v>0</v>
      </c>
      <c r="AI26" s="719">
        <f t="shared" si="16"/>
        <v>0</v>
      </c>
      <c r="AJ26" s="719">
        <f t="shared" si="16"/>
        <v>0</v>
      </c>
      <c r="AK26" s="719">
        <f t="shared" si="16"/>
        <v>0</v>
      </c>
      <c r="AL26" s="719">
        <f t="shared" si="16"/>
        <v>0</v>
      </c>
      <c r="AM26" s="719">
        <f t="shared" si="16"/>
        <v>0</v>
      </c>
      <c r="AN26" s="711">
        <f t="shared" si="13"/>
        <v>0.55376800000000004</v>
      </c>
      <c r="AO26" s="714">
        <f t="shared" ref="AO26:AY26" si="17">AO8</f>
        <v>0.23749999999999999</v>
      </c>
      <c r="AP26" s="714">
        <f t="shared" si="17"/>
        <v>0.23250000000000001</v>
      </c>
      <c r="AQ26" s="714">
        <f t="shared" si="17"/>
        <v>0.23947500000000002</v>
      </c>
      <c r="AR26" s="714">
        <f t="shared" si="17"/>
        <v>0.24665925000000002</v>
      </c>
      <c r="AS26" s="714">
        <f t="shared" si="17"/>
        <v>0.25405902750000003</v>
      </c>
      <c r="AT26" s="714">
        <f t="shared" si="17"/>
        <v>0.26168079832500002</v>
      </c>
      <c r="AU26" s="714">
        <f t="shared" si="17"/>
        <v>0.26953122227475002</v>
      </c>
      <c r="AV26" s="714">
        <f t="shared" si="17"/>
        <v>0.27761715894299255</v>
      </c>
      <c r="AW26" s="714">
        <f t="shared" si="17"/>
        <v>0.28594567371128232</v>
      </c>
      <c r="AX26" s="714">
        <f t="shared" si="17"/>
        <v>0.29452404392262083</v>
      </c>
      <c r="AY26" s="714">
        <f t="shared" si="17"/>
        <v>0.30335976524029945</v>
      </c>
      <c r="AZ26" s="766"/>
      <c r="BA26" s="766"/>
    </row>
    <row r="27" spans="1:54">
      <c r="A27" s="79"/>
      <c r="D27" s="4"/>
      <c r="E27" s="191"/>
      <c r="F27" s="23"/>
      <c r="G27" s="14"/>
      <c r="H27" s="14"/>
      <c r="I27" s="14"/>
      <c r="J27" s="14"/>
      <c r="K27" s="14"/>
      <c r="L27" s="14"/>
      <c r="M27" s="14"/>
      <c r="N27" s="171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  <c r="AA27" s="711"/>
      <c r="AB27" s="719"/>
      <c r="AC27" s="719"/>
      <c r="AD27" s="719"/>
      <c r="AE27" s="719"/>
      <c r="AF27" s="719"/>
      <c r="AG27" s="719"/>
      <c r="AH27" s="719"/>
      <c r="AI27" s="719"/>
      <c r="AJ27" s="719"/>
      <c r="AK27" s="719"/>
      <c r="AL27" s="719"/>
      <c r="AM27" s="719"/>
      <c r="AN27" s="711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66"/>
      <c r="BA27" s="766"/>
    </row>
    <row r="28" spans="1:54">
      <c r="A28" s="79"/>
      <c r="B28" t="s">
        <v>1032</v>
      </c>
      <c r="D28" s="4"/>
      <c r="E28" s="191"/>
      <c r="F28" s="23"/>
      <c r="G28" s="14"/>
      <c r="H28" s="14"/>
      <c r="I28" s="14"/>
      <c r="J28" s="14"/>
      <c r="K28" s="14"/>
      <c r="L28" s="14"/>
      <c r="M28" s="14"/>
      <c r="N28" s="171"/>
      <c r="O28" s="719">
        <f>O16</f>
        <v>0.05</v>
      </c>
      <c r="P28" s="719">
        <f t="shared" ref="P28:Z28" si="18">P16</f>
        <v>9.5000000000000001E-2</v>
      </c>
      <c r="Q28" s="719">
        <f t="shared" si="18"/>
        <v>0.24</v>
      </c>
      <c r="R28" s="719">
        <f t="shared" si="18"/>
        <v>0.47499999999999998</v>
      </c>
      <c r="S28" s="719">
        <f t="shared" si="18"/>
        <v>0.46500000000000002</v>
      </c>
      <c r="T28" s="719">
        <f t="shared" si="18"/>
        <v>0.38500000000000001</v>
      </c>
      <c r="U28" s="719">
        <f t="shared" si="18"/>
        <v>0.30499999999999999</v>
      </c>
      <c r="V28" s="719">
        <f t="shared" si="18"/>
        <v>0.215</v>
      </c>
      <c r="W28" s="719">
        <f t="shared" si="18"/>
        <v>0.14499999999999999</v>
      </c>
      <c r="X28" s="719">
        <f t="shared" si="18"/>
        <v>0.11</v>
      </c>
      <c r="Y28" s="719">
        <f t="shared" si="18"/>
        <v>0.115</v>
      </c>
      <c r="Z28" s="719">
        <f t="shared" si="18"/>
        <v>7.4999999999999997E-2</v>
      </c>
      <c r="AA28" s="711">
        <f t="shared" si="11"/>
        <v>2.6750000000000003</v>
      </c>
      <c r="AB28" s="719">
        <f t="shared" ref="AB28:AM28" si="19">AB16</f>
        <v>0</v>
      </c>
      <c r="AC28" s="719">
        <f t="shared" si="19"/>
        <v>4.7E-2</v>
      </c>
      <c r="AD28" s="719">
        <f t="shared" si="19"/>
        <v>0.1</v>
      </c>
      <c r="AE28" s="719">
        <f t="shared" si="19"/>
        <v>0.31</v>
      </c>
      <c r="AF28" s="719">
        <f t="shared" si="19"/>
        <v>0.113</v>
      </c>
      <c r="AG28" s="719">
        <f t="shared" si="19"/>
        <v>0.26</v>
      </c>
      <c r="AH28" s="719">
        <f t="shared" si="19"/>
        <v>0.22</v>
      </c>
      <c r="AI28" s="719">
        <f t="shared" si="19"/>
        <v>0.32</v>
      </c>
      <c r="AJ28" s="719">
        <f t="shared" si="19"/>
        <v>0.22500000000000001</v>
      </c>
      <c r="AK28" s="719">
        <f t="shared" si="19"/>
        <v>0.04</v>
      </c>
      <c r="AL28" s="719">
        <f t="shared" si="19"/>
        <v>5.0000000000000001E-3</v>
      </c>
      <c r="AM28" s="719">
        <f t="shared" si="19"/>
        <v>0</v>
      </c>
      <c r="AN28" s="711">
        <f t="shared" si="13"/>
        <v>1.6400000000000001</v>
      </c>
      <c r="AO28" s="714">
        <f t="shared" ref="AO28:AY28" si="20">AO16</f>
        <v>2.044</v>
      </c>
      <c r="AP28" s="714">
        <f t="shared" si="20"/>
        <v>1.0315000000000001</v>
      </c>
      <c r="AQ28" s="714">
        <f t="shared" si="20"/>
        <v>1.0624450000000001</v>
      </c>
      <c r="AR28" s="714">
        <f t="shared" si="20"/>
        <v>1.0943183500000002</v>
      </c>
      <c r="AS28" s="714">
        <f t="shared" si="20"/>
        <v>1.1271479005000002</v>
      </c>
      <c r="AT28" s="714">
        <f t="shared" si="20"/>
        <v>1.1609623375150002</v>
      </c>
      <c r="AU28" s="714">
        <f t="shared" si="20"/>
        <v>1.1957912076404502</v>
      </c>
      <c r="AV28" s="714">
        <f t="shared" si="20"/>
        <v>1.2316649438696639</v>
      </c>
      <c r="AW28" s="714">
        <f t="shared" si="20"/>
        <v>1.2686148921857539</v>
      </c>
      <c r="AX28" s="714">
        <f t="shared" si="20"/>
        <v>1.3066733389513265</v>
      </c>
      <c r="AY28" s="714">
        <f t="shared" si="20"/>
        <v>1.3458735391198664</v>
      </c>
      <c r="AZ28" s="766"/>
      <c r="BA28" s="766"/>
    </row>
    <row r="29" spans="1:54">
      <c r="A29" s="79"/>
      <c r="D29" s="4"/>
      <c r="E29" s="191"/>
      <c r="F29" s="23"/>
      <c r="G29" s="14"/>
      <c r="H29" s="14"/>
      <c r="I29" s="14"/>
      <c r="J29" s="14"/>
      <c r="K29" s="14"/>
      <c r="L29" s="14"/>
      <c r="M29" s="14"/>
      <c r="N29" s="171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9"/>
      <c r="AA29" s="711"/>
      <c r="AB29" s="719"/>
      <c r="AC29" s="719"/>
      <c r="AD29" s="719"/>
      <c r="AE29" s="719"/>
      <c r="AF29" s="719"/>
      <c r="AG29" s="719"/>
      <c r="AH29" s="719"/>
      <c r="AI29" s="719"/>
      <c r="AJ29" s="719"/>
      <c r="AK29" s="719"/>
      <c r="AL29" s="719"/>
      <c r="AM29" s="719"/>
      <c r="AN29" s="711"/>
      <c r="AO29" s="714"/>
      <c r="AP29" s="714"/>
      <c r="AQ29" s="714"/>
      <c r="AR29" s="714"/>
      <c r="AS29" s="714"/>
      <c r="AT29" s="714"/>
      <c r="AU29" s="714"/>
      <c r="AV29" s="714"/>
      <c r="AW29" s="714"/>
      <c r="AX29" s="714"/>
      <c r="AY29" s="714"/>
      <c r="AZ29" s="766"/>
      <c r="BA29" s="766"/>
    </row>
    <row r="30" spans="1:54">
      <c r="A30" s="79"/>
      <c r="D30" s="4"/>
      <c r="E30" s="191"/>
      <c r="F30" s="23"/>
      <c r="G30" s="14"/>
      <c r="H30" s="14"/>
      <c r="I30" s="14"/>
      <c r="J30" s="14"/>
      <c r="K30" s="14"/>
      <c r="L30" s="14"/>
      <c r="M30" s="14"/>
      <c r="N30" s="171"/>
      <c r="O30" s="719"/>
      <c r="P30" s="719"/>
      <c r="Q30" s="719"/>
      <c r="R30" s="719"/>
      <c r="S30" s="719"/>
      <c r="T30" s="719"/>
      <c r="U30" s="719"/>
      <c r="V30" s="719"/>
      <c r="W30" s="719"/>
      <c r="X30" s="719"/>
      <c r="Y30" s="719"/>
      <c r="Z30" s="719"/>
      <c r="AA30" s="711"/>
      <c r="AB30" s="719"/>
      <c r="AC30" s="719"/>
      <c r="AD30" s="719"/>
      <c r="AE30" s="719"/>
      <c r="AF30" s="719"/>
      <c r="AG30" s="719"/>
      <c r="AH30" s="719"/>
      <c r="AI30" s="719"/>
      <c r="AJ30" s="719"/>
      <c r="AK30" s="719"/>
      <c r="AL30" s="719"/>
      <c r="AM30" s="719"/>
      <c r="AN30" s="711"/>
      <c r="AO30" s="714"/>
      <c r="AP30" s="714"/>
      <c r="AQ30" s="714"/>
      <c r="AR30" s="714"/>
      <c r="AS30" s="714"/>
      <c r="AT30" s="714"/>
      <c r="AU30" s="714"/>
      <c r="AV30" s="714"/>
      <c r="AW30" s="714"/>
      <c r="AX30" s="714"/>
      <c r="AY30" s="714"/>
      <c r="AZ30" s="766"/>
      <c r="BA30" s="766"/>
    </row>
    <row r="31" spans="1:54" ht="13.5" thickBot="1">
      <c r="A31" s="79"/>
      <c r="B31" t="s">
        <v>131</v>
      </c>
      <c r="D31" s="52"/>
      <c r="E31" s="209"/>
      <c r="F31" s="77"/>
      <c r="G31" s="389"/>
      <c r="H31" s="389"/>
      <c r="I31" s="389"/>
      <c r="J31" s="389"/>
      <c r="K31" s="389"/>
      <c r="L31" s="389"/>
      <c r="M31" s="389"/>
      <c r="N31" s="306"/>
      <c r="O31" s="704">
        <f t="shared" ref="O31:Z31" si="21">SUM(O24:O30)</f>
        <v>1.2200070000000001</v>
      </c>
      <c r="P31" s="704">
        <f t="shared" si="21"/>
        <v>1.7038309999999999</v>
      </c>
      <c r="Q31" s="704">
        <f t="shared" si="21"/>
        <v>5.7467380000000006</v>
      </c>
      <c r="R31" s="704">
        <f t="shared" si="21"/>
        <v>8.2680389999999999</v>
      </c>
      <c r="S31" s="704">
        <f t="shared" si="21"/>
        <v>8.6923960000000005</v>
      </c>
      <c r="T31" s="704">
        <f t="shared" si="21"/>
        <v>4.8571659999999994</v>
      </c>
      <c r="U31" s="704">
        <f t="shared" si="21"/>
        <v>5.6476309999999987</v>
      </c>
      <c r="V31" s="704">
        <f t="shared" si="21"/>
        <v>4.2898139999999998</v>
      </c>
      <c r="W31" s="704">
        <f t="shared" si="21"/>
        <v>6.4700030000000002</v>
      </c>
      <c r="X31" s="704">
        <f t="shared" si="21"/>
        <v>14.550303999999999</v>
      </c>
      <c r="Y31" s="704">
        <f t="shared" si="21"/>
        <v>9.9612429999999996</v>
      </c>
      <c r="Z31" s="704">
        <f t="shared" si="21"/>
        <v>7.7326379999999997</v>
      </c>
      <c r="AA31" s="705">
        <f t="shared" si="11"/>
        <v>79.139809999999983</v>
      </c>
      <c r="AB31" s="704">
        <f t="shared" ref="AB31:AM31" si="22">SUM(AB24:AB30)</f>
        <v>6.635078</v>
      </c>
      <c r="AC31" s="704">
        <f t="shared" si="22"/>
        <v>5.8961049999999995</v>
      </c>
      <c r="AD31" s="704">
        <f t="shared" si="22"/>
        <v>9.2491280000000007</v>
      </c>
      <c r="AE31" s="704">
        <f t="shared" si="22"/>
        <v>19.952528999999998</v>
      </c>
      <c r="AF31" s="704">
        <f t="shared" si="22"/>
        <v>14.906747000000001</v>
      </c>
      <c r="AG31" s="704">
        <f t="shared" si="22"/>
        <v>4.2025810000000003</v>
      </c>
      <c r="AH31" s="704">
        <f t="shared" si="22"/>
        <v>1.6046609999999999</v>
      </c>
      <c r="AI31" s="704">
        <f t="shared" si="22"/>
        <v>3.61904</v>
      </c>
      <c r="AJ31" s="704">
        <f t="shared" si="22"/>
        <v>3.7748440000000003</v>
      </c>
      <c r="AK31" s="704">
        <f t="shared" si="22"/>
        <v>4.32395</v>
      </c>
      <c r="AL31" s="704">
        <f t="shared" si="22"/>
        <v>0.20910099999999998</v>
      </c>
      <c r="AM31" s="704">
        <f t="shared" si="22"/>
        <v>0.129112</v>
      </c>
      <c r="AN31" s="705">
        <f t="shared" si="13"/>
        <v>74.502876000000015</v>
      </c>
      <c r="AO31" s="489">
        <f t="shared" ref="AO31:AY31" si="23">SUM(AO24:AO30)</f>
        <v>47.614514999999997</v>
      </c>
      <c r="AP31" s="489">
        <f t="shared" si="23"/>
        <v>38.002017000000002</v>
      </c>
      <c r="AQ31" s="489">
        <f t="shared" si="23"/>
        <v>39.142077509999993</v>
      </c>
      <c r="AR31" s="489">
        <f t="shared" si="23"/>
        <v>40.316339835300006</v>
      </c>
      <c r="AS31" s="489">
        <f t="shared" si="23"/>
        <v>52.58320374940233</v>
      </c>
      <c r="AT31" s="489">
        <f t="shared" si="23"/>
        <v>54.16069986188441</v>
      </c>
      <c r="AU31" s="489">
        <f t="shared" si="23"/>
        <v>55.785520857740934</v>
      </c>
      <c r="AV31" s="489">
        <f t="shared" si="23"/>
        <v>57.459086483473172</v>
      </c>
      <c r="AW31" s="489">
        <f t="shared" si="23"/>
        <v>59.182859077977355</v>
      </c>
      <c r="AX31" s="489">
        <f t="shared" si="23"/>
        <v>60.958344850316685</v>
      </c>
      <c r="AY31" s="489">
        <f t="shared" si="23"/>
        <v>62.78709519582619</v>
      </c>
      <c r="AZ31" s="766"/>
      <c r="BA31" s="766"/>
    </row>
    <row r="32" spans="1:54" ht="13.5" thickTop="1">
      <c r="A32" s="87"/>
      <c r="B32" s="91" t="s">
        <v>366</v>
      </c>
      <c r="C32" s="88"/>
      <c r="D32" s="89"/>
      <c r="E32" s="191"/>
      <c r="F32" s="89"/>
      <c r="G32" s="171"/>
      <c r="H32" s="171"/>
      <c r="I32" s="171"/>
      <c r="J32" s="171"/>
      <c r="K32" s="171"/>
      <c r="L32" s="171"/>
      <c r="M32" s="171"/>
      <c r="N32" s="171"/>
      <c r="O32" s="679">
        <f>-Debt!P107</f>
        <v>2.2880000000000001E-3</v>
      </c>
      <c r="P32" s="679">
        <f>-Debt!Q107</f>
        <v>6.149E-3</v>
      </c>
      <c r="Q32" s="679">
        <f>-Debt!R107</f>
        <v>2.2452E-2</v>
      </c>
      <c r="R32" s="679">
        <f>-Debt!S107</f>
        <v>4.6127000000000001E-2</v>
      </c>
      <c r="S32" s="679">
        <f>-Debt!T107</f>
        <v>3.9792000000000001E-2</v>
      </c>
      <c r="T32" s="679">
        <f>-Debt!U107</f>
        <v>6.0372000000000002E-2</v>
      </c>
      <c r="U32" s="679">
        <f>-Debt!V107</f>
        <v>7.9520999999999994E-2</v>
      </c>
      <c r="V32" s="679">
        <f>-Debt!W107</f>
        <v>4.0534000000000001E-2</v>
      </c>
      <c r="W32" s="679">
        <f>-Debt!X107</f>
        <v>6.0048999999999998E-2</v>
      </c>
      <c r="X32" s="679">
        <f>-Debt!Y107</f>
        <v>0.103341</v>
      </c>
      <c r="Y32" s="679">
        <f>-Debt!Z107</f>
        <v>0.135347</v>
      </c>
      <c r="Z32" s="679">
        <f>-Debt!AA107</f>
        <v>0.17677200000000001</v>
      </c>
      <c r="AA32" s="711">
        <f>SUM(O32:Z32)</f>
        <v>0.7727440000000001</v>
      </c>
      <c r="AB32" s="711">
        <f>-Debt!AC107</f>
        <v>0.167106</v>
      </c>
      <c r="AC32" s="711">
        <f>-Debt!AD107</f>
        <v>0.19242100000000001</v>
      </c>
      <c r="AD32" s="711">
        <f>-Debt!AE107</f>
        <v>0.22428799999999999</v>
      </c>
      <c r="AE32" s="711">
        <f>-Debt!AF107</f>
        <v>0.28519099999999997</v>
      </c>
      <c r="AF32" s="711">
        <f>-Debt!AG107</f>
        <v>0.34490500000000002</v>
      </c>
      <c r="AG32" s="711">
        <f>-Debt!AH107</f>
        <v>0.38440999999999997</v>
      </c>
      <c r="AH32" s="711">
        <f>-Debt!AI107</f>
        <v>0.39462599999999998</v>
      </c>
      <c r="AI32" s="711">
        <f>-Debt!AJ107</f>
        <v>1.1945000000000001E-2</v>
      </c>
      <c r="AJ32" s="711">
        <f>-Debt!AK107</f>
        <v>2.4031E-2</v>
      </c>
      <c r="AK32" s="711">
        <f>-Debt!AL107</f>
        <v>3.7665999999999998E-2</v>
      </c>
      <c r="AL32" s="711">
        <f>-Debt!AM107</f>
        <v>1.8280000000000001E-2</v>
      </c>
      <c r="AM32" s="711">
        <f>-Debt!AN107</f>
        <v>1.8363999999999998E-2</v>
      </c>
      <c r="AN32" s="711">
        <f>SUM(AB32:AM32)</f>
        <v>2.1032329999999999</v>
      </c>
      <c r="AO32" s="711">
        <f>-Debt!AP107</f>
        <v>0.49871399999999999</v>
      </c>
      <c r="AP32" s="711">
        <f>-Debt!AQ107</f>
        <v>0.36825999999999998</v>
      </c>
      <c r="AQ32" s="711">
        <f>-Debt!AR107</f>
        <v>0.37511157613749996</v>
      </c>
      <c r="AR32" s="711">
        <f>-Debt!AS107</f>
        <v>0.38636492342162509</v>
      </c>
      <c r="AS32" s="711">
        <f>-Debt!AT107</f>
        <v>0.5039223692651057</v>
      </c>
      <c r="AT32" s="711">
        <f>-Debt!AU107</f>
        <v>0.51904004034305895</v>
      </c>
      <c r="AU32" s="711">
        <f>-Debt!AV107</f>
        <v>0.5346112415533506</v>
      </c>
      <c r="AV32" s="711">
        <f>-Debt!AW107</f>
        <v>0.55064957879995124</v>
      </c>
      <c r="AW32" s="711">
        <f>-Debt!AX107</f>
        <v>0.56716906616394969</v>
      </c>
      <c r="AX32" s="711">
        <f>-Debt!AY107</f>
        <v>0.58418413814886827</v>
      </c>
      <c r="AY32" s="711">
        <f>-Debt!AZ107</f>
        <v>0.60170966229333434</v>
      </c>
      <c r="AZ32" s="766"/>
      <c r="BA32" s="766"/>
    </row>
    <row r="33" spans="1:53">
      <c r="A33" s="87"/>
      <c r="B33" s="91" t="s">
        <v>365</v>
      </c>
      <c r="C33" s="88"/>
      <c r="D33" s="103"/>
      <c r="E33" s="204"/>
      <c r="F33" s="104"/>
      <c r="G33" s="310"/>
      <c r="H33" s="310"/>
      <c r="I33" s="310"/>
      <c r="J33" s="310"/>
      <c r="K33" s="310"/>
      <c r="L33" s="310"/>
      <c r="M33" s="310"/>
      <c r="N33" s="310"/>
      <c r="O33" s="688">
        <f>ECP!G45+40</f>
        <v>40</v>
      </c>
      <c r="P33" s="688">
        <f>ECP!H45+40</f>
        <v>40</v>
      </c>
      <c r="Q33" s="688">
        <f>ECP!I45+40</f>
        <v>40</v>
      </c>
      <c r="R33" s="688">
        <f>ECP!J45+40</f>
        <v>40</v>
      </c>
      <c r="S33" s="688">
        <f>ECP!K45+40</f>
        <v>40.902183000000001</v>
      </c>
      <c r="T33" s="688">
        <f>ECP!L45+40</f>
        <v>42.109458000000004</v>
      </c>
      <c r="U33" s="688">
        <f>ECP!M45+40</f>
        <v>44.425221000000001</v>
      </c>
      <c r="V33" s="688">
        <f>ECP!N45+40</f>
        <v>46.752139</v>
      </c>
      <c r="W33" s="688">
        <f>ECP!O45+40</f>
        <v>50.293121999999997</v>
      </c>
      <c r="X33" s="688">
        <f>ECP!P45+40</f>
        <v>57.509931000000002</v>
      </c>
      <c r="Y33" s="688">
        <f>ECP!Q45+40</f>
        <v>64.761416999999994</v>
      </c>
      <c r="Z33" s="688">
        <f>ECP!R45+40</f>
        <v>72.197945000000004</v>
      </c>
      <c r="AA33" s="688"/>
      <c r="AB33" s="688">
        <f>ECP!T45+40</f>
        <v>77.3643</v>
      </c>
      <c r="AC33" s="688">
        <f>ECP!U45+40</f>
        <v>82.554904999999991</v>
      </c>
      <c r="AD33" s="688">
        <f>ECP!V45+40</f>
        <v>87.831540999999987</v>
      </c>
      <c r="AE33" s="688">
        <f>ECP!W45+40</f>
        <v>93.132912000000005</v>
      </c>
      <c r="AF33" s="688">
        <f>ECP!X45+40</f>
        <v>98.459017999999986</v>
      </c>
      <c r="AG33" s="688">
        <f>ECP!Y45+40</f>
        <v>101.209998</v>
      </c>
      <c r="AH33" s="688">
        <f>ECP!Z45+40</f>
        <v>101.499252</v>
      </c>
      <c r="AI33" s="688">
        <f>ECP!AA45+40</f>
        <v>40.000000000000007</v>
      </c>
      <c r="AJ33" s="688">
        <f>ECP!AB45+40</f>
        <v>40.000000000000007</v>
      </c>
      <c r="AK33" s="688">
        <f>ECP!AC45+40</f>
        <v>40.000000000000007</v>
      </c>
      <c r="AL33" s="688">
        <f>ECP!AD45+40</f>
        <v>40.000000000000007</v>
      </c>
      <c r="AM33" s="688">
        <f>ECP!AE45+40</f>
        <v>40.000000000000007</v>
      </c>
      <c r="AN33" s="688"/>
      <c r="AO33" s="688">
        <f>ECP!AG45+40</f>
        <v>40.000000000000007</v>
      </c>
      <c r="AP33" s="688">
        <f>ECP!AH45+40</f>
        <v>40.000000000000007</v>
      </c>
      <c r="AQ33" s="688">
        <f>ECP!AI45+40</f>
        <v>40.000000000000007</v>
      </c>
      <c r="AR33" s="688">
        <f>ECP!AJ45+40</f>
        <v>40.000000000000007</v>
      </c>
      <c r="AS33" s="688">
        <f>ECP!AK45+40</f>
        <v>40.000000000000007</v>
      </c>
      <c r="AT33" s="688">
        <f>ECP!AL45+40</f>
        <v>40.000000000000007</v>
      </c>
      <c r="AU33" s="688">
        <f>ECP!AM45+40</f>
        <v>40.000000000000007</v>
      </c>
      <c r="AV33" s="688">
        <f>ECP!AN45+40</f>
        <v>40.000000000000007</v>
      </c>
      <c r="AW33" s="688">
        <f>ECP!AO45+40</f>
        <v>40.000000000000007</v>
      </c>
      <c r="AX33" s="688">
        <f>ECP!AP45+40</f>
        <v>40.000000000000007</v>
      </c>
      <c r="AY33" s="688">
        <f>ECP!AQ45+40</f>
        <v>40.000000000000007</v>
      </c>
      <c r="AZ33" s="907"/>
      <c r="BA33" s="907"/>
    </row>
    <row r="34" spans="1:53" s="13" customFormat="1">
      <c r="D34" s="23"/>
      <c r="E34" s="165"/>
      <c r="N34" s="88"/>
      <c r="O34" s="719"/>
      <c r="P34" s="719"/>
      <c r="Q34" s="719"/>
      <c r="R34" s="719"/>
      <c r="S34" s="719"/>
      <c r="T34" s="719"/>
      <c r="U34" s="719"/>
      <c r="V34" s="719"/>
      <c r="W34" s="719"/>
      <c r="X34" s="719"/>
      <c r="Y34" s="719"/>
      <c r="Z34" s="719"/>
      <c r="AA34" s="679">
        <f>AA31+AA32</f>
        <v>79.912553999999986</v>
      </c>
      <c r="AB34" s="719"/>
      <c r="AC34" s="719"/>
      <c r="AD34" s="719"/>
      <c r="AE34" s="719"/>
      <c r="AF34" s="719"/>
      <c r="AG34" s="719"/>
      <c r="AH34" s="719"/>
      <c r="AI34" s="719"/>
      <c r="AJ34" s="719"/>
      <c r="AK34" s="719"/>
      <c r="AL34" s="719"/>
      <c r="AM34" s="719"/>
      <c r="AN34" s="679">
        <f>AN31+AN32</f>
        <v>76.606109000000018</v>
      </c>
      <c r="AO34" s="696">
        <f>AO31+AO32</f>
        <v>48.113228999999997</v>
      </c>
      <c r="AP34" s="696">
        <f>AP31+AP32</f>
        <v>38.370277000000002</v>
      </c>
      <c r="AQ34" s="696"/>
      <c r="AR34" s="696"/>
      <c r="AS34" s="696"/>
      <c r="AT34" s="696"/>
      <c r="AU34" s="719"/>
      <c r="AV34" s="719"/>
      <c r="AW34" s="719"/>
      <c r="AX34" s="719"/>
      <c r="AY34" s="719"/>
      <c r="AZ34" s="766"/>
      <c r="BA34" s="766"/>
    </row>
    <row r="35" spans="1:53">
      <c r="B35" s="33" t="s">
        <v>585</v>
      </c>
      <c r="D35" s="4"/>
      <c r="O35" s="714"/>
      <c r="P35" s="714"/>
      <c r="Q35" s="714"/>
      <c r="R35" s="714"/>
      <c r="S35" s="714"/>
      <c r="T35" s="714"/>
      <c r="U35" s="714"/>
      <c r="V35" s="714"/>
      <c r="W35" s="714"/>
      <c r="X35" s="714"/>
      <c r="Y35" s="714"/>
      <c r="Z35" s="714"/>
      <c r="AA35" s="711"/>
      <c r="AB35" s="714"/>
      <c r="AC35" s="714"/>
      <c r="AD35" s="714"/>
      <c r="AE35" s="714"/>
      <c r="AF35" s="714"/>
      <c r="AG35" s="714"/>
      <c r="AH35" s="714"/>
      <c r="AI35" s="714"/>
      <c r="AJ35" s="714"/>
      <c r="AK35" s="714"/>
      <c r="AL35" s="714"/>
      <c r="AM35" s="714"/>
      <c r="AN35" s="711"/>
      <c r="AO35" s="714"/>
      <c r="AP35" s="714"/>
      <c r="AQ35" s="714"/>
      <c r="AR35" s="714"/>
      <c r="AS35" s="714"/>
      <c r="AT35" s="714"/>
      <c r="AU35" s="714"/>
      <c r="AV35" s="714"/>
      <c r="AW35" s="714"/>
      <c r="AX35" s="714"/>
      <c r="AY35" s="714"/>
      <c r="AZ35" s="766"/>
      <c r="BA35" s="766"/>
    </row>
    <row r="36" spans="1:53">
      <c r="A36" s="281"/>
      <c r="B36" s="237"/>
      <c r="F36" s="253"/>
      <c r="G36" s="253"/>
      <c r="H36" s="343"/>
      <c r="I36" s="343"/>
      <c r="J36" s="343"/>
      <c r="K36" s="343"/>
      <c r="L36" s="343"/>
      <c r="M36" s="343"/>
      <c r="N36" s="205"/>
      <c r="O36" s="767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11"/>
      <c r="AB36" s="768"/>
      <c r="AC36" s="768"/>
      <c r="AD36" s="768"/>
      <c r="AE36" s="768"/>
      <c r="AF36" s="768"/>
      <c r="AG36" s="768"/>
      <c r="AH36" s="768"/>
      <c r="AI36" s="768"/>
      <c r="AJ36" s="768"/>
      <c r="AK36" s="768"/>
      <c r="AL36" s="768"/>
      <c r="AM36" s="768"/>
      <c r="AN36" s="711"/>
      <c r="AO36" s="768"/>
      <c r="AP36" s="768"/>
      <c r="AQ36" s="714"/>
      <c r="AR36" s="714"/>
      <c r="AS36" s="714"/>
      <c r="AT36" s="714"/>
      <c r="AU36" s="714"/>
      <c r="AV36" s="714"/>
      <c r="AW36" s="714"/>
      <c r="AX36" s="714"/>
      <c r="AY36" s="714"/>
      <c r="AZ36" s="766"/>
      <c r="BA36" s="766"/>
    </row>
    <row r="37" spans="1:53">
      <c r="A37" s="542" t="s">
        <v>607</v>
      </c>
      <c r="B37" s="237" t="s">
        <v>355</v>
      </c>
      <c r="D37" s="4"/>
      <c r="F37" s="253"/>
      <c r="G37" s="253"/>
      <c r="H37" s="343"/>
      <c r="I37" s="343"/>
      <c r="J37" s="343"/>
      <c r="K37" s="343"/>
      <c r="L37" s="343"/>
      <c r="M37" s="343"/>
      <c r="N37" s="205"/>
      <c r="O37" s="768">
        <v>2.6912999999999999E-2</v>
      </c>
      <c r="P37" s="768">
        <v>2.6912999999999999E-2</v>
      </c>
      <c r="Q37" s="768">
        <v>2.6912999999999999E-2</v>
      </c>
      <c r="R37" s="768">
        <v>2.6912999999999999E-2</v>
      </c>
      <c r="S37" s="768">
        <v>2.6962E-2</v>
      </c>
      <c r="T37" s="768">
        <v>2.6962E-2</v>
      </c>
      <c r="U37" s="768">
        <v>2.7507E-2</v>
      </c>
      <c r="V37" s="768">
        <v>2.7628E-2</v>
      </c>
      <c r="W37" s="768">
        <v>2.9080000000000002E-2</v>
      </c>
      <c r="X37" s="768">
        <v>2.9113E-2</v>
      </c>
      <c r="Y37" s="768">
        <v>2.9113E-2</v>
      </c>
      <c r="Z37" s="768">
        <v>2.9149000000000001E-2</v>
      </c>
      <c r="AA37" s="711">
        <f t="shared" ref="AA37:AA51" si="24">SUM(O37:Z37)</f>
        <v>0.33316599999999996</v>
      </c>
      <c r="AB37" s="768">
        <v>2.9149000000000001E-2</v>
      </c>
      <c r="AC37" s="768">
        <v>3.1254999999999998E-2</v>
      </c>
      <c r="AD37" s="768">
        <v>3.1254999999999998E-2</v>
      </c>
      <c r="AE37" s="768">
        <v>3.1281999999999997E-2</v>
      </c>
      <c r="AF37" s="768">
        <v>3.1287000000000002E-2</v>
      </c>
      <c r="AG37" s="768">
        <v>3.1307000000000001E-2</v>
      </c>
      <c r="AH37" s="768">
        <v>3.1550000000000002E-2</v>
      </c>
      <c r="AI37" s="768">
        <v>3.1593000000000003E-2</v>
      </c>
      <c r="AJ37" s="768">
        <v>3.1601999999999998E-2</v>
      </c>
      <c r="AK37" s="768">
        <v>3.1614000000000003E-2</v>
      </c>
      <c r="AL37" s="768">
        <v>3.1623999999999999E-2</v>
      </c>
      <c r="AM37" s="768">
        <v>3.1623999999999999E-2</v>
      </c>
      <c r="AN37" s="711">
        <f t="shared" ref="AN37:AN51" si="25">SUM(AB37:AM37)</f>
        <v>0.37514199999999998</v>
      </c>
      <c r="AO37" s="768">
        <v>0.38033799999999995</v>
      </c>
      <c r="AP37" s="768">
        <v>0.38602200000000003</v>
      </c>
      <c r="AQ37" s="714">
        <f>AP37/AP$53*AQ$53</f>
        <v>0.39290429519486786</v>
      </c>
      <c r="AR37" s="714">
        <f t="shared" ref="AQ37:AY51" si="26">AQ37/AQ$53*AR$53</f>
        <v>0.40002318275160209</v>
      </c>
      <c r="AS37" s="714">
        <f t="shared" si="26"/>
        <v>0.40636248943486941</v>
      </c>
      <c r="AT37" s="714">
        <f t="shared" si="26"/>
        <v>0.41364651167491517</v>
      </c>
      <c r="AU37" s="714">
        <f t="shared" si="26"/>
        <v>0.42114905458216223</v>
      </c>
      <c r="AV37" s="714">
        <f t="shared" si="26"/>
        <v>0.42887667377662675</v>
      </c>
      <c r="AW37" s="714">
        <f t="shared" si="26"/>
        <v>0.43683612154692525</v>
      </c>
      <c r="AX37" s="714">
        <f t="shared" si="26"/>
        <v>0.44503435275033265</v>
      </c>
      <c r="AY37" s="714">
        <f t="shared" si="26"/>
        <v>0.45347853088984236</v>
      </c>
      <c r="AZ37" s="766"/>
      <c r="BA37" s="766"/>
    </row>
    <row r="38" spans="1:53">
      <c r="A38" s="542" t="s">
        <v>818</v>
      </c>
      <c r="B38" s="237" t="s">
        <v>608</v>
      </c>
      <c r="D38" s="4"/>
      <c r="F38" s="253"/>
      <c r="G38" s="253"/>
      <c r="H38" s="343"/>
      <c r="I38" s="343"/>
      <c r="J38" s="343"/>
      <c r="K38" s="343"/>
      <c r="L38" s="343"/>
      <c r="M38" s="343"/>
      <c r="N38" s="205"/>
      <c r="O38" s="768">
        <v>1.06E-2</v>
      </c>
      <c r="P38" s="768">
        <v>1.06E-2</v>
      </c>
      <c r="Q38" s="768">
        <v>1.06E-2</v>
      </c>
      <c r="R38" s="768">
        <v>1.0606000000000001E-2</v>
      </c>
      <c r="S38" s="768">
        <v>1.0614E-2</v>
      </c>
      <c r="T38" s="768">
        <v>1.0614E-2</v>
      </c>
      <c r="U38" s="768">
        <v>1.0614E-2</v>
      </c>
      <c r="V38" s="768">
        <v>1.0614E-2</v>
      </c>
      <c r="W38" s="768">
        <v>1.1339999999999999E-2</v>
      </c>
      <c r="X38" s="768">
        <v>1.1339999999999999E-2</v>
      </c>
      <c r="Y38" s="768">
        <v>1.1339999999999999E-2</v>
      </c>
      <c r="Z38" s="768">
        <v>1.1384999999999999E-2</v>
      </c>
      <c r="AA38" s="711">
        <f t="shared" si="24"/>
        <v>0.13026699999999999</v>
      </c>
      <c r="AB38" s="768">
        <v>1.1384999999999999E-2</v>
      </c>
      <c r="AC38" s="768">
        <v>1.1384999999999999E-2</v>
      </c>
      <c r="AD38" s="768">
        <v>1.1384999999999999E-2</v>
      </c>
      <c r="AE38" s="768">
        <v>1.1391E-2</v>
      </c>
      <c r="AF38" s="768">
        <v>1.1405E-2</v>
      </c>
      <c r="AG38" s="768">
        <v>1.1435000000000001E-2</v>
      </c>
      <c r="AH38" s="768">
        <v>1.1435000000000001E-2</v>
      </c>
      <c r="AI38" s="768">
        <v>1.1435000000000001E-2</v>
      </c>
      <c r="AJ38" s="768">
        <v>1.1435000000000001E-2</v>
      </c>
      <c r="AK38" s="768">
        <v>1.1435000000000001E-2</v>
      </c>
      <c r="AL38" s="768">
        <v>1.1435000000000001E-2</v>
      </c>
      <c r="AM38" s="768">
        <v>1.1435000000000001E-2</v>
      </c>
      <c r="AN38" s="711">
        <f t="shared" si="25"/>
        <v>0.13699600000000001</v>
      </c>
      <c r="AO38" s="768">
        <v>0.13791699999999996</v>
      </c>
      <c r="AP38" s="768">
        <v>0.13814699999999999</v>
      </c>
      <c r="AQ38" s="714">
        <f t="shared" si="26"/>
        <v>0.14060999028108606</v>
      </c>
      <c r="AR38" s="714">
        <f t="shared" si="26"/>
        <v>0.14315765067168598</v>
      </c>
      <c r="AS38" s="714">
        <f t="shared" si="26"/>
        <v>0.14542631981586257</v>
      </c>
      <c r="AT38" s="714">
        <f t="shared" si="26"/>
        <v>0.14803307751463518</v>
      </c>
      <c r="AU38" s="714">
        <f t="shared" si="26"/>
        <v>0.15071803794437094</v>
      </c>
      <c r="AV38" s="714">
        <f t="shared" si="26"/>
        <v>0.1534835471869988</v>
      </c>
      <c r="AW38" s="714">
        <f t="shared" si="26"/>
        <v>0.15633202170690552</v>
      </c>
      <c r="AX38" s="714">
        <f t="shared" si="26"/>
        <v>0.15926595046240941</v>
      </c>
      <c r="AY38" s="714">
        <f t="shared" si="26"/>
        <v>0.16228789708057845</v>
      </c>
      <c r="AZ38" s="766"/>
      <c r="BA38" s="766"/>
    </row>
    <row r="39" spans="1:53">
      <c r="A39" s="542" t="s">
        <v>607</v>
      </c>
      <c r="B39" s="237" t="s">
        <v>352</v>
      </c>
      <c r="D39" s="4"/>
      <c r="F39" s="253"/>
      <c r="G39" s="253"/>
      <c r="H39" s="343"/>
      <c r="I39" s="343"/>
      <c r="J39" s="343"/>
      <c r="K39" s="343"/>
      <c r="L39" s="343"/>
      <c r="M39" s="343"/>
      <c r="N39" s="205"/>
      <c r="O39" s="768">
        <v>0.22923099999999999</v>
      </c>
      <c r="P39" s="768">
        <v>0.229243</v>
      </c>
      <c r="Q39" s="768">
        <v>0.229294</v>
      </c>
      <c r="R39" s="768">
        <v>0.22933400000000001</v>
      </c>
      <c r="S39" s="768">
        <v>0.234149</v>
      </c>
      <c r="T39" s="768">
        <v>0.24001500000000001</v>
      </c>
      <c r="U39" s="768">
        <v>0.24004300000000001</v>
      </c>
      <c r="V39" s="768">
        <v>0.240172</v>
      </c>
      <c r="W39" s="768">
        <v>0.25711200000000001</v>
      </c>
      <c r="X39" s="768">
        <v>0.25883699999999998</v>
      </c>
      <c r="Y39" s="768">
        <v>0.25887300000000002</v>
      </c>
      <c r="Z39" s="768">
        <v>0.25892799999999999</v>
      </c>
      <c r="AA39" s="711">
        <f t="shared" si="24"/>
        <v>2.9052310000000001</v>
      </c>
      <c r="AB39" s="768">
        <v>0.25894</v>
      </c>
      <c r="AC39" s="768">
        <v>0.25896400000000003</v>
      </c>
      <c r="AD39" s="768">
        <v>0.25956299999999999</v>
      </c>
      <c r="AE39" s="768">
        <v>0.25977600000000001</v>
      </c>
      <c r="AF39" s="768">
        <v>0.27156599999999997</v>
      </c>
      <c r="AG39" s="768">
        <v>0.27362599999999998</v>
      </c>
      <c r="AH39" s="768">
        <v>0.27377600000000002</v>
      </c>
      <c r="AI39" s="768">
        <v>0.27573900000000001</v>
      </c>
      <c r="AJ39" s="768">
        <v>0.276424</v>
      </c>
      <c r="AK39" s="768">
        <v>0.276509</v>
      </c>
      <c r="AL39" s="768">
        <v>0.27671600000000002</v>
      </c>
      <c r="AM39" s="768">
        <v>0.27674100000000001</v>
      </c>
      <c r="AN39" s="711">
        <f t="shared" si="25"/>
        <v>3.23834</v>
      </c>
      <c r="AO39" s="768">
        <v>3.4791149999999997</v>
      </c>
      <c r="AP39" s="768">
        <v>3.7133859999999994</v>
      </c>
      <c r="AQ39" s="714">
        <f t="shared" si="26"/>
        <v>3.7795910831934174</v>
      </c>
      <c r="AR39" s="714">
        <f t="shared" si="26"/>
        <v>3.8480720956454304</v>
      </c>
      <c r="AS39" s="714">
        <f t="shared" si="26"/>
        <v>3.9090538342182355</v>
      </c>
      <c r="AT39" s="714">
        <f t="shared" si="26"/>
        <v>3.9791233800209995</v>
      </c>
      <c r="AU39" s="714">
        <f t="shared" si="26"/>
        <v>4.051295012197845</v>
      </c>
      <c r="AV39" s="714">
        <f t="shared" si="26"/>
        <v>4.1256317933399966</v>
      </c>
      <c r="AW39" s="714">
        <f t="shared" si="26"/>
        <v>4.2021986779164138</v>
      </c>
      <c r="AX39" s="714">
        <f t="shared" si="26"/>
        <v>4.2810625690301229</v>
      </c>
      <c r="AY39" s="714">
        <f t="shared" si="26"/>
        <v>4.3622923768772441</v>
      </c>
      <c r="AZ39" s="766"/>
      <c r="BA39" s="766"/>
    </row>
    <row r="40" spans="1:53">
      <c r="A40" s="542" t="s">
        <v>818</v>
      </c>
      <c r="B40" s="237" t="s">
        <v>609</v>
      </c>
      <c r="D40" s="81"/>
      <c r="F40" s="253"/>
      <c r="G40" s="253"/>
      <c r="H40" s="343"/>
      <c r="I40" s="343"/>
      <c r="J40" s="343"/>
      <c r="K40" s="343"/>
      <c r="L40" s="343"/>
      <c r="M40" s="343"/>
      <c r="N40" s="205"/>
      <c r="O40" s="768">
        <v>0.23419499999999999</v>
      </c>
      <c r="P40" s="768">
        <v>0.23419499999999999</v>
      </c>
      <c r="Q40" s="768">
        <v>0.23419499999999999</v>
      </c>
      <c r="R40" s="768">
        <v>0.234234</v>
      </c>
      <c r="S40" s="768">
        <v>0.23505000000000001</v>
      </c>
      <c r="T40" s="768">
        <v>0.236567</v>
      </c>
      <c r="U40" s="768">
        <v>0.236567</v>
      </c>
      <c r="V40" s="768">
        <v>0.236567</v>
      </c>
      <c r="W40" s="768">
        <v>0.25175599999999998</v>
      </c>
      <c r="X40" s="768">
        <v>0.25175599999999998</v>
      </c>
      <c r="Y40" s="768">
        <v>0.25175599999999998</v>
      </c>
      <c r="Z40" s="768">
        <v>0.25175599999999998</v>
      </c>
      <c r="AA40" s="711">
        <f t="shared" si="24"/>
        <v>2.8885939999999994</v>
      </c>
      <c r="AB40" s="768">
        <v>0.25175599999999998</v>
      </c>
      <c r="AC40" s="768">
        <v>0.25175599999999998</v>
      </c>
      <c r="AD40" s="768">
        <v>0.25175599999999998</v>
      </c>
      <c r="AE40" s="768">
        <v>0.25183499999999998</v>
      </c>
      <c r="AF40" s="768">
        <v>0.25273699999999999</v>
      </c>
      <c r="AG40" s="768">
        <v>0.25335299999999999</v>
      </c>
      <c r="AH40" s="768">
        <v>0.25335299999999999</v>
      </c>
      <c r="AI40" s="768">
        <v>0.25339</v>
      </c>
      <c r="AJ40" s="768">
        <v>0.31686900000000001</v>
      </c>
      <c r="AK40" s="768">
        <v>0.31907000000000002</v>
      </c>
      <c r="AL40" s="768">
        <v>0.32127</v>
      </c>
      <c r="AM40" s="768">
        <v>0.32127</v>
      </c>
      <c r="AN40" s="711">
        <f t="shared" si="25"/>
        <v>3.2984149999999999</v>
      </c>
      <c r="AO40" s="768">
        <v>3.8768970000000009</v>
      </c>
      <c r="AP40" s="768">
        <v>3.9240689999999989</v>
      </c>
      <c r="AQ40" s="714">
        <f t="shared" si="26"/>
        <v>3.9940303007109161</v>
      </c>
      <c r="AR40" s="714">
        <f t="shared" si="26"/>
        <v>4.0663966580062683</v>
      </c>
      <c r="AS40" s="714">
        <f t="shared" si="26"/>
        <v>4.1308382619493136</v>
      </c>
      <c r="AT40" s="714">
        <f t="shared" si="26"/>
        <v>4.2048832797655882</v>
      </c>
      <c r="AU40" s="714">
        <f t="shared" si="26"/>
        <v>4.2811496481163509</v>
      </c>
      <c r="AV40" s="714">
        <f t="shared" si="26"/>
        <v>4.3597040075176361</v>
      </c>
      <c r="AW40" s="714">
        <f t="shared" si="26"/>
        <v>4.4406149977009619</v>
      </c>
      <c r="AX40" s="714">
        <f t="shared" si="26"/>
        <v>4.5239533175897853</v>
      </c>
      <c r="AY40" s="714">
        <f t="shared" si="26"/>
        <v>4.6097917870752756</v>
      </c>
      <c r="AZ40" s="766"/>
      <c r="BA40" s="766"/>
    </row>
    <row r="41" spans="1:53">
      <c r="A41" s="542" t="s">
        <v>607</v>
      </c>
      <c r="B41" s="237" t="s">
        <v>353</v>
      </c>
      <c r="D41" s="4"/>
      <c r="F41" s="253"/>
      <c r="G41" s="253"/>
      <c r="H41" s="343"/>
      <c r="I41" s="343"/>
      <c r="J41" s="343"/>
      <c r="K41" s="343"/>
      <c r="L41" s="343"/>
      <c r="M41" s="343"/>
      <c r="N41" s="205"/>
      <c r="O41" s="768">
        <v>0.42905599999999999</v>
      </c>
      <c r="P41" s="768">
        <v>0.42944300000000002</v>
      </c>
      <c r="Q41" s="768">
        <v>0.42944300000000002</v>
      </c>
      <c r="R41" s="768">
        <v>0.43083900000000003</v>
      </c>
      <c r="S41" s="768">
        <v>0.43217299999999997</v>
      </c>
      <c r="T41" s="768">
        <v>0.43263099999999999</v>
      </c>
      <c r="U41" s="768">
        <v>0.43555100000000002</v>
      </c>
      <c r="V41" s="768">
        <v>0.43887799999999999</v>
      </c>
      <c r="W41" s="768">
        <v>0.46490599999999999</v>
      </c>
      <c r="X41" s="768">
        <v>0.466138</v>
      </c>
      <c r="Y41" s="768">
        <v>0.46651300000000001</v>
      </c>
      <c r="Z41" s="768">
        <v>0.46651300000000001</v>
      </c>
      <c r="AA41" s="711">
        <f t="shared" si="24"/>
        <v>5.3220840000000003</v>
      </c>
      <c r="AB41" s="768">
        <v>0.46651300000000001</v>
      </c>
      <c r="AC41" s="768">
        <v>0.46762599999999999</v>
      </c>
      <c r="AD41" s="768">
        <v>0.46762599999999999</v>
      </c>
      <c r="AE41" s="768">
        <v>0.46985300000000002</v>
      </c>
      <c r="AF41" s="768">
        <v>0.47047499999999998</v>
      </c>
      <c r="AG41" s="768">
        <v>0.47663100000000003</v>
      </c>
      <c r="AH41" s="768">
        <v>0.47847499999999998</v>
      </c>
      <c r="AI41" s="768">
        <v>0.47887800000000003</v>
      </c>
      <c r="AJ41" s="768">
        <v>0.47919800000000001</v>
      </c>
      <c r="AK41" s="768">
        <v>0.47953699999999999</v>
      </c>
      <c r="AL41" s="768">
        <v>0.47953699999999999</v>
      </c>
      <c r="AM41" s="768">
        <v>0.47953699999999999</v>
      </c>
      <c r="AN41" s="711">
        <f t="shared" si="25"/>
        <v>5.6938859999999991</v>
      </c>
      <c r="AO41" s="768">
        <v>5.9164810000000001</v>
      </c>
      <c r="AP41" s="768">
        <v>6.1800649999999999</v>
      </c>
      <c r="AQ41" s="714">
        <f>AP41/AP$53*AQ$53</f>
        <v>6.2902479213191755</v>
      </c>
      <c r="AR41" s="714">
        <f t="shared" si="26"/>
        <v>6.4042185961208924</v>
      </c>
      <c r="AS41" s="714">
        <f t="shared" si="26"/>
        <v>6.5057084784527976</v>
      </c>
      <c r="AT41" s="714">
        <f t="shared" si="26"/>
        <v>6.6223228965557253</v>
      </c>
      <c r="AU41" s="714">
        <f t="shared" si="26"/>
        <v>6.74243574720174</v>
      </c>
      <c r="AV41" s="714">
        <f t="shared" si="26"/>
        <v>6.8661519833671347</v>
      </c>
      <c r="AW41" s="714">
        <f t="shared" si="26"/>
        <v>6.9935797066174938</v>
      </c>
      <c r="AX41" s="714">
        <f t="shared" si="26"/>
        <v>7.1248302615653616</v>
      </c>
      <c r="AY41" s="714">
        <f t="shared" si="26"/>
        <v>7.2600183331616677</v>
      </c>
      <c r="AZ41" s="766"/>
      <c r="BA41" s="766"/>
    </row>
    <row r="42" spans="1:53">
      <c r="A42" s="542" t="s">
        <v>818</v>
      </c>
      <c r="B42" s="237" t="s">
        <v>610</v>
      </c>
      <c r="F42" s="253"/>
      <c r="G42" s="253"/>
      <c r="H42" s="343"/>
      <c r="I42" s="343"/>
      <c r="J42" s="343"/>
      <c r="K42" s="343"/>
      <c r="L42" s="343"/>
      <c r="M42" s="343"/>
      <c r="N42" s="205"/>
      <c r="O42" s="768">
        <v>0.23527699999999999</v>
      </c>
      <c r="P42" s="768">
        <v>0.23527699999999999</v>
      </c>
      <c r="Q42" s="768">
        <v>0.23527699999999999</v>
      </c>
      <c r="R42" s="768">
        <v>0.235317</v>
      </c>
      <c r="S42" s="768">
        <v>0.235374</v>
      </c>
      <c r="T42" s="768">
        <v>0.23603499999999999</v>
      </c>
      <c r="U42" s="768">
        <v>0.236346</v>
      </c>
      <c r="V42" s="768">
        <v>0.236346</v>
      </c>
      <c r="W42" s="768">
        <v>0.248391</v>
      </c>
      <c r="X42" s="768">
        <v>0.24868399999999999</v>
      </c>
      <c r="Y42" s="768">
        <v>0.24868399999999999</v>
      </c>
      <c r="Z42" s="768">
        <v>0.24868399999999999</v>
      </c>
      <c r="AA42" s="711">
        <f t="shared" si="24"/>
        <v>2.8796919999999995</v>
      </c>
      <c r="AB42" s="768">
        <v>0.24868399999999999</v>
      </c>
      <c r="AC42" s="768">
        <v>0.24868399999999999</v>
      </c>
      <c r="AD42" s="768">
        <v>0.24868399999999999</v>
      </c>
      <c r="AE42" s="768">
        <v>0.25119999999999998</v>
      </c>
      <c r="AF42" s="768">
        <v>0.25197999999999998</v>
      </c>
      <c r="AG42" s="768">
        <v>0.25566899999999998</v>
      </c>
      <c r="AH42" s="768">
        <v>0.25569799999999998</v>
      </c>
      <c r="AI42" s="768">
        <v>0.25628499999999999</v>
      </c>
      <c r="AJ42" s="768">
        <v>0.29563699999999998</v>
      </c>
      <c r="AK42" s="768">
        <v>0.29617900000000003</v>
      </c>
      <c r="AL42" s="768">
        <v>0.29617900000000003</v>
      </c>
      <c r="AM42" s="768">
        <v>0.29617900000000003</v>
      </c>
      <c r="AN42" s="711">
        <f t="shared" si="25"/>
        <v>3.2010579999999997</v>
      </c>
      <c r="AO42" s="768">
        <v>3.5931329999999999</v>
      </c>
      <c r="AP42" s="768">
        <v>3.6745599999999996</v>
      </c>
      <c r="AQ42" s="714">
        <f t="shared" si="26"/>
        <v>3.740072863596513</v>
      </c>
      <c r="AR42" s="714">
        <f t="shared" si="26"/>
        <v>3.8078378600487186</v>
      </c>
      <c r="AS42" s="714">
        <f t="shared" si="26"/>
        <v>3.8681819926786383</v>
      </c>
      <c r="AT42" s="714">
        <f t="shared" si="26"/>
        <v>3.9375189132748285</v>
      </c>
      <c r="AU42" s="714">
        <f t="shared" si="26"/>
        <v>4.008935941488903</v>
      </c>
      <c r="AV42" s="714">
        <f t="shared" si="26"/>
        <v>4.0824954805494</v>
      </c>
      <c r="AW42" s="714">
        <f t="shared" si="26"/>
        <v>4.1582618057817138</v>
      </c>
      <c r="AX42" s="714">
        <f t="shared" si="26"/>
        <v>4.236301120770996</v>
      </c>
      <c r="AY42" s="714">
        <f t="shared" si="26"/>
        <v>4.3166816152099576</v>
      </c>
      <c r="AZ42" s="766"/>
      <c r="BA42" s="766"/>
    </row>
    <row r="43" spans="1:53">
      <c r="A43" s="542" t="s">
        <v>607</v>
      </c>
      <c r="B43" s="237" t="s">
        <v>356</v>
      </c>
      <c r="D43" s="4"/>
      <c r="F43" s="253"/>
      <c r="G43" s="253"/>
      <c r="H43" s="343"/>
      <c r="I43" s="343"/>
      <c r="J43" s="343"/>
      <c r="K43" s="343"/>
      <c r="L43" s="343"/>
      <c r="M43" s="343"/>
      <c r="N43" s="205"/>
      <c r="O43" s="768">
        <v>0.98775299999999999</v>
      </c>
      <c r="P43" s="768">
        <v>0.98775299999999999</v>
      </c>
      <c r="Q43" s="768">
        <v>0.98783699999999997</v>
      </c>
      <c r="R43" s="768">
        <v>0.98813899999999999</v>
      </c>
      <c r="S43" s="768">
        <v>0.98831599999999997</v>
      </c>
      <c r="T43" s="768">
        <v>0.988402</v>
      </c>
      <c r="U43" s="768">
        <v>0.98851</v>
      </c>
      <c r="V43" s="768">
        <v>0.98851</v>
      </c>
      <c r="W43" s="768">
        <v>1.0416129999999999</v>
      </c>
      <c r="X43" s="768">
        <v>1.0425679999999999</v>
      </c>
      <c r="Y43" s="768">
        <v>1.0497449999999999</v>
      </c>
      <c r="Z43" s="768">
        <v>1.0506519999999999</v>
      </c>
      <c r="AA43" s="711">
        <f t="shared" si="24"/>
        <v>12.089797999999996</v>
      </c>
      <c r="AB43" s="768">
        <v>1.0506519999999999</v>
      </c>
      <c r="AC43" s="768">
        <v>1.0506519999999999</v>
      </c>
      <c r="AD43" s="768">
        <v>1.0506519999999999</v>
      </c>
      <c r="AE43" s="768">
        <v>1.0506819999999999</v>
      </c>
      <c r="AF43" s="768">
        <v>1.0506819999999999</v>
      </c>
      <c r="AG43" s="768">
        <v>1.05084</v>
      </c>
      <c r="AH43" s="768">
        <v>1.050962</v>
      </c>
      <c r="AI43" s="768">
        <v>1.050962</v>
      </c>
      <c r="AJ43" s="768">
        <v>1.050962</v>
      </c>
      <c r="AK43" s="768">
        <v>1.0512360000000001</v>
      </c>
      <c r="AL43" s="768">
        <v>1.051261</v>
      </c>
      <c r="AM43" s="768">
        <v>1.051261</v>
      </c>
      <c r="AN43" s="711">
        <f t="shared" si="25"/>
        <v>12.610804</v>
      </c>
      <c r="AO43" s="768">
        <v>12.622690000000002</v>
      </c>
      <c r="AP43" s="768">
        <v>12.648496999999997</v>
      </c>
      <c r="AQ43" s="714">
        <f t="shared" si="26"/>
        <v>12.874004069870107</v>
      </c>
      <c r="AR43" s="714">
        <f t="shared" si="26"/>
        <v>13.107263386449706</v>
      </c>
      <c r="AS43" s="714">
        <f t="shared" si="26"/>
        <v>13.314978753877954</v>
      </c>
      <c r="AT43" s="714">
        <f t="shared" si="26"/>
        <v>13.553648916332818</v>
      </c>
      <c r="AU43" s="714">
        <f t="shared" si="26"/>
        <v>13.799479183661328</v>
      </c>
      <c r="AV43" s="714">
        <f t="shared" si="26"/>
        <v>14.052684359009692</v>
      </c>
      <c r="AW43" s="714">
        <f t="shared" si="26"/>
        <v>14.313485689618512</v>
      </c>
      <c r="AX43" s="714">
        <f t="shared" si="26"/>
        <v>14.582111060145593</v>
      </c>
      <c r="AY43" s="714">
        <f t="shared" si="26"/>
        <v>14.858795191788488</v>
      </c>
      <c r="AZ43" s="766"/>
      <c r="BA43" s="766"/>
    </row>
    <row r="44" spans="1:53">
      <c r="A44" s="542" t="s">
        <v>818</v>
      </c>
      <c r="B44" s="237" t="s">
        <v>611</v>
      </c>
      <c r="D44" s="4"/>
      <c r="F44" s="253"/>
      <c r="G44" s="253"/>
      <c r="H44" s="343"/>
      <c r="I44" s="343"/>
      <c r="J44" s="343"/>
      <c r="K44" s="343"/>
      <c r="L44" s="343"/>
      <c r="M44" s="343"/>
      <c r="N44" s="205"/>
      <c r="O44" s="768">
        <v>0.61127900000000002</v>
      </c>
      <c r="P44" s="768">
        <v>0.61127900000000002</v>
      </c>
      <c r="Q44" s="768">
        <v>0.61127900000000002</v>
      </c>
      <c r="R44" s="768">
        <v>0.61131500000000005</v>
      </c>
      <c r="S44" s="768">
        <v>0.61136800000000002</v>
      </c>
      <c r="T44" s="768">
        <v>0.61143700000000001</v>
      </c>
      <c r="U44" s="768">
        <v>0.61143700000000001</v>
      </c>
      <c r="V44" s="768">
        <v>0.61143700000000001</v>
      </c>
      <c r="W44" s="768">
        <v>0.61999899999999997</v>
      </c>
      <c r="X44" s="768">
        <v>0.61999899999999997</v>
      </c>
      <c r="Y44" s="768">
        <v>0.61999899999999997</v>
      </c>
      <c r="Z44" s="768">
        <v>0.61999899999999997</v>
      </c>
      <c r="AA44" s="711">
        <f t="shared" si="24"/>
        <v>7.3708270000000002</v>
      </c>
      <c r="AB44" s="768">
        <v>0.61999899999999997</v>
      </c>
      <c r="AC44" s="768">
        <v>0.61999899999999997</v>
      </c>
      <c r="AD44" s="768">
        <v>0.61999899999999997</v>
      </c>
      <c r="AE44" s="768">
        <v>0.62003799999999998</v>
      </c>
      <c r="AF44" s="768">
        <v>0.62017</v>
      </c>
      <c r="AG44" s="768">
        <v>0.62017</v>
      </c>
      <c r="AH44" s="768">
        <v>0.62017</v>
      </c>
      <c r="AI44" s="768">
        <v>0.62017</v>
      </c>
      <c r="AJ44" s="768">
        <v>0.64411600000000002</v>
      </c>
      <c r="AK44" s="768">
        <v>0.64411600000000002</v>
      </c>
      <c r="AL44" s="768">
        <v>0.64411600000000002</v>
      </c>
      <c r="AM44" s="768">
        <v>0.64411600000000002</v>
      </c>
      <c r="AN44" s="711">
        <f t="shared" si="25"/>
        <v>7.537179000000001</v>
      </c>
      <c r="AO44" s="768">
        <v>7.7645290000000013</v>
      </c>
      <c r="AP44" s="768">
        <v>7.8976320000000015</v>
      </c>
      <c r="AQ44" s="714">
        <f t="shared" si="26"/>
        <v>8.0384370182746974</v>
      </c>
      <c r="AR44" s="714">
        <f t="shared" si="26"/>
        <v>8.184082484523941</v>
      </c>
      <c r="AS44" s="714">
        <f t="shared" si="26"/>
        <v>8.3137784897246458</v>
      </c>
      <c r="AT44" s="714">
        <f t="shared" si="26"/>
        <v>8.4628024498401242</v>
      </c>
      <c r="AU44" s="714">
        <f t="shared" si="26"/>
        <v>8.6162971287590651</v>
      </c>
      <c r="AV44" s="714">
        <f t="shared" si="26"/>
        <v>8.7743966480455757</v>
      </c>
      <c r="AW44" s="714">
        <f t="shared" si="26"/>
        <v>8.9372391529106814</v>
      </c>
      <c r="AX44" s="714">
        <f t="shared" si="26"/>
        <v>9.1049669329217409</v>
      </c>
      <c r="AY44" s="714">
        <f t="shared" si="26"/>
        <v>9.2777265463331329</v>
      </c>
      <c r="AZ44" s="766"/>
      <c r="BA44" s="766"/>
    </row>
    <row r="45" spans="1:53">
      <c r="A45" s="542" t="s">
        <v>612</v>
      </c>
      <c r="B45" s="237" t="s">
        <v>613</v>
      </c>
      <c r="D45" s="4"/>
      <c r="F45" s="253"/>
      <c r="G45" s="253"/>
      <c r="H45" s="343"/>
      <c r="I45" s="343"/>
      <c r="J45" s="343"/>
      <c r="K45" s="343"/>
      <c r="L45" s="343"/>
      <c r="M45" s="343"/>
      <c r="N45" s="205"/>
      <c r="O45" s="768">
        <v>2.4695000000000002E-2</v>
      </c>
      <c r="P45" s="768">
        <v>2.4695000000000002E-2</v>
      </c>
      <c r="Q45" s="768">
        <v>2.4695000000000002E-2</v>
      </c>
      <c r="R45" s="768">
        <v>2.4695000000000002E-2</v>
      </c>
      <c r="S45" s="768">
        <v>2.4695000000000002E-2</v>
      </c>
      <c r="T45" s="768">
        <v>2.4695000000000002E-2</v>
      </c>
      <c r="U45" s="768">
        <v>2.4695000000000002E-2</v>
      </c>
      <c r="V45" s="768">
        <v>2.4695000000000002E-2</v>
      </c>
      <c r="W45" s="768">
        <v>2.5804000000000001E-2</v>
      </c>
      <c r="X45" s="768">
        <v>2.5804000000000001E-2</v>
      </c>
      <c r="Y45" s="768">
        <v>2.5804000000000001E-2</v>
      </c>
      <c r="Z45" s="768">
        <v>2.5804000000000001E-2</v>
      </c>
      <c r="AA45" s="711">
        <f t="shared" si="24"/>
        <v>0.30077599999999999</v>
      </c>
      <c r="AB45" s="768">
        <v>2.5804000000000001E-2</v>
      </c>
      <c r="AC45" s="768">
        <v>2.5804000000000001E-2</v>
      </c>
      <c r="AD45" s="768">
        <v>2.5804000000000001E-2</v>
      </c>
      <c r="AE45" s="768">
        <v>2.5804000000000001E-2</v>
      </c>
      <c r="AF45" s="768">
        <v>2.5804000000000001E-2</v>
      </c>
      <c r="AG45" s="768">
        <v>2.5804000000000001E-2</v>
      </c>
      <c r="AH45" s="768">
        <v>2.5804000000000001E-2</v>
      </c>
      <c r="AI45" s="768">
        <v>2.5804000000000001E-2</v>
      </c>
      <c r="AJ45" s="768">
        <v>2.5804000000000001E-2</v>
      </c>
      <c r="AK45" s="768">
        <v>2.6096000000000001E-2</v>
      </c>
      <c r="AL45" s="768">
        <v>2.9652000000000001E-2</v>
      </c>
      <c r="AM45" s="768">
        <v>2.9652000000000001E-2</v>
      </c>
      <c r="AN45" s="711">
        <f t="shared" si="25"/>
        <v>0.31763599999999997</v>
      </c>
      <c r="AO45" s="768">
        <v>0.3558420000000001</v>
      </c>
      <c r="AP45" s="768">
        <v>0.36287700000000012</v>
      </c>
      <c r="AQ45" s="714">
        <f t="shared" si="26"/>
        <v>0.36934664844860676</v>
      </c>
      <c r="AR45" s="714">
        <f t="shared" si="26"/>
        <v>0.3760387037198738</v>
      </c>
      <c r="AS45" s="714">
        <f t="shared" si="26"/>
        <v>0.38199792001144267</v>
      </c>
      <c r="AT45" s="714">
        <f t="shared" si="26"/>
        <v>0.38884520886648483</v>
      </c>
      <c r="AU45" s="714">
        <f t="shared" si="26"/>
        <v>0.39589791638717819</v>
      </c>
      <c r="AV45" s="714">
        <f t="shared" si="26"/>
        <v>0.40316220513349238</v>
      </c>
      <c r="AW45" s="714">
        <f t="shared" si="26"/>
        <v>0.41064442254219607</v>
      </c>
      <c r="AX45" s="714">
        <f t="shared" si="26"/>
        <v>0.41835110647316082</v>
      </c>
      <c r="AY45" s="714">
        <f t="shared" si="26"/>
        <v>0.42628899092205458</v>
      </c>
      <c r="AZ45" s="766"/>
      <c r="BA45" s="766"/>
    </row>
    <row r="46" spans="1:53">
      <c r="A46" s="542">
        <v>403.5</v>
      </c>
      <c r="B46" s="237" t="s">
        <v>614</v>
      </c>
      <c r="D46" s="4"/>
      <c r="F46" s="253"/>
      <c r="G46" s="253"/>
      <c r="H46" s="343"/>
      <c r="I46" s="343"/>
      <c r="J46" s="343"/>
      <c r="K46" s="343"/>
      <c r="L46" s="343"/>
      <c r="M46" s="343"/>
      <c r="N46" s="205"/>
      <c r="O46" s="768">
        <v>0.24737400000000001</v>
      </c>
      <c r="P46" s="768">
        <v>0.24786900000000001</v>
      </c>
      <c r="Q46" s="768">
        <v>0.248698</v>
      </c>
      <c r="R46" s="768">
        <v>0.24904000000000001</v>
      </c>
      <c r="S46" s="768">
        <v>0.249809</v>
      </c>
      <c r="T46" s="768">
        <v>0.25025900000000001</v>
      </c>
      <c r="U46" s="768">
        <v>0.25105499999999997</v>
      </c>
      <c r="V46" s="768">
        <v>0.25141000000000002</v>
      </c>
      <c r="W46" s="768">
        <v>0.25860699999999998</v>
      </c>
      <c r="X46" s="768">
        <v>0.25895400000000002</v>
      </c>
      <c r="Y46" s="768">
        <v>0.25958300000000001</v>
      </c>
      <c r="Z46" s="768">
        <v>0.26196900000000001</v>
      </c>
      <c r="AA46" s="711">
        <f t="shared" si="24"/>
        <v>3.0346270000000004</v>
      </c>
      <c r="AB46" s="768">
        <v>0.26208599999999999</v>
      </c>
      <c r="AC46" s="768">
        <v>0.26221899999999998</v>
      </c>
      <c r="AD46" s="768">
        <v>0.26245099999999999</v>
      </c>
      <c r="AE46" s="768">
        <v>0.26269300000000001</v>
      </c>
      <c r="AF46" s="768">
        <v>0.26297900000000002</v>
      </c>
      <c r="AG46" s="768">
        <v>0.26325300000000001</v>
      </c>
      <c r="AH46" s="768">
        <v>0.26344699999999999</v>
      </c>
      <c r="AI46" s="768">
        <v>0.26370500000000002</v>
      </c>
      <c r="AJ46" s="768">
        <v>0.26415699999999998</v>
      </c>
      <c r="AK46" s="768">
        <v>0.264575</v>
      </c>
      <c r="AL46" s="768">
        <v>0.26502300000000001</v>
      </c>
      <c r="AM46" s="768">
        <v>0.26531900000000003</v>
      </c>
      <c r="AN46" s="711">
        <f t="shared" si="25"/>
        <v>3.1619070000000002</v>
      </c>
      <c r="AO46" s="768">
        <v>3.201619</v>
      </c>
      <c r="AP46" s="768">
        <v>3.2365219999999999</v>
      </c>
      <c r="AQ46" s="714">
        <f t="shared" si="26"/>
        <v>3.2942251874055981</v>
      </c>
      <c r="AR46" s="714">
        <f t="shared" si="26"/>
        <v>3.3539120347689519</v>
      </c>
      <c r="AS46" s="714">
        <f t="shared" si="26"/>
        <v>3.4070626467681171</v>
      </c>
      <c r="AT46" s="714">
        <f t="shared" si="26"/>
        <v>3.4681340318922742</v>
      </c>
      <c r="AU46" s="714">
        <f t="shared" si="26"/>
        <v>3.5310375585701554</v>
      </c>
      <c r="AV46" s="714">
        <f t="shared" si="26"/>
        <v>3.5958281910483731</v>
      </c>
      <c r="AW46" s="714">
        <f t="shared" si="26"/>
        <v>3.6625625425009383</v>
      </c>
      <c r="AX46" s="714">
        <f t="shared" si="26"/>
        <v>3.73129892449708</v>
      </c>
      <c r="AY46" s="714">
        <f t="shared" si="26"/>
        <v>3.8020973979531063</v>
      </c>
      <c r="AZ46" s="766"/>
      <c r="BA46" s="766"/>
    </row>
    <row r="47" spans="1:53">
      <c r="A47" s="542">
        <v>403.5</v>
      </c>
      <c r="B47" s="237" t="s">
        <v>615</v>
      </c>
      <c r="D47" s="4"/>
      <c r="F47" s="253"/>
      <c r="G47" s="253"/>
      <c r="H47" s="343"/>
      <c r="I47" s="343"/>
      <c r="J47" s="343"/>
      <c r="K47" s="343"/>
      <c r="L47" s="343"/>
      <c r="M47" s="343"/>
      <c r="N47" s="205"/>
      <c r="O47" s="768">
        <v>0.14991499999999999</v>
      </c>
      <c r="P47" s="768">
        <v>0.15024799999999999</v>
      </c>
      <c r="Q47" s="768">
        <v>0.15070900000000001</v>
      </c>
      <c r="R47" s="768">
        <v>0.15116599999999999</v>
      </c>
      <c r="S47" s="768">
        <v>0.15162400000000001</v>
      </c>
      <c r="T47" s="768">
        <v>0.152055</v>
      </c>
      <c r="U47" s="768">
        <v>0.152471</v>
      </c>
      <c r="V47" s="768">
        <v>0.152889</v>
      </c>
      <c r="W47" s="768">
        <v>0.15648999999999999</v>
      </c>
      <c r="X47" s="768">
        <v>0.15678300000000001</v>
      </c>
      <c r="Y47" s="768">
        <v>0.15703600000000001</v>
      </c>
      <c r="Z47" s="768">
        <v>0.15717400000000001</v>
      </c>
      <c r="AA47" s="711">
        <f t="shared" si="24"/>
        <v>1.83856</v>
      </c>
      <c r="AB47" s="768">
        <v>0.15728400000000001</v>
      </c>
      <c r="AC47" s="768">
        <v>0.15748899999999999</v>
      </c>
      <c r="AD47" s="768">
        <v>0.157775</v>
      </c>
      <c r="AE47" s="768">
        <v>0.158031</v>
      </c>
      <c r="AF47" s="768">
        <v>0.15834899999999999</v>
      </c>
      <c r="AG47" s="768">
        <v>0.158665</v>
      </c>
      <c r="AH47" s="768">
        <v>0.15898399999999999</v>
      </c>
      <c r="AI47" s="768">
        <v>0.159105</v>
      </c>
      <c r="AJ47" s="768">
        <v>0.15923399999999999</v>
      </c>
      <c r="AK47" s="768">
        <v>0.15943299999999999</v>
      </c>
      <c r="AL47" s="768">
        <v>0.1595</v>
      </c>
      <c r="AM47" s="768">
        <v>0.15950700000000001</v>
      </c>
      <c r="AN47" s="711">
        <f t="shared" si="25"/>
        <v>1.903356</v>
      </c>
      <c r="AO47" s="768">
        <v>1.9212899999999999</v>
      </c>
      <c r="AP47" s="768">
        <v>1.942061</v>
      </c>
      <c r="AQ47" s="714">
        <f t="shared" si="26"/>
        <v>1.9766855475347007</v>
      </c>
      <c r="AR47" s="714">
        <f t="shared" si="26"/>
        <v>2.0125003816304745</v>
      </c>
      <c r="AS47" s="714">
        <f t="shared" si="26"/>
        <v>2.0443931760220191</v>
      </c>
      <c r="AT47" s="714">
        <f t="shared" si="26"/>
        <v>2.0810387960009984</v>
      </c>
      <c r="AU47" s="714">
        <f t="shared" si="26"/>
        <v>2.1187837845793465</v>
      </c>
      <c r="AV47" s="714">
        <f t="shared" si="26"/>
        <v>2.1576611228150453</v>
      </c>
      <c r="AW47" s="714">
        <f t="shared" si="26"/>
        <v>2.1977047811978152</v>
      </c>
      <c r="AX47" s="714">
        <f t="shared" si="26"/>
        <v>2.2389497493320683</v>
      </c>
      <c r="AY47" s="714">
        <f t="shared" si="26"/>
        <v>2.2814320665103494</v>
      </c>
      <c r="AZ47" s="766"/>
      <c r="BA47" s="766"/>
    </row>
    <row r="48" spans="1:53">
      <c r="A48" s="542" t="s">
        <v>586</v>
      </c>
      <c r="B48" s="237" t="s">
        <v>616</v>
      </c>
      <c r="F48" s="253"/>
      <c r="G48" s="253"/>
      <c r="H48" s="343"/>
      <c r="I48" s="343"/>
      <c r="J48" s="343"/>
      <c r="K48" s="343"/>
      <c r="L48" s="343"/>
      <c r="M48" s="343"/>
      <c r="N48" s="205"/>
      <c r="O48" s="768">
        <v>0.25293399999999999</v>
      </c>
      <c r="P48" s="768">
        <v>0.25350800000000001</v>
      </c>
      <c r="Q48" s="768">
        <v>0.25587199999999999</v>
      </c>
      <c r="R48" s="768">
        <v>0.25922899999999999</v>
      </c>
      <c r="S48" s="768">
        <v>0.26538600000000001</v>
      </c>
      <c r="T48" s="768">
        <v>0.26859899999999998</v>
      </c>
      <c r="U48" s="768">
        <v>0.271177</v>
      </c>
      <c r="V48" s="768">
        <v>0.27322000000000002</v>
      </c>
      <c r="W48" s="768">
        <v>0.27557900000000002</v>
      </c>
      <c r="X48" s="768">
        <v>0.27652599999999999</v>
      </c>
      <c r="Y48" s="768">
        <v>0.27815200000000001</v>
      </c>
      <c r="Z48" s="768">
        <v>0.27902300000000002</v>
      </c>
      <c r="AA48" s="711">
        <f t="shared" si="24"/>
        <v>3.2092050000000003</v>
      </c>
      <c r="AB48" s="768">
        <v>0.27950599999999998</v>
      </c>
      <c r="AC48" s="768">
        <v>0.27950599999999998</v>
      </c>
      <c r="AD48" s="768">
        <v>0.28098699999999999</v>
      </c>
      <c r="AE48" s="768">
        <v>0.28165699999999999</v>
      </c>
      <c r="AF48" s="768">
        <v>0.28302699999999997</v>
      </c>
      <c r="AG48" s="768">
        <v>0.28375600000000001</v>
      </c>
      <c r="AH48" s="768">
        <v>0.28542800000000002</v>
      </c>
      <c r="AI48" s="768">
        <v>0.28645700000000002</v>
      </c>
      <c r="AJ48" s="768">
        <v>0.28800100000000001</v>
      </c>
      <c r="AK48" s="768">
        <v>0.290993</v>
      </c>
      <c r="AL48" s="768">
        <v>0.29216599999999998</v>
      </c>
      <c r="AM48" s="768">
        <v>0.29219800000000001</v>
      </c>
      <c r="AN48" s="711">
        <f t="shared" si="25"/>
        <v>3.4236819999999994</v>
      </c>
      <c r="AO48" s="768">
        <v>3.5856659999999998</v>
      </c>
      <c r="AP48" s="768">
        <v>3.6844170000000007</v>
      </c>
      <c r="AQ48" s="714">
        <f t="shared" si="26"/>
        <v>3.7501056017247452</v>
      </c>
      <c r="AR48" s="714">
        <f t="shared" si="26"/>
        <v>3.8180523776471533</v>
      </c>
      <c r="AS48" s="714">
        <f t="shared" si="26"/>
        <v>3.8785583832946133</v>
      </c>
      <c r="AT48" s="714">
        <f t="shared" si="26"/>
        <v>3.9480813000444428</v>
      </c>
      <c r="AU48" s="714">
        <f t="shared" si="26"/>
        <v>4.019689904296766</v>
      </c>
      <c r="AV48" s="714">
        <f t="shared" si="26"/>
        <v>4.0934467666766592</v>
      </c>
      <c r="AW48" s="714">
        <f t="shared" si="26"/>
        <v>4.1694163349279503</v>
      </c>
      <c r="AX48" s="714">
        <f t="shared" si="26"/>
        <v>4.24766499022678</v>
      </c>
      <c r="AY48" s="714">
        <f t="shared" si="26"/>
        <v>4.3282611051845752</v>
      </c>
      <c r="AZ48" s="766"/>
      <c r="BA48" s="766"/>
    </row>
    <row r="49" spans="1:53">
      <c r="A49" s="542">
        <v>404.11</v>
      </c>
      <c r="B49" s="237" t="s">
        <v>617</v>
      </c>
      <c r="D49" s="4"/>
      <c r="F49" s="253"/>
      <c r="G49" s="253"/>
      <c r="H49" s="343"/>
      <c r="I49" s="343"/>
      <c r="J49" s="343"/>
      <c r="K49" s="343"/>
      <c r="L49" s="343"/>
      <c r="M49" s="343"/>
      <c r="N49" s="205"/>
      <c r="O49" s="768">
        <v>9.4600000000000001E-4</v>
      </c>
      <c r="P49" s="768">
        <v>9.4600000000000001E-4</v>
      </c>
      <c r="Q49" s="768">
        <v>9.4600000000000001E-4</v>
      </c>
      <c r="R49" s="768">
        <v>9.4600000000000001E-4</v>
      </c>
      <c r="S49" s="768">
        <v>9.4600000000000001E-4</v>
      </c>
      <c r="T49" s="768">
        <v>9.4600000000000001E-4</v>
      </c>
      <c r="U49" s="768">
        <v>9.4600000000000001E-4</v>
      </c>
      <c r="V49" s="768">
        <v>9.4600000000000001E-4</v>
      </c>
      <c r="W49" s="768">
        <v>9.4600000000000001E-4</v>
      </c>
      <c r="X49" s="768">
        <v>9.4600000000000001E-4</v>
      </c>
      <c r="Y49" s="768">
        <v>9.4600000000000001E-4</v>
      </c>
      <c r="Z49" s="768">
        <v>9.4600000000000001E-4</v>
      </c>
      <c r="AA49" s="711">
        <f t="shared" si="24"/>
        <v>1.1352000000000001E-2</v>
      </c>
      <c r="AB49" s="768">
        <v>9.4600000000000001E-4</v>
      </c>
      <c r="AC49" s="768">
        <v>9.4600000000000001E-4</v>
      </c>
      <c r="AD49" s="768">
        <v>9.4600000000000001E-4</v>
      </c>
      <c r="AE49" s="768">
        <v>9.4600000000000001E-4</v>
      </c>
      <c r="AF49" s="768">
        <v>9.4600000000000001E-4</v>
      </c>
      <c r="AG49" s="768">
        <v>9.4600000000000001E-4</v>
      </c>
      <c r="AH49" s="768">
        <v>9.4600000000000001E-4</v>
      </c>
      <c r="AI49" s="768">
        <v>9.4600000000000001E-4</v>
      </c>
      <c r="AJ49" s="768">
        <v>9.4600000000000001E-4</v>
      </c>
      <c r="AK49" s="768">
        <v>9.4600000000000001E-4</v>
      </c>
      <c r="AL49" s="768">
        <v>9.4600000000000001E-4</v>
      </c>
      <c r="AM49" s="768">
        <v>9.4600000000000001E-4</v>
      </c>
      <c r="AN49" s="711">
        <f t="shared" si="25"/>
        <v>1.1352000000000001E-2</v>
      </c>
      <c r="AO49" s="768">
        <v>1.1351999999999999E-2</v>
      </c>
      <c r="AP49" s="768">
        <v>1.1351999999999999E-2</v>
      </c>
      <c r="AQ49" s="714">
        <f t="shared" ref="AQ49:AY49" si="27">AP49/AP$53*AQ$53</f>
        <v>1.1554392130635402E-2</v>
      </c>
      <c r="AR49" s="714">
        <f t="shared" si="27"/>
        <v>1.1763741886721963E-2</v>
      </c>
      <c r="AS49" s="714">
        <f t="shared" si="27"/>
        <v>1.1950166001068945E-2</v>
      </c>
      <c r="AT49" s="714">
        <f t="shared" si="27"/>
        <v>1.2164371980181533E-2</v>
      </c>
      <c r="AU49" s="714">
        <f t="shared" si="27"/>
        <v>1.2385004138667497E-2</v>
      </c>
      <c r="AV49" s="714">
        <f t="shared" si="27"/>
        <v>1.261225526190804E-2</v>
      </c>
      <c r="AW49" s="714">
        <f t="shared" si="27"/>
        <v>1.2846323918845803E-2</v>
      </c>
      <c r="AX49" s="714">
        <f t="shared" si="27"/>
        <v>1.3087414635491694E-2</v>
      </c>
      <c r="AY49" s="714">
        <f t="shared" si="27"/>
        <v>1.3335738073636966E-2</v>
      </c>
      <c r="AZ49" s="766"/>
      <c r="BA49" s="766"/>
    </row>
    <row r="50" spans="1:53">
      <c r="A50" s="281" t="s">
        <v>546</v>
      </c>
      <c r="B50" s="237" t="s">
        <v>363</v>
      </c>
      <c r="D50" s="4"/>
      <c r="F50" s="253"/>
      <c r="G50" s="253"/>
      <c r="H50" s="343"/>
      <c r="I50" s="343"/>
      <c r="J50" s="343"/>
      <c r="K50" s="343"/>
      <c r="L50" s="343"/>
      <c r="M50" s="343"/>
      <c r="N50" s="205"/>
      <c r="O50" s="768">
        <v>5.4593999999999997E-2</v>
      </c>
      <c r="P50" s="768">
        <v>5.4593999999999997E-2</v>
      </c>
      <c r="Q50" s="768">
        <v>5.4636999999999998E-2</v>
      </c>
      <c r="R50" s="768">
        <v>5.7707000000000001E-2</v>
      </c>
      <c r="S50" s="768">
        <v>5.8839000000000002E-2</v>
      </c>
      <c r="T50" s="768">
        <v>5.8911999999999999E-2</v>
      </c>
      <c r="U50" s="768">
        <v>5.9230999999999999E-2</v>
      </c>
      <c r="V50" s="768">
        <v>5.9604999999999998E-2</v>
      </c>
      <c r="W50" s="768">
        <v>6.4560000000000006E-2</v>
      </c>
      <c r="X50" s="768">
        <v>6.4728999999999995E-2</v>
      </c>
      <c r="Y50" s="768">
        <v>6.4743999999999996E-2</v>
      </c>
      <c r="Z50" s="768">
        <v>6.4849000000000004E-2</v>
      </c>
      <c r="AA50" s="711">
        <f t="shared" si="24"/>
        <v>0.71700100000000022</v>
      </c>
      <c r="AB50" s="768">
        <v>6.4849000000000004E-2</v>
      </c>
      <c r="AC50" s="768">
        <v>6.5362000000000003E-2</v>
      </c>
      <c r="AD50" s="768">
        <v>6.5362000000000003E-2</v>
      </c>
      <c r="AE50" s="768">
        <v>6.5438999999999997E-2</v>
      </c>
      <c r="AF50" s="768">
        <v>6.9693000000000005E-2</v>
      </c>
      <c r="AG50" s="768">
        <v>7.9293000000000002E-2</v>
      </c>
      <c r="AH50" s="768">
        <v>7.9378000000000004E-2</v>
      </c>
      <c r="AI50" s="768">
        <v>7.9505999999999993E-2</v>
      </c>
      <c r="AJ50" s="768">
        <v>7.9839999999999994E-2</v>
      </c>
      <c r="AK50" s="768">
        <v>7.9948000000000005E-2</v>
      </c>
      <c r="AL50" s="768">
        <v>7.9975000000000004E-2</v>
      </c>
      <c r="AM50" s="768">
        <v>7.9975000000000004E-2</v>
      </c>
      <c r="AN50" s="711">
        <f t="shared" si="25"/>
        <v>0.88862000000000008</v>
      </c>
      <c r="AO50" s="768">
        <v>1.0175730000000001</v>
      </c>
      <c r="AP50" s="768">
        <v>1.0977299999999999</v>
      </c>
      <c r="AQ50" s="714">
        <f>AP50/AP$53*AQ$53</f>
        <v>1.1173011692708246</v>
      </c>
      <c r="AR50" s="714">
        <f t="shared" si="26"/>
        <v>1.1375451357744275</v>
      </c>
      <c r="AS50" s="714">
        <f t="shared" si="26"/>
        <v>1.1555722096858188</v>
      </c>
      <c r="AT50" s="714">
        <f t="shared" si="26"/>
        <v>1.1762857693626387</v>
      </c>
      <c r="AU50" s="714">
        <f t="shared" si="26"/>
        <v>1.1976207358297632</v>
      </c>
      <c r="AV50" s="714">
        <f t="shared" si="26"/>
        <v>1.2195957512909017</v>
      </c>
      <c r="AW50" s="714">
        <f t="shared" si="26"/>
        <v>1.2422300172158742</v>
      </c>
      <c r="AX50" s="714">
        <f t="shared" si="26"/>
        <v>1.2655433111185959</v>
      </c>
      <c r="AY50" s="714">
        <f t="shared" si="26"/>
        <v>1.2895560038383993</v>
      </c>
      <c r="AZ50" s="766"/>
      <c r="BA50" s="766"/>
    </row>
    <row r="51" spans="1:53">
      <c r="A51" s="281" t="s">
        <v>548</v>
      </c>
      <c r="B51" s="237" t="s">
        <v>618</v>
      </c>
      <c r="D51" s="4"/>
      <c r="F51" s="253"/>
      <c r="G51" s="253"/>
      <c r="H51" s="343"/>
      <c r="I51" s="343"/>
      <c r="J51" s="343"/>
      <c r="K51" s="343"/>
      <c r="L51" s="343"/>
      <c r="M51" s="343"/>
      <c r="N51" s="205"/>
      <c r="O51" s="768">
        <v>0.217747</v>
      </c>
      <c r="P51" s="768">
        <v>0.22164500000000001</v>
      </c>
      <c r="Q51" s="768">
        <v>0.22164500000000001</v>
      </c>
      <c r="R51" s="768">
        <v>0.22237999999999999</v>
      </c>
      <c r="S51" s="768">
        <v>0.22240399999999999</v>
      </c>
      <c r="T51" s="768">
        <v>0.22240399999999999</v>
      </c>
      <c r="U51" s="768">
        <v>0.22240399999999999</v>
      </c>
      <c r="V51" s="768">
        <v>0.22253100000000001</v>
      </c>
      <c r="W51" s="768">
        <v>0.212697</v>
      </c>
      <c r="X51" s="768">
        <v>0.21282400000000001</v>
      </c>
      <c r="Y51" s="768">
        <v>0.21282400000000001</v>
      </c>
      <c r="Z51" s="768">
        <v>0.21282400000000001</v>
      </c>
      <c r="AA51" s="711">
        <f t="shared" si="24"/>
        <v>2.6243289999999999</v>
      </c>
      <c r="AB51" s="768">
        <v>0.21282400000000001</v>
      </c>
      <c r="AC51" s="768">
        <v>0.21282400000000001</v>
      </c>
      <c r="AD51" s="768">
        <v>0.21282400000000001</v>
      </c>
      <c r="AE51" s="768">
        <v>0.212842</v>
      </c>
      <c r="AF51" s="768">
        <v>0.21495300000000001</v>
      </c>
      <c r="AG51" s="768">
        <v>0.21498400000000001</v>
      </c>
      <c r="AH51" s="768">
        <v>0.21498400000000001</v>
      </c>
      <c r="AI51" s="768">
        <v>0.21498400000000001</v>
      </c>
      <c r="AJ51" s="768">
        <v>0.215609</v>
      </c>
      <c r="AK51" s="768">
        <v>0.215609</v>
      </c>
      <c r="AL51" s="768">
        <v>0.215609</v>
      </c>
      <c r="AM51" s="768">
        <v>0.215609</v>
      </c>
      <c r="AN51" s="711">
        <f t="shared" si="25"/>
        <v>2.5736550000000005</v>
      </c>
      <c r="AO51" s="768">
        <v>2.5932560000000002</v>
      </c>
      <c r="AP51" s="768">
        <v>2.5982540000000003</v>
      </c>
      <c r="AQ51" s="714">
        <f t="shared" si="26"/>
        <v>2.6445776577688478</v>
      </c>
      <c r="AR51" s="714">
        <f t="shared" si="26"/>
        <v>2.6924937819012413</v>
      </c>
      <c r="AS51" s="714">
        <f t="shared" si="26"/>
        <v>2.7351626685113986</v>
      </c>
      <c r="AT51" s="714">
        <f t="shared" si="26"/>
        <v>2.7841902884949432</v>
      </c>
      <c r="AU51" s="714">
        <f t="shared" si="26"/>
        <v>2.8346887370779936</v>
      </c>
      <c r="AV51" s="714">
        <f t="shared" si="26"/>
        <v>2.8867021391185355</v>
      </c>
      <c r="AW51" s="714">
        <f t="shared" si="26"/>
        <v>2.9402759432202941</v>
      </c>
      <c r="AX51" s="714">
        <f t="shared" si="26"/>
        <v>2.9954569614451052</v>
      </c>
      <c r="AY51" s="714">
        <f t="shared" si="26"/>
        <v>3.0522934102166612</v>
      </c>
      <c r="AZ51" s="766"/>
      <c r="BA51" s="766"/>
    </row>
    <row r="52" spans="1:53">
      <c r="D52" s="82"/>
      <c r="O52" s="714"/>
      <c r="P52" s="714"/>
      <c r="Q52" s="714"/>
      <c r="R52" s="714"/>
      <c r="S52" s="714"/>
      <c r="T52" s="714"/>
      <c r="U52" s="714"/>
      <c r="V52" s="714"/>
      <c r="W52" s="714"/>
      <c r="X52" s="714"/>
      <c r="Y52" s="714"/>
      <c r="Z52" s="714"/>
      <c r="AA52" s="711"/>
      <c r="AB52" s="714"/>
      <c r="AC52" s="714"/>
      <c r="AD52" s="714"/>
      <c r="AE52" s="714"/>
      <c r="AF52" s="714"/>
      <c r="AG52" s="714"/>
      <c r="AH52" s="714"/>
      <c r="AI52" s="714"/>
      <c r="AJ52" s="714"/>
      <c r="AK52" s="714"/>
      <c r="AL52" s="714"/>
      <c r="AM52" s="714"/>
      <c r="AN52" s="711"/>
      <c r="AO52" s="714"/>
      <c r="AP52" s="714"/>
      <c r="AQ52" s="714"/>
      <c r="AR52" s="714"/>
      <c r="AS52" s="714"/>
      <c r="AT52" s="714"/>
      <c r="AU52" s="714"/>
      <c r="AV52" s="714"/>
      <c r="AW52" s="714"/>
      <c r="AX52" s="714"/>
      <c r="AY52" s="714"/>
      <c r="AZ52" s="766"/>
      <c r="BA52" s="766"/>
    </row>
    <row r="53" spans="1:53">
      <c r="B53" s="237" t="s">
        <v>619</v>
      </c>
      <c r="D53" s="4"/>
      <c r="F53" s="10"/>
      <c r="G53" s="10"/>
      <c r="H53" s="10"/>
      <c r="I53" s="10"/>
      <c r="J53" s="10"/>
      <c r="K53" s="10"/>
      <c r="L53" s="10"/>
      <c r="M53" s="10"/>
      <c r="N53" s="205"/>
      <c r="O53" s="714">
        <f t="shared" ref="O53:Y53" si="28">SUM(O36:O52)</f>
        <v>3.7125089999999998</v>
      </c>
      <c r="P53" s="714">
        <f t="shared" si="28"/>
        <v>3.7182079999999997</v>
      </c>
      <c r="Q53" s="714">
        <f t="shared" si="28"/>
        <v>3.7220400000000002</v>
      </c>
      <c r="R53" s="714">
        <f t="shared" si="28"/>
        <v>3.7318599999999993</v>
      </c>
      <c r="S53" s="714">
        <f t="shared" si="28"/>
        <v>3.7477089999999995</v>
      </c>
      <c r="T53" s="714">
        <f t="shared" si="28"/>
        <v>3.7605329999999992</v>
      </c>
      <c r="U53" s="714">
        <f t="shared" si="28"/>
        <v>3.7685539999999995</v>
      </c>
      <c r="V53" s="714">
        <f t="shared" si="28"/>
        <v>3.7754479999999995</v>
      </c>
      <c r="W53" s="714">
        <f t="shared" si="28"/>
        <v>3.9188799999999997</v>
      </c>
      <c r="X53" s="714">
        <f t="shared" si="28"/>
        <v>3.9250009999999991</v>
      </c>
      <c r="Y53" s="714">
        <f t="shared" si="28"/>
        <v>3.9351119999999997</v>
      </c>
      <c r="Z53" s="714">
        <f>SUM(Z36:Z52)</f>
        <v>3.9396549999999997</v>
      </c>
      <c r="AA53" s="711">
        <f>SUM(AA36:AA52)</f>
        <v>45.655509000000002</v>
      </c>
      <c r="AB53" s="714">
        <f>SUM(AB36:AB52)</f>
        <v>3.9403769999999998</v>
      </c>
      <c r="AC53" s="714">
        <f t="shared" ref="AC53:AP53" si="29">SUM(AC36:AC52)</f>
        <v>3.9444709999999996</v>
      </c>
      <c r="AD53" s="714">
        <f t="shared" si="29"/>
        <v>3.9470689999999995</v>
      </c>
      <c r="AE53" s="714">
        <f t="shared" si="29"/>
        <v>3.9534689999999997</v>
      </c>
      <c r="AF53" s="714">
        <f t="shared" si="29"/>
        <v>3.9760529999999994</v>
      </c>
      <c r="AG53" s="714">
        <f t="shared" si="29"/>
        <v>3.9997319999999994</v>
      </c>
      <c r="AH53" s="714">
        <f t="shared" si="29"/>
        <v>4.0043899999999999</v>
      </c>
      <c r="AI53" s="714">
        <f t="shared" si="29"/>
        <v>4.0089589999999991</v>
      </c>
      <c r="AJ53" s="714">
        <f t="shared" si="29"/>
        <v>4.1398339999999996</v>
      </c>
      <c r="AK53" s="714">
        <f t="shared" si="29"/>
        <v>4.1472959999999999</v>
      </c>
      <c r="AL53" s="714">
        <f t="shared" si="29"/>
        <v>4.1550090000000006</v>
      </c>
      <c r="AM53" s="714">
        <f t="shared" si="29"/>
        <v>4.1553690000000003</v>
      </c>
      <c r="AN53" s="711">
        <f>SUM(AN36:AN52)</f>
        <v>48.372028000000007</v>
      </c>
      <c r="AO53" s="714">
        <f t="shared" si="29"/>
        <v>50.457698000000008</v>
      </c>
      <c r="AP53" s="714">
        <f t="shared" si="29"/>
        <v>51.495590999999997</v>
      </c>
      <c r="AQ53" s="719">
        <f>AP53+AQ31*(AP53/AVERAGE('Stmts RUS'!AG131:AH131))</f>
        <v>52.413693746724739</v>
      </c>
      <c r="AR53" s="719">
        <f>AQ53+AR31*(AQ53/AVERAGE('Stmts RUS'!AH131:AI131))</f>
        <v>53.36335807154709</v>
      </c>
      <c r="AS53" s="714">
        <f>AR53/AVERAGE('Stmts RUS'!AI131:AJ131)*AVERAGE('Stmts RUS'!AJ131:AK131)</f>
        <v>54.209025790446795</v>
      </c>
      <c r="AT53" s="714">
        <f>AS53/AVERAGE('Stmts RUS'!AJ131:AK131)*AVERAGE('Stmts RUS'!AK131:AL131)</f>
        <v>55.180719191621598</v>
      </c>
      <c r="AU53" s="714">
        <f>AT53/AVERAGE('Stmts RUS'!AK131:AL131)*AVERAGE('Stmts RUS'!AL131:AM131)</f>
        <v>56.181563394831635</v>
      </c>
      <c r="AV53" s="714">
        <f>AU53/AVERAGE('Stmts RUS'!AL131:AM131)*AVERAGE('Stmts RUS'!AM131:AN131)</f>
        <v>57.212432924137978</v>
      </c>
      <c r="AW53" s="714">
        <f>AV53/AVERAGE('Stmts RUS'!AM131:AN131)*AVERAGE('Stmts RUS'!AN131:AO131)</f>
        <v>58.274228539323524</v>
      </c>
      <c r="AX53" s="714">
        <f>AW53/AVERAGE('Stmts RUS'!AN131:AO131)*AVERAGE('Stmts RUS'!AO131:AP131)</f>
        <v>59.367878022964625</v>
      </c>
      <c r="AY53" s="714">
        <f>AX53/AVERAGE('Stmts RUS'!AO131:AP131)*AVERAGE('Stmts RUS'!AP131:AQ131)</f>
        <v>60.49433699111497</v>
      </c>
      <c r="AZ53" s="766"/>
      <c r="BA53" s="766"/>
    </row>
    <row r="54" spans="1:53"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432" spans="1:2" ht="18">
      <c r="A432" s="267" t="s">
        <v>817</v>
      </c>
      <c r="B432" s="13"/>
    </row>
    <row r="433" spans="1:53">
      <c r="A433" s="869" t="s">
        <v>607</v>
      </c>
      <c r="B433" s="866" t="s">
        <v>1026</v>
      </c>
      <c r="F433" s="10">
        <f t="shared" ref="F433:F443" si="30">F37</f>
        <v>0</v>
      </c>
      <c r="G433" s="10">
        <f t="shared" ref="G433:M433" si="31">G37</f>
        <v>0</v>
      </c>
      <c r="H433" s="10">
        <f t="shared" si="31"/>
        <v>0</v>
      </c>
      <c r="I433" s="10">
        <f t="shared" si="31"/>
        <v>0</v>
      </c>
      <c r="J433" s="10">
        <f t="shared" si="31"/>
        <v>0</v>
      </c>
      <c r="K433" s="10">
        <f t="shared" si="31"/>
        <v>0</v>
      </c>
      <c r="L433" s="10">
        <f t="shared" si="31"/>
        <v>0</v>
      </c>
      <c r="M433" s="10">
        <f t="shared" si="31"/>
        <v>0</v>
      </c>
      <c r="N433" s="205"/>
      <c r="O433" s="10">
        <f t="shared" ref="O433:Z433" si="32">O37</f>
        <v>2.6912999999999999E-2</v>
      </c>
      <c r="P433" s="10">
        <f t="shared" si="32"/>
        <v>2.6912999999999999E-2</v>
      </c>
      <c r="Q433" s="10">
        <f t="shared" si="32"/>
        <v>2.6912999999999999E-2</v>
      </c>
      <c r="R433" s="10">
        <f t="shared" si="32"/>
        <v>2.6912999999999999E-2</v>
      </c>
      <c r="S433" s="10">
        <f t="shared" si="32"/>
        <v>2.6962E-2</v>
      </c>
      <c r="T433" s="10">
        <f t="shared" si="32"/>
        <v>2.6962E-2</v>
      </c>
      <c r="U433" s="10">
        <f t="shared" si="32"/>
        <v>2.7507E-2</v>
      </c>
      <c r="V433" s="10">
        <f t="shared" si="32"/>
        <v>2.7628E-2</v>
      </c>
      <c r="W433" s="10">
        <f t="shared" si="32"/>
        <v>2.9080000000000002E-2</v>
      </c>
      <c r="X433" s="10">
        <f t="shared" si="32"/>
        <v>2.9113E-2</v>
      </c>
      <c r="Y433" s="10">
        <f t="shared" si="32"/>
        <v>2.9113E-2</v>
      </c>
      <c r="Z433" s="10">
        <f t="shared" si="32"/>
        <v>2.9149000000000001E-2</v>
      </c>
      <c r="AA433" s="205">
        <f>SUM(O433:Z433)</f>
        <v>0.33316599999999996</v>
      </c>
      <c r="AB433" s="10">
        <f t="shared" ref="AB433:AM433" si="33">AB37</f>
        <v>2.9149000000000001E-2</v>
      </c>
      <c r="AC433" s="10">
        <f t="shared" si="33"/>
        <v>3.1254999999999998E-2</v>
      </c>
      <c r="AD433" s="10">
        <f t="shared" si="33"/>
        <v>3.1254999999999998E-2</v>
      </c>
      <c r="AE433" s="10">
        <f t="shared" si="33"/>
        <v>3.1281999999999997E-2</v>
      </c>
      <c r="AF433" s="10">
        <f t="shared" si="33"/>
        <v>3.1287000000000002E-2</v>
      </c>
      <c r="AG433" s="10">
        <f t="shared" si="33"/>
        <v>3.1307000000000001E-2</v>
      </c>
      <c r="AH433" s="10">
        <f t="shared" si="33"/>
        <v>3.1550000000000002E-2</v>
      </c>
      <c r="AI433" s="10">
        <f t="shared" si="33"/>
        <v>3.1593000000000003E-2</v>
      </c>
      <c r="AJ433" s="10">
        <f t="shared" si="33"/>
        <v>3.1601999999999998E-2</v>
      </c>
      <c r="AK433" s="10">
        <f t="shared" si="33"/>
        <v>3.1614000000000003E-2</v>
      </c>
      <c r="AL433" s="10">
        <f t="shared" si="33"/>
        <v>3.1623999999999999E-2</v>
      </c>
      <c r="AM433" s="10">
        <f t="shared" si="33"/>
        <v>3.1623999999999999E-2</v>
      </c>
      <c r="AN433" s="205">
        <f>SUM(AB433:AM433)</f>
        <v>0.37514199999999998</v>
      </c>
      <c r="AO433" s="10">
        <f t="shared" ref="AO433:AY433" si="34">AO37</f>
        <v>0.38033799999999995</v>
      </c>
      <c r="AP433" s="10">
        <f t="shared" si="34"/>
        <v>0.38602200000000003</v>
      </c>
      <c r="AQ433" s="10">
        <f t="shared" si="34"/>
        <v>0.39290429519486786</v>
      </c>
      <c r="AR433" s="10">
        <f t="shared" si="34"/>
        <v>0.40002318275160209</v>
      </c>
      <c r="AS433" s="10">
        <f t="shared" si="34"/>
        <v>0.40636248943486941</v>
      </c>
      <c r="AT433" s="10">
        <f t="shared" si="34"/>
        <v>0.41364651167491517</v>
      </c>
      <c r="AU433" s="10">
        <f t="shared" si="34"/>
        <v>0.42114905458216223</v>
      </c>
      <c r="AV433" s="10">
        <f t="shared" si="34"/>
        <v>0.42887667377662675</v>
      </c>
      <c r="AW433" s="10">
        <f t="shared" si="34"/>
        <v>0.43683612154692525</v>
      </c>
      <c r="AX433" s="10">
        <f t="shared" si="34"/>
        <v>0.44503435275033265</v>
      </c>
      <c r="AY433" s="10">
        <f t="shared" si="34"/>
        <v>0.45347853088984236</v>
      </c>
      <c r="AZ433" s="928"/>
      <c r="BA433" s="928"/>
    </row>
    <row r="434" spans="1:53">
      <c r="A434" s="869" t="s">
        <v>818</v>
      </c>
      <c r="B434" s="866" t="s">
        <v>1027</v>
      </c>
      <c r="F434" s="10">
        <f t="shared" si="30"/>
        <v>0</v>
      </c>
      <c r="G434" s="10">
        <f t="shared" ref="G434:M443" si="35">G38</f>
        <v>0</v>
      </c>
      <c r="H434" s="10">
        <f t="shared" si="35"/>
        <v>0</v>
      </c>
      <c r="I434" s="10">
        <f t="shared" si="35"/>
        <v>0</v>
      </c>
      <c r="J434" s="10">
        <f t="shared" si="35"/>
        <v>0</v>
      </c>
      <c r="K434" s="10">
        <f t="shared" si="35"/>
        <v>0</v>
      </c>
      <c r="L434" s="10">
        <f t="shared" si="35"/>
        <v>0</v>
      </c>
      <c r="M434" s="10">
        <f t="shared" si="35"/>
        <v>0</v>
      </c>
      <c r="N434" s="205"/>
      <c r="O434" s="10">
        <f t="shared" ref="O434:Z434" si="36">O38</f>
        <v>1.06E-2</v>
      </c>
      <c r="P434" s="10">
        <f t="shared" si="36"/>
        <v>1.06E-2</v>
      </c>
      <c r="Q434" s="10">
        <f t="shared" si="36"/>
        <v>1.06E-2</v>
      </c>
      <c r="R434" s="10">
        <f t="shared" si="36"/>
        <v>1.0606000000000001E-2</v>
      </c>
      <c r="S434" s="10">
        <f t="shared" si="36"/>
        <v>1.0614E-2</v>
      </c>
      <c r="T434" s="10">
        <f t="shared" si="36"/>
        <v>1.0614E-2</v>
      </c>
      <c r="U434" s="10">
        <f t="shared" si="36"/>
        <v>1.0614E-2</v>
      </c>
      <c r="V434" s="10">
        <f t="shared" si="36"/>
        <v>1.0614E-2</v>
      </c>
      <c r="W434" s="10">
        <f t="shared" si="36"/>
        <v>1.1339999999999999E-2</v>
      </c>
      <c r="X434" s="10">
        <f t="shared" si="36"/>
        <v>1.1339999999999999E-2</v>
      </c>
      <c r="Y434" s="10">
        <f t="shared" si="36"/>
        <v>1.1339999999999999E-2</v>
      </c>
      <c r="Z434" s="10">
        <f t="shared" si="36"/>
        <v>1.1384999999999999E-2</v>
      </c>
      <c r="AA434" s="205">
        <f t="shared" ref="AA434:AA495" si="37">SUM(O434:Z434)</f>
        <v>0.13026699999999999</v>
      </c>
      <c r="AB434" s="10">
        <f t="shared" ref="AB434:AM434" si="38">AB38</f>
        <v>1.1384999999999999E-2</v>
      </c>
      <c r="AC434" s="10">
        <f t="shared" si="38"/>
        <v>1.1384999999999999E-2</v>
      </c>
      <c r="AD434" s="10">
        <f t="shared" si="38"/>
        <v>1.1384999999999999E-2</v>
      </c>
      <c r="AE434" s="10">
        <f t="shared" si="38"/>
        <v>1.1391E-2</v>
      </c>
      <c r="AF434" s="10">
        <f t="shared" si="38"/>
        <v>1.1405E-2</v>
      </c>
      <c r="AG434" s="10">
        <f t="shared" si="38"/>
        <v>1.1435000000000001E-2</v>
      </c>
      <c r="AH434" s="10">
        <f t="shared" si="38"/>
        <v>1.1435000000000001E-2</v>
      </c>
      <c r="AI434" s="10">
        <f t="shared" si="38"/>
        <v>1.1435000000000001E-2</v>
      </c>
      <c r="AJ434" s="10">
        <f t="shared" si="38"/>
        <v>1.1435000000000001E-2</v>
      </c>
      <c r="AK434" s="10">
        <f t="shared" si="38"/>
        <v>1.1435000000000001E-2</v>
      </c>
      <c r="AL434" s="10">
        <f t="shared" si="38"/>
        <v>1.1435000000000001E-2</v>
      </c>
      <c r="AM434" s="10">
        <f t="shared" si="38"/>
        <v>1.1435000000000001E-2</v>
      </c>
      <c r="AN434" s="205">
        <f t="shared" ref="AN434:AN495" si="39">SUM(AB434:AM434)</f>
        <v>0.13699600000000001</v>
      </c>
      <c r="AO434" s="10">
        <f t="shared" ref="AO434:AY434" si="40">AO38</f>
        <v>0.13791699999999996</v>
      </c>
      <c r="AP434" s="10">
        <f t="shared" si="40"/>
        <v>0.13814699999999999</v>
      </c>
      <c r="AQ434" s="10">
        <f t="shared" si="40"/>
        <v>0.14060999028108606</v>
      </c>
      <c r="AR434" s="10">
        <f t="shared" si="40"/>
        <v>0.14315765067168598</v>
      </c>
      <c r="AS434" s="10">
        <f t="shared" si="40"/>
        <v>0.14542631981586257</v>
      </c>
      <c r="AT434" s="10">
        <f t="shared" si="40"/>
        <v>0.14803307751463518</v>
      </c>
      <c r="AU434" s="10">
        <f t="shared" si="40"/>
        <v>0.15071803794437094</v>
      </c>
      <c r="AV434" s="10">
        <f t="shared" si="40"/>
        <v>0.1534835471869988</v>
      </c>
      <c r="AW434" s="10">
        <f t="shared" si="40"/>
        <v>0.15633202170690552</v>
      </c>
      <c r="AX434" s="10">
        <f t="shared" si="40"/>
        <v>0.15926595046240941</v>
      </c>
      <c r="AY434" s="10">
        <f t="shared" si="40"/>
        <v>0.16228789708057845</v>
      </c>
      <c r="AZ434" s="928"/>
      <c r="BA434" s="928"/>
    </row>
    <row r="435" spans="1:53">
      <c r="A435" s="869" t="s">
        <v>607</v>
      </c>
      <c r="B435" s="866" t="s">
        <v>1026</v>
      </c>
      <c r="F435" s="10">
        <f t="shared" si="30"/>
        <v>0</v>
      </c>
      <c r="G435" s="10">
        <f t="shared" si="35"/>
        <v>0</v>
      </c>
      <c r="H435" s="10">
        <f t="shared" si="35"/>
        <v>0</v>
      </c>
      <c r="I435" s="10">
        <f t="shared" si="35"/>
        <v>0</v>
      </c>
      <c r="J435" s="10">
        <f t="shared" si="35"/>
        <v>0</v>
      </c>
      <c r="K435" s="10">
        <f t="shared" si="35"/>
        <v>0</v>
      </c>
      <c r="L435" s="10">
        <f t="shared" si="35"/>
        <v>0</v>
      </c>
      <c r="M435" s="10">
        <f t="shared" si="35"/>
        <v>0</v>
      </c>
      <c r="N435" s="205"/>
      <c r="O435" s="10">
        <f t="shared" ref="O435:Z435" si="41">O39</f>
        <v>0.22923099999999999</v>
      </c>
      <c r="P435" s="10">
        <f t="shared" si="41"/>
        <v>0.229243</v>
      </c>
      <c r="Q435" s="10">
        <f t="shared" si="41"/>
        <v>0.229294</v>
      </c>
      <c r="R435" s="10">
        <f t="shared" si="41"/>
        <v>0.22933400000000001</v>
      </c>
      <c r="S435" s="10">
        <f t="shared" si="41"/>
        <v>0.234149</v>
      </c>
      <c r="T435" s="10">
        <f t="shared" si="41"/>
        <v>0.24001500000000001</v>
      </c>
      <c r="U435" s="10">
        <f t="shared" si="41"/>
        <v>0.24004300000000001</v>
      </c>
      <c r="V435" s="10">
        <f t="shared" si="41"/>
        <v>0.240172</v>
      </c>
      <c r="W435" s="10">
        <f t="shared" si="41"/>
        <v>0.25711200000000001</v>
      </c>
      <c r="X435" s="10">
        <f t="shared" si="41"/>
        <v>0.25883699999999998</v>
      </c>
      <c r="Y435" s="10">
        <f t="shared" si="41"/>
        <v>0.25887300000000002</v>
      </c>
      <c r="Z435" s="10">
        <f t="shared" si="41"/>
        <v>0.25892799999999999</v>
      </c>
      <c r="AA435" s="205">
        <f t="shared" si="37"/>
        <v>2.9052310000000001</v>
      </c>
      <c r="AB435" s="10">
        <f t="shared" ref="AB435:AM435" si="42">AB39</f>
        <v>0.25894</v>
      </c>
      <c r="AC435" s="10">
        <f t="shared" si="42"/>
        <v>0.25896400000000003</v>
      </c>
      <c r="AD435" s="10">
        <f t="shared" si="42"/>
        <v>0.25956299999999999</v>
      </c>
      <c r="AE435" s="10">
        <f t="shared" si="42"/>
        <v>0.25977600000000001</v>
      </c>
      <c r="AF435" s="10">
        <f t="shared" si="42"/>
        <v>0.27156599999999997</v>
      </c>
      <c r="AG435" s="10">
        <f t="shared" si="42"/>
        <v>0.27362599999999998</v>
      </c>
      <c r="AH435" s="10">
        <f t="shared" si="42"/>
        <v>0.27377600000000002</v>
      </c>
      <c r="AI435" s="10">
        <f t="shared" si="42"/>
        <v>0.27573900000000001</v>
      </c>
      <c r="AJ435" s="10">
        <f t="shared" si="42"/>
        <v>0.276424</v>
      </c>
      <c r="AK435" s="10">
        <f t="shared" si="42"/>
        <v>0.276509</v>
      </c>
      <c r="AL435" s="10">
        <f t="shared" si="42"/>
        <v>0.27671600000000002</v>
      </c>
      <c r="AM435" s="10">
        <f t="shared" si="42"/>
        <v>0.27674100000000001</v>
      </c>
      <c r="AN435" s="205">
        <f t="shared" si="39"/>
        <v>3.23834</v>
      </c>
      <c r="AO435" s="10">
        <f t="shared" ref="AO435:AY435" si="43">AO39</f>
        <v>3.4791149999999997</v>
      </c>
      <c r="AP435" s="10">
        <f t="shared" si="43"/>
        <v>3.7133859999999994</v>
      </c>
      <c r="AQ435" s="10">
        <f t="shared" si="43"/>
        <v>3.7795910831934174</v>
      </c>
      <c r="AR435" s="10">
        <f t="shared" si="43"/>
        <v>3.8480720956454304</v>
      </c>
      <c r="AS435" s="10">
        <f t="shared" si="43"/>
        <v>3.9090538342182355</v>
      </c>
      <c r="AT435" s="10">
        <f t="shared" si="43"/>
        <v>3.9791233800209995</v>
      </c>
      <c r="AU435" s="10">
        <f t="shared" si="43"/>
        <v>4.051295012197845</v>
      </c>
      <c r="AV435" s="10">
        <f t="shared" si="43"/>
        <v>4.1256317933399966</v>
      </c>
      <c r="AW435" s="10">
        <f t="shared" si="43"/>
        <v>4.2021986779164138</v>
      </c>
      <c r="AX435" s="10">
        <f t="shared" si="43"/>
        <v>4.2810625690301229</v>
      </c>
      <c r="AY435" s="10">
        <f t="shared" si="43"/>
        <v>4.3622923768772441</v>
      </c>
      <c r="AZ435" s="928"/>
      <c r="BA435" s="928"/>
    </row>
    <row r="436" spans="1:53">
      <c r="A436" s="869" t="s">
        <v>818</v>
      </c>
      <c r="B436" s="866" t="s">
        <v>1028</v>
      </c>
      <c r="F436" s="10">
        <f t="shared" si="30"/>
        <v>0</v>
      </c>
      <c r="G436" s="10">
        <f t="shared" si="35"/>
        <v>0</v>
      </c>
      <c r="H436" s="10">
        <f t="shared" si="35"/>
        <v>0</v>
      </c>
      <c r="I436" s="10">
        <f t="shared" si="35"/>
        <v>0</v>
      </c>
      <c r="J436" s="10">
        <f t="shared" si="35"/>
        <v>0</v>
      </c>
      <c r="K436" s="10">
        <f t="shared" si="35"/>
        <v>0</v>
      </c>
      <c r="L436" s="10">
        <f t="shared" si="35"/>
        <v>0</v>
      </c>
      <c r="M436" s="10">
        <f t="shared" si="35"/>
        <v>0</v>
      </c>
      <c r="N436" s="205"/>
      <c r="O436" s="10">
        <f t="shared" ref="O436:Z436" si="44">O40</f>
        <v>0.23419499999999999</v>
      </c>
      <c r="P436" s="10">
        <f t="shared" si="44"/>
        <v>0.23419499999999999</v>
      </c>
      <c r="Q436" s="10">
        <f t="shared" si="44"/>
        <v>0.23419499999999999</v>
      </c>
      <c r="R436" s="10">
        <f t="shared" si="44"/>
        <v>0.234234</v>
      </c>
      <c r="S436" s="10">
        <f t="shared" si="44"/>
        <v>0.23505000000000001</v>
      </c>
      <c r="T436" s="10">
        <f t="shared" si="44"/>
        <v>0.236567</v>
      </c>
      <c r="U436" s="10">
        <f t="shared" si="44"/>
        <v>0.236567</v>
      </c>
      <c r="V436" s="10">
        <f t="shared" si="44"/>
        <v>0.236567</v>
      </c>
      <c r="W436" s="10">
        <f t="shared" si="44"/>
        <v>0.25175599999999998</v>
      </c>
      <c r="X436" s="10">
        <f t="shared" si="44"/>
        <v>0.25175599999999998</v>
      </c>
      <c r="Y436" s="10">
        <f t="shared" si="44"/>
        <v>0.25175599999999998</v>
      </c>
      <c r="Z436" s="10">
        <f t="shared" si="44"/>
        <v>0.25175599999999998</v>
      </c>
      <c r="AA436" s="205">
        <f t="shared" si="37"/>
        <v>2.8885939999999994</v>
      </c>
      <c r="AB436" s="10">
        <f t="shared" ref="AB436:AM436" si="45">AB40</f>
        <v>0.25175599999999998</v>
      </c>
      <c r="AC436" s="10">
        <f t="shared" si="45"/>
        <v>0.25175599999999998</v>
      </c>
      <c r="AD436" s="10">
        <f t="shared" si="45"/>
        <v>0.25175599999999998</v>
      </c>
      <c r="AE436" s="10">
        <f t="shared" si="45"/>
        <v>0.25183499999999998</v>
      </c>
      <c r="AF436" s="10">
        <f t="shared" si="45"/>
        <v>0.25273699999999999</v>
      </c>
      <c r="AG436" s="10">
        <f t="shared" si="45"/>
        <v>0.25335299999999999</v>
      </c>
      <c r="AH436" s="10">
        <f t="shared" si="45"/>
        <v>0.25335299999999999</v>
      </c>
      <c r="AI436" s="10">
        <f t="shared" si="45"/>
        <v>0.25339</v>
      </c>
      <c r="AJ436" s="10">
        <f t="shared" si="45"/>
        <v>0.31686900000000001</v>
      </c>
      <c r="AK436" s="10">
        <f t="shared" si="45"/>
        <v>0.31907000000000002</v>
      </c>
      <c r="AL436" s="10">
        <f t="shared" si="45"/>
        <v>0.32127</v>
      </c>
      <c r="AM436" s="10">
        <f t="shared" si="45"/>
        <v>0.32127</v>
      </c>
      <c r="AN436" s="205">
        <f t="shared" si="39"/>
        <v>3.2984149999999999</v>
      </c>
      <c r="AO436" s="10">
        <f t="shared" ref="AO436:AY436" si="46">AO40</f>
        <v>3.8768970000000009</v>
      </c>
      <c r="AP436" s="10">
        <f t="shared" si="46"/>
        <v>3.9240689999999989</v>
      </c>
      <c r="AQ436" s="10">
        <f t="shared" si="46"/>
        <v>3.9940303007109161</v>
      </c>
      <c r="AR436" s="10">
        <f t="shared" si="46"/>
        <v>4.0663966580062683</v>
      </c>
      <c r="AS436" s="10">
        <f t="shared" si="46"/>
        <v>4.1308382619493136</v>
      </c>
      <c r="AT436" s="10">
        <f t="shared" si="46"/>
        <v>4.2048832797655882</v>
      </c>
      <c r="AU436" s="10">
        <f t="shared" si="46"/>
        <v>4.2811496481163509</v>
      </c>
      <c r="AV436" s="10">
        <f t="shared" si="46"/>
        <v>4.3597040075176361</v>
      </c>
      <c r="AW436" s="10">
        <f t="shared" si="46"/>
        <v>4.4406149977009619</v>
      </c>
      <c r="AX436" s="10">
        <f t="shared" si="46"/>
        <v>4.5239533175897853</v>
      </c>
      <c r="AY436" s="10">
        <f t="shared" si="46"/>
        <v>4.6097917870752756</v>
      </c>
      <c r="AZ436" s="928"/>
      <c r="BA436" s="928"/>
    </row>
    <row r="437" spans="1:53">
      <c r="A437" s="869" t="s">
        <v>607</v>
      </c>
      <c r="B437" s="866" t="s">
        <v>1026</v>
      </c>
      <c r="F437" s="10">
        <f t="shared" si="30"/>
        <v>0</v>
      </c>
      <c r="G437" s="10">
        <f t="shared" si="35"/>
        <v>0</v>
      </c>
      <c r="H437" s="10">
        <f t="shared" si="35"/>
        <v>0</v>
      </c>
      <c r="I437" s="10">
        <f t="shared" si="35"/>
        <v>0</v>
      </c>
      <c r="J437" s="10">
        <f t="shared" si="35"/>
        <v>0</v>
      </c>
      <c r="K437" s="10">
        <f t="shared" si="35"/>
        <v>0</v>
      </c>
      <c r="L437" s="10">
        <f t="shared" si="35"/>
        <v>0</v>
      </c>
      <c r="M437" s="10">
        <f t="shared" si="35"/>
        <v>0</v>
      </c>
      <c r="N437" s="205"/>
      <c r="O437" s="10">
        <f t="shared" ref="O437:Z437" si="47">O41</f>
        <v>0.42905599999999999</v>
      </c>
      <c r="P437" s="10">
        <f t="shared" si="47"/>
        <v>0.42944300000000002</v>
      </c>
      <c r="Q437" s="10">
        <f t="shared" si="47"/>
        <v>0.42944300000000002</v>
      </c>
      <c r="R437" s="10">
        <f t="shared" si="47"/>
        <v>0.43083900000000003</v>
      </c>
      <c r="S437" s="10">
        <f t="shared" si="47"/>
        <v>0.43217299999999997</v>
      </c>
      <c r="T437" s="10">
        <f t="shared" si="47"/>
        <v>0.43263099999999999</v>
      </c>
      <c r="U437" s="10">
        <f t="shared" si="47"/>
        <v>0.43555100000000002</v>
      </c>
      <c r="V437" s="10">
        <f t="shared" si="47"/>
        <v>0.43887799999999999</v>
      </c>
      <c r="W437" s="10">
        <f t="shared" si="47"/>
        <v>0.46490599999999999</v>
      </c>
      <c r="X437" s="10">
        <f t="shared" si="47"/>
        <v>0.466138</v>
      </c>
      <c r="Y437" s="10">
        <f t="shared" si="47"/>
        <v>0.46651300000000001</v>
      </c>
      <c r="Z437" s="10">
        <f t="shared" si="47"/>
        <v>0.46651300000000001</v>
      </c>
      <c r="AA437" s="205">
        <f t="shared" si="37"/>
        <v>5.3220840000000003</v>
      </c>
      <c r="AB437" s="10">
        <f t="shared" ref="AB437:AM437" si="48">AB41</f>
        <v>0.46651300000000001</v>
      </c>
      <c r="AC437" s="10">
        <f t="shared" si="48"/>
        <v>0.46762599999999999</v>
      </c>
      <c r="AD437" s="10">
        <f t="shared" si="48"/>
        <v>0.46762599999999999</v>
      </c>
      <c r="AE437" s="10">
        <f t="shared" si="48"/>
        <v>0.46985300000000002</v>
      </c>
      <c r="AF437" s="10">
        <f t="shared" si="48"/>
        <v>0.47047499999999998</v>
      </c>
      <c r="AG437" s="10">
        <f t="shared" si="48"/>
        <v>0.47663100000000003</v>
      </c>
      <c r="AH437" s="10">
        <f t="shared" si="48"/>
        <v>0.47847499999999998</v>
      </c>
      <c r="AI437" s="10">
        <f t="shared" si="48"/>
        <v>0.47887800000000003</v>
      </c>
      <c r="AJ437" s="10">
        <f t="shared" si="48"/>
        <v>0.47919800000000001</v>
      </c>
      <c r="AK437" s="10">
        <f t="shared" si="48"/>
        <v>0.47953699999999999</v>
      </c>
      <c r="AL437" s="10">
        <f t="shared" si="48"/>
        <v>0.47953699999999999</v>
      </c>
      <c r="AM437" s="10">
        <f t="shared" si="48"/>
        <v>0.47953699999999999</v>
      </c>
      <c r="AN437" s="205">
        <f t="shared" si="39"/>
        <v>5.6938859999999991</v>
      </c>
      <c r="AO437" s="10">
        <f t="shared" ref="AO437:AY437" si="49">AO41</f>
        <v>5.9164810000000001</v>
      </c>
      <c r="AP437" s="10">
        <f t="shared" si="49"/>
        <v>6.1800649999999999</v>
      </c>
      <c r="AQ437" s="10">
        <f t="shared" si="49"/>
        <v>6.2902479213191755</v>
      </c>
      <c r="AR437" s="10">
        <f t="shared" si="49"/>
        <v>6.4042185961208924</v>
      </c>
      <c r="AS437" s="10">
        <f t="shared" si="49"/>
        <v>6.5057084784527976</v>
      </c>
      <c r="AT437" s="10">
        <f t="shared" si="49"/>
        <v>6.6223228965557253</v>
      </c>
      <c r="AU437" s="10">
        <f t="shared" si="49"/>
        <v>6.74243574720174</v>
      </c>
      <c r="AV437" s="10">
        <f t="shared" si="49"/>
        <v>6.8661519833671347</v>
      </c>
      <c r="AW437" s="10">
        <f t="shared" si="49"/>
        <v>6.9935797066174938</v>
      </c>
      <c r="AX437" s="10">
        <f t="shared" si="49"/>
        <v>7.1248302615653616</v>
      </c>
      <c r="AY437" s="10">
        <f t="shared" si="49"/>
        <v>7.2600183331616677</v>
      </c>
      <c r="AZ437" s="928"/>
      <c r="BA437" s="928"/>
    </row>
    <row r="438" spans="1:53">
      <c r="A438" s="869" t="s">
        <v>818</v>
      </c>
      <c r="B438" s="866" t="s">
        <v>1028</v>
      </c>
      <c r="F438" s="10">
        <f t="shared" si="30"/>
        <v>0</v>
      </c>
      <c r="G438" s="10">
        <f t="shared" si="35"/>
        <v>0</v>
      </c>
      <c r="H438" s="10">
        <f t="shared" si="35"/>
        <v>0</v>
      </c>
      <c r="I438" s="10">
        <f t="shared" si="35"/>
        <v>0</v>
      </c>
      <c r="J438" s="10">
        <f t="shared" si="35"/>
        <v>0</v>
      </c>
      <c r="K438" s="10">
        <f t="shared" si="35"/>
        <v>0</v>
      </c>
      <c r="L438" s="10">
        <f t="shared" si="35"/>
        <v>0</v>
      </c>
      <c r="M438" s="10">
        <f t="shared" si="35"/>
        <v>0</v>
      </c>
      <c r="N438" s="205"/>
      <c r="O438" s="10">
        <f t="shared" ref="O438:Z438" si="50">O42</f>
        <v>0.23527699999999999</v>
      </c>
      <c r="P438" s="10">
        <f t="shared" si="50"/>
        <v>0.23527699999999999</v>
      </c>
      <c r="Q438" s="10">
        <f t="shared" si="50"/>
        <v>0.23527699999999999</v>
      </c>
      <c r="R438" s="10">
        <f t="shared" si="50"/>
        <v>0.235317</v>
      </c>
      <c r="S438" s="10">
        <f t="shared" si="50"/>
        <v>0.235374</v>
      </c>
      <c r="T438" s="10">
        <f t="shared" si="50"/>
        <v>0.23603499999999999</v>
      </c>
      <c r="U438" s="10">
        <f t="shared" si="50"/>
        <v>0.236346</v>
      </c>
      <c r="V438" s="10">
        <f t="shared" si="50"/>
        <v>0.236346</v>
      </c>
      <c r="W438" s="10">
        <f t="shared" si="50"/>
        <v>0.248391</v>
      </c>
      <c r="X438" s="10">
        <f t="shared" si="50"/>
        <v>0.24868399999999999</v>
      </c>
      <c r="Y438" s="10">
        <f t="shared" si="50"/>
        <v>0.24868399999999999</v>
      </c>
      <c r="Z438" s="10">
        <f t="shared" si="50"/>
        <v>0.24868399999999999</v>
      </c>
      <c r="AA438" s="205">
        <f t="shared" si="37"/>
        <v>2.8796919999999995</v>
      </c>
      <c r="AB438" s="10">
        <f t="shared" ref="AB438:AM438" si="51">AB42</f>
        <v>0.24868399999999999</v>
      </c>
      <c r="AC438" s="10">
        <f t="shared" si="51"/>
        <v>0.24868399999999999</v>
      </c>
      <c r="AD438" s="10">
        <f t="shared" si="51"/>
        <v>0.24868399999999999</v>
      </c>
      <c r="AE438" s="10">
        <f t="shared" si="51"/>
        <v>0.25119999999999998</v>
      </c>
      <c r="AF438" s="10">
        <f t="shared" si="51"/>
        <v>0.25197999999999998</v>
      </c>
      <c r="AG438" s="10">
        <f t="shared" si="51"/>
        <v>0.25566899999999998</v>
      </c>
      <c r="AH438" s="10">
        <f t="shared" si="51"/>
        <v>0.25569799999999998</v>
      </c>
      <c r="AI438" s="10">
        <f t="shared" si="51"/>
        <v>0.25628499999999999</v>
      </c>
      <c r="AJ438" s="10">
        <f t="shared" si="51"/>
        <v>0.29563699999999998</v>
      </c>
      <c r="AK438" s="10">
        <f t="shared" si="51"/>
        <v>0.29617900000000003</v>
      </c>
      <c r="AL438" s="10">
        <f t="shared" si="51"/>
        <v>0.29617900000000003</v>
      </c>
      <c r="AM438" s="10">
        <f t="shared" si="51"/>
        <v>0.29617900000000003</v>
      </c>
      <c r="AN438" s="205">
        <f t="shared" si="39"/>
        <v>3.2010579999999997</v>
      </c>
      <c r="AO438" s="10">
        <f t="shared" ref="AO438:AY438" si="52">AO42</f>
        <v>3.5931329999999999</v>
      </c>
      <c r="AP438" s="10">
        <f t="shared" si="52"/>
        <v>3.6745599999999996</v>
      </c>
      <c r="AQ438" s="10">
        <f t="shared" si="52"/>
        <v>3.740072863596513</v>
      </c>
      <c r="AR438" s="10">
        <f t="shared" si="52"/>
        <v>3.8078378600487186</v>
      </c>
      <c r="AS438" s="10">
        <f t="shared" si="52"/>
        <v>3.8681819926786383</v>
      </c>
      <c r="AT438" s="10">
        <f t="shared" si="52"/>
        <v>3.9375189132748285</v>
      </c>
      <c r="AU438" s="10">
        <f t="shared" si="52"/>
        <v>4.008935941488903</v>
      </c>
      <c r="AV438" s="10">
        <f t="shared" si="52"/>
        <v>4.0824954805494</v>
      </c>
      <c r="AW438" s="10">
        <f t="shared" si="52"/>
        <v>4.1582618057817138</v>
      </c>
      <c r="AX438" s="10">
        <f t="shared" si="52"/>
        <v>4.236301120770996</v>
      </c>
      <c r="AY438" s="10">
        <f t="shared" si="52"/>
        <v>4.3166816152099576</v>
      </c>
      <c r="AZ438" s="928"/>
      <c r="BA438" s="928"/>
    </row>
    <row r="439" spans="1:53">
      <c r="A439" s="869" t="s">
        <v>607</v>
      </c>
      <c r="B439" s="866" t="s">
        <v>1026</v>
      </c>
      <c r="F439" s="10">
        <f t="shared" si="30"/>
        <v>0</v>
      </c>
      <c r="G439" s="10">
        <f t="shared" si="35"/>
        <v>0</v>
      </c>
      <c r="H439" s="10">
        <f t="shared" si="35"/>
        <v>0</v>
      </c>
      <c r="I439" s="10">
        <f t="shared" si="35"/>
        <v>0</v>
      </c>
      <c r="J439" s="10">
        <f t="shared" si="35"/>
        <v>0</v>
      </c>
      <c r="K439" s="10">
        <f t="shared" si="35"/>
        <v>0</v>
      </c>
      <c r="L439" s="10">
        <f t="shared" si="35"/>
        <v>0</v>
      </c>
      <c r="M439" s="10">
        <f t="shared" si="35"/>
        <v>0</v>
      </c>
      <c r="N439" s="205"/>
      <c r="O439" s="10">
        <f t="shared" ref="O439:Z439" si="53">O43</f>
        <v>0.98775299999999999</v>
      </c>
      <c r="P439" s="10">
        <f t="shared" si="53"/>
        <v>0.98775299999999999</v>
      </c>
      <c r="Q439" s="10">
        <f t="shared" si="53"/>
        <v>0.98783699999999997</v>
      </c>
      <c r="R439" s="10">
        <f t="shared" si="53"/>
        <v>0.98813899999999999</v>
      </c>
      <c r="S439" s="10">
        <f t="shared" si="53"/>
        <v>0.98831599999999997</v>
      </c>
      <c r="T439" s="10">
        <f t="shared" si="53"/>
        <v>0.988402</v>
      </c>
      <c r="U439" s="10">
        <f t="shared" si="53"/>
        <v>0.98851</v>
      </c>
      <c r="V439" s="10">
        <f t="shared" si="53"/>
        <v>0.98851</v>
      </c>
      <c r="W439" s="10">
        <f t="shared" si="53"/>
        <v>1.0416129999999999</v>
      </c>
      <c r="X439" s="10">
        <f t="shared" si="53"/>
        <v>1.0425679999999999</v>
      </c>
      <c r="Y439" s="10">
        <f t="shared" si="53"/>
        <v>1.0497449999999999</v>
      </c>
      <c r="Z439" s="10">
        <f t="shared" si="53"/>
        <v>1.0506519999999999</v>
      </c>
      <c r="AA439" s="205">
        <f t="shared" si="37"/>
        <v>12.089797999999996</v>
      </c>
      <c r="AB439" s="10">
        <f t="shared" ref="AB439:AM439" si="54">AB43</f>
        <v>1.0506519999999999</v>
      </c>
      <c r="AC439" s="10">
        <f t="shared" si="54"/>
        <v>1.0506519999999999</v>
      </c>
      <c r="AD439" s="10">
        <f t="shared" si="54"/>
        <v>1.0506519999999999</v>
      </c>
      <c r="AE439" s="10">
        <f t="shared" si="54"/>
        <v>1.0506819999999999</v>
      </c>
      <c r="AF439" s="10">
        <f t="shared" si="54"/>
        <v>1.0506819999999999</v>
      </c>
      <c r="AG439" s="10">
        <f t="shared" si="54"/>
        <v>1.05084</v>
      </c>
      <c r="AH439" s="10">
        <f t="shared" si="54"/>
        <v>1.050962</v>
      </c>
      <c r="AI439" s="10">
        <f t="shared" si="54"/>
        <v>1.050962</v>
      </c>
      <c r="AJ439" s="10">
        <f t="shared" si="54"/>
        <v>1.050962</v>
      </c>
      <c r="AK439" s="10">
        <f t="shared" si="54"/>
        <v>1.0512360000000001</v>
      </c>
      <c r="AL439" s="10">
        <f t="shared" si="54"/>
        <v>1.051261</v>
      </c>
      <c r="AM439" s="10">
        <f t="shared" si="54"/>
        <v>1.051261</v>
      </c>
      <c r="AN439" s="205">
        <f t="shared" si="39"/>
        <v>12.610804</v>
      </c>
      <c r="AO439" s="10">
        <f t="shared" ref="AO439:AY439" si="55">AO43</f>
        <v>12.622690000000002</v>
      </c>
      <c r="AP439" s="10">
        <f t="shared" si="55"/>
        <v>12.648496999999997</v>
      </c>
      <c r="AQ439" s="10">
        <f t="shared" si="55"/>
        <v>12.874004069870107</v>
      </c>
      <c r="AR439" s="10">
        <f t="shared" si="55"/>
        <v>13.107263386449706</v>
      </c>
      <c r="AS439" s="10">
        <f t="shared" si="55"/>
        <v>13.314978753877954</v>
      </c>
      <c r="AT439" s="10">
        <f t="shared" si="55"/>
        <v>13.553648916332818</v>
      </c>
      <c r="AU439" s="10">
        <f t="shared" si="55"/>
        <v>13.799479183661328</v>
      </c>
      <c r="AV439" s="10">
        <f t="shared" si="55"/>
        <v>14.052684359009692</v>
      </c>
      <c r="AW439" s="10">
        <f t="shared" si="55"/>
        <v>14.313485689618512</v>
      </c>
      <c r="AX439" s="10">
        <f t="shared" si="55"/>
        <v>14.582111060145593</v>
      </c>
      <c r="AY439" s="10">
        <f t="shared" si="55"/>
        <v>14.858795191788488</v>
      </c>
      <c r="AZ439" s="928"/>
      <c r="BA439" s="928"/>
    </row>
    <row r="440" spans="1:53">
      <c r="A440" s="869" t="s">
        <v>818</v>
      </c>
      <c r="B440" s="866" t="s">
        <v>1027</v>
      </c>
      <c r="F440" s="10">
        <f t="shared" si="30"/>
        <v>0</v>
      </c>
      <c r="G440" s="10">
        <f t="shared" si="35"/>
        <v>0</v>
      </c>
      <c r="H440" s="10">
        <f t="shared" si="35"/>
        <v>0</v>
      </c>
      <c r="I440" s="10">
        <f t="shared" si="35"/>
        <v>0</v>
      </c>
      <c r="J440" s="10">
        <f t="shared" si="35"/>
        <v>0</v>
      </c>
      <c r="K440" s="10">
        <f t="shared" si="35"/>
        <v>0</v>
      </c>
      <c r="L440" s="10">
        <f t="shared" si="35"/>
        <v>0</v>
      </c>
      <c r="M440" s="10">
        <f t="shared" si="35"/>
        <v>0</v>
      </c>
      <c r="N440" s="205"/>
      <c r="O440" s="10">
        <f t="shared" ref="O440:Z440" si="56">O44</f>
        <v>0.61127900000000002</v>
      </c>
      <c r="P440" s="10">
        <f t="shared" si="56"/>
        <v>0.61127900000000002</v>
      </c>
      <c r="Q440" s="10">
        <f t="shared" si="56"/>
        <v>0.61127900000000002</v>
      </c>
      <c r="R440" s="10">
        <f t="shared" si="56"/>
        <v>0.61131500000000005</v>
      </c>
      <c r="S440" s="10">
        <f t="shared" si="56"/>
        <v>0.61136800000000002</v>
      </c>
      <c r="T440" s="10">
        <f t="shared" si="56"/>
        <v>0.61143700000000001</v>
      </c>
      <c r="U440" s="10">
        <f t="shared" si="56"/>
        <v>0.61143700000000001</v>
      </c>
      <c r="V440" s="10">
        <f t="shared" si="56"/>
        <v>0.61143700000000001</v>
      </c>
      <c r="W440" s="10">
        <f t="shared" si="56"/>
        <v>0.61999899999999997</v>
      </c>
      <c r="X440" s="10">
        <f t="shared" si="56"/>
        <v>0.61999899999999997</v>
      </c>
      <c r="Y440" s="10">
        <f t="shared" si="56"/>
        <v>0.61999899999999997</v>
      </c>
      <c r="Z440" s="10">
        <f t="shared" si="56"/>
        <v>0.61999899999999997</v>
      </c>
      <c r="AA440" s="205">
        <f t="shared" si="37"/>
        <v>7.3708270000000002</v>
      </c>
      <c r="AB440" s="10">
        <f t="shared" ref="AB440:AM440" si="57">AB44</f>
        <v>0.61999899999999997</v>
      </c>
      <c r="AC440" s="10">
        <f t="shared" si="57"/>
        <v>0.61999899999999997</v>
      </c>
      <c r="AD440" s="10">
        <f t="shared" si="57"/>
        <v>0.61999899999999997</v>
      </c>
      <c r="AE440" s="10">
        <f t="shared" si="57"/>
        <v>0.62003799999999998</v>
      </c>
      <c r="AF440" s="10">
        <f t="shared" si="57"/>
        <v>0.62017</v>
      </c>
      <c r="AG440" s="10">
        <f t="shared" si="57"/>
        <v>0.62017</v>
      </c>
      <c r="AH440" s="10">
        <f t="shared" si="57"/>
        <v>0.62017</v>
      </c>
      <c r="AI440" s="10">
        <f t="shared" si="57"/>
        <v>0.62017</v>
      </c>
      <c r="AJ440" s="10">
        <f t="shared" si="57"/>
        <v>0.64411600000000002</v>
      </c>
      <c r="AK440" s="10">
        <f t="shared" si="57"/>
        <v>0.64411600000000002</v>
      </c>
      <c r="AL440" s="10">
        <f t="shared" si="57"/>
        <v>0.64411600000000002</v>
      </c>
      <c r="AM440" s="10">
        <f t="shared" si="57"/>
        <v>0.64411600000000002</v>
      </c>
      <c r="AN440" s="205">
        <f t="shared" si="39"/>
        <v>7.537179000000001</v>
      </c>
      <c r="AO440" s="10">
        <f t="shared" ref="AO440:AY440" si="58">AO44</f>
        <v>7.7645290000000013</v>
      </c>
      <c r="AP440" s="10">
        <f t="shared" si="58"/>
        <v>7.8976320000000015</v>
      </c>
      <c r="AQ440" s="10">
        <f t="shared" si="58"/>
        <v>8.0384370182746974</v>
      </c>
      <c r="AR440" s="10">
        <f t="shared" si="58"/>
        <v>8.184082484523941</v>
      </c>
      <c r="AS440" s="10">
        <f t="shared" si="58"/>
        <v>8.3137784897246458</v>
      </c>
      <c r="AT440" s="10">
        <f t="shared" si="58"/>
        <v>8.4628024498401242</v>
      </c>
      <c r="AU440" s="10">
        <f t="shared" si="58"/>
        <v>8.6162971287590651</v>
      </c>
      <c r="AV440" s="10">
        <f t="shared" si="58"/>
        <v>8.7743966480455757</v>
      </c>
      <c r="AW440" s="10">
        <f t="shared" si="58"/>
        <v>8.9372391529106814</v>
      </c>
      <c r="AX440" s="10">
        <f t="shared" si="58"/>
        <v>9.1049669329217409</v>
      </c>
      <c r="AY440" s="10">
        <f t="shared" si="58"/>
        <v>9.2777265463331329</v>
      </c>
      <c r="AZ440" s="928"/>
      <c r="BA440" s="928"/>
    </row>
    <row r="441" spans="1:53">
      <c r="A441" s="869" t="s">
        <v>612</v>
      </c>
      <c r="B441" s="866" t="s">
        <v>819</v>
      </c>
      <c r="F441" s="10">
        <f t="shared" si="30"/>
        <v>0</v>
      </c>
      <c r="G441" s="10">
        <f t="shared" si="35"/>
        <v>0</v>
      </c>
      <c r="H441" s="10">
        <f t="shared" si="35"/>
        <v>0</v>
      </c>
      <c r="I441" s="10">
        <f t="shared" si="35"/>
        <v>0</v>
      </c>
      <c r="J441" s="10">
        <f t="shared" si="35"/>
        <v>0</v>
      </c>
      <c r="K441" s="10">
        <f t="shared" si="35"/>
        <v>0</v>
      </c>
      <c r="L441" s="10">
        <f t="shared" si="35"/>
        <v>0</v>
      </c>
      <c r="M441" s="10">
        <f t="shared" si="35"/>
        <v>0</v>
      </c>
      <c r="N441" s="205"/>
      <c r="O441" s="10">
        <f t="shared" ref="O441:Z441" si="59">O45</f>
        <v>2.4695000000000002E-2</v>
      </c>
      <c r="P441" s="10">
        <f t="shared" si="59"/>
        <v>2.4695000000000002E-2</v>
      </c>
      <c r="Q441" s="10">
        <f t="shared" si="59"/>
        <v>2.4695000000000002E-2</v>
      </c>
      <c r="R441" s="10">
        <f t="shared" si="59"/>
        <v>2.4695000000000002E-2</v>
      </c>
      <c r="S441" s="10">
        <f t="shared" si="59"/>
        <v>2.4695000000000002E-2</v>
      </c>
      <c r="T441" s="10">
        <f t="shared" si="59"/>
        <v>2.4695000000000002E-2</v>
      </c>
      <c r="U441" s="10">
        <f t="shared" si="59"/>
        <v>2.4695000000000002E-2</v>
      </c>
      <c r="V441" s="10">
        <f t="shared" si="59"/>
        <v>2.4695000000000002E-2</v>
      </c>
      <c r="W441" s="10">
        <f t="shared" si="59"/>
        <v>2.5804000000000001E-2</v>
      </c>
      <c r="X441" s="10">
        <f t="shared" si="59"/>
        <v>2.5804000000000001E-2</v>
      </c>
      <c r="Y441" s="10">
        <f t="shared" si="59"/>
        <v>2.5804000000000001E-2</v>
      </c>
      <c r="Z441" s="10">
        <f t="shared" si="59"/>
        <v>2.5804000000000001E-2</v>
      </c>
      <c r="AA441" s="205">
        <f t="shared" si="37"/>
        <v>0.30077599999999999</v>
      </c>
      <c r="AB441" s="10">
        <f t="shared" ref="AB441:AM441" si="60">AB45</f>
        <v>2.5804000000000001E-2</v>
      </c>
      <c r="AC441" s="10">
        <f t="shared" si="60"/>
        <v>2.5804000000000001E-2</v>
      </c>
      <c r="AD441" s="10">
        <f t="shared" si="60"/>
        <v>2.5804000000000001E-2</v>
      </c>
      <c r="AE441" s="10">
        <f t="shared" si="60"/>
        <v>2.5804000000000001E-2</v>
      </c>
      <c r="AF441" s="10">
        <f t="shared" si="60"/>
        <v>2.5804000000000001E-2</v>
      </c>
      <c r="AG441" s="10">
        <f t="shared" si="60"/>
        <v>2.5804000000000001E-2</v>
      </c>
      <c r="AH441" s="10">
        <f t="shared" si="60"/>
        <v>2.5804000000000001E-2</v>
      </c>
      <c r="AI441" s="10">
        <f t="shared" si="60"/>
        <v>2.5804000000000001E-2</v>
      </c>
      <c r="AJ441" s="10">
        <f t="shared" si="60"/>
        <v>2.5804000000000001E-2</v>
      </c>
      <c r="AK441" s="10">
        <f t="shared" si="60"/>
        <v>2.6096000000000001E-2</v>
      </c>
      <c r="AL441" s="10">
        <f t="shared" si="60"/>
        <v>2.9652000000000001E-2</v>
      </c>
      <c r="AM441" s="10">
        <f t="shared" si="60"/>
        <v>2.9652000000000001E-2</v>
      </c>
      <c r="AN441" s="205">
        <f t="shared" si="39"/>
        <v>0.31763599999999997</v>
      </c>
      <c r="AO441" s="10">
        <f t="shared" ref="AO441:AY441" si="61">AO45</f>
        <v>0.3558420000000001</v>
      </c>
      <c r="AP441" s="10">
        <f t="shared" si="61"/>
        <v>0.36287700000000012</v>
      </c>
      <c r="AQ441" s="10">
        <f t="shared" si="61"/>
        <v>0.36934664844860676</v>
      </c>
      <c r="AR441" s="10">
        <f t="shared" si="61"/>
        <v>0.3760387037198738</v>
      </c>
      <c r="AS441" s="10">
        <f t="shared" si="61"/>
        <v>0.38199792001144267</v>
      </c>
      <c r="AT441" s="10">
        <f t="shared" si="61"/>
        <v>0.38884520886648483</v>
      </c>
      <c r="AU441" s="10">
        <f t="shared" si="61"/>
        <v>0.39589791638717819</v>
      </c>
      <c r="AV441" s="10">
        <f t="shared" si="61"/>
        <v>0.40316220513349238</v>
      </c>
      <c r="AW441" s="10">
        <f t="shared" si="61"/>
        <v>0.41064442254219607</v>
      </c>
      <c r="AX441" s="10">
        <f t="shared" si="61"/>
        <v>0.41835110647316082</v>
      </c>
      <c r="AY441" s="10">
        <f t="shared" si="61"/>
        <v>0.42628899092205458</v>
      </c>
      <c r="AZ441" s="928"/>
      <c r="BA441" s="928"/>
    </row>
    <row r="442" spans="1:53">
      <c r="A442" s="869">
        <v>403.5</v>
      </c>
      <c r="B442" s="866" t="s">
        <v>820</v>
      </c>
      <c r="F442" s="10">
        <f t="shared" si="30"/>
        <v>0</v>
      </c>
      <c r="G442" s="10">
        <f t="shared" si="35"/>
        <v>0</v>
      </c>
      <c r="H442" s="10">
        <f t="shared" si="35"/>
        <v>0</v>
      </c>
      <c r="I442" s="10">
        <f t="shared" si="35"/>
        <v>0</v>
      </c>
      <c r="J442" s="10">
        <f t="shared" si="35"/>
        <v>0</v>
      </c>
      <c r="K442" s="10">
        <f t="shared" si="35"/>
        <v>0</v>
      </c>
      <c r="L442" s="10">
        <f t="shared" si="35"/>
        <v>0</v>
      </c>
      <c r="M442" s="10">
        <f t="shared" si="35"/>
        <v>0</v>
      </c>
      <c r="N442" s="205"/>
      <c r="O442" s="10">
        <f t="shared" ref="O442:Z442" si="62">O46</f>
        <v>0.24737400000000001</v>
      </c>
      <c r="P442" s="10">
        <f t="shared" si="62"/>
        <v>0.24786900000000001</v>
      </c>
      <c r="Q442" s="10">
        <f t="shared" si="62"/>
        <v>0.248698</v>
      </c>
      <c r="R442" s="10">
        <f t="shared" si="62"/>
        <v>0.24904000000000001</v>
      </c>
      <c r="S442" s="10">
        <f t="shared" si="62"/>
        <v>0.249809</v>
      </c>
      <c r="T442" s="10">
        <f t="shared" si="62"/>
        <v>0.25025900000000001</v>
      </c>
      <c r="U442" s="10">
        <f t="shared" si="62"/>
        <v>0.25105499999999997</v>
      </c>
      <c r="V442" s="10">
        <f t="shared" si="62"/>
        <v>0.25141000000000002</v>
      </c>
      <c r="W442" s="10">
        <f t="shared" si="62"/>
        <v>0.25860699999999998</v>
      </c>
      <c r="X442" s="10">
        <f t="shared" si="62"/>
        <v>0.25895400000000002</v>
      </c>
      <c r="Y442" s="10">
        <f t="shared" si="62"/>
        <v>0.25958300000000001</v>
      </c>
      <c r="Z442" s="10">
        <f t="shared" si="62"/>
        <v>0.26196900000000001</v>
      </c>
      <c r="AA442" s="205">
        <f t="shared" si="37"/>
        <v>3.0346270000000004</v>
      </c>
      <c r="AB442" s="10">
        <f t="shared" ref="AB442:AM442" si="63">AB46</f>
        <v>0.26208599999999999</v>
      </c>
      <c r="AC442" s="10">
        <f t="shared" si="63"/>
        <v>0.26221899999999998</v>
      </c>
      <c r="AD442" s="10">
        <f t="shared" si="63"/>
        <v>0.26245099999999999</v>
      </c>
      <c r="AE442" s="10">
        <f t="shared" si="63"/>
        <v>0.26269300000000001</v>
      </c>
      <c r="AF442" s="10">
        <f t="shared" si="63"/>
        <v>0.26297900000000002</v>
      </c>
      <c r="AG442" s="10">
        <f t="shared" si="63"/>
        <v>0.26325300000000001</v>
      </c>
      <c r="AH442" s="10">
        <f t="shared" si="63"/>
        <v>0.26344699999999999</v>
      </c>
      <c r="AI442" s="10">
        <f t="shared" si="63"/>
        <v>0.26370500000000002</v>
      </c>
      <c r="AJ442" s="10">
        <f t="shared" si="63"/>
        <v>0.26415699999999998</v>
      </c>
      <c r="AK442" s="10">
        <f t="shared" si="63"/>
        <v>0.264575</v>
      </c>
      <c r="AL442" s="10">
        <f t="shared" si="63"/>
        <v>0.26502300000000001</v>
      </c>
      <c r="AM442" s="10">
        <f t="shared" si="63"/>
        <v>0.26531900000000003</v>
      </c>
      <c r="AN442" s="205">
        <f t="shared" si="39"/>
        <v>3.1619070000000002</v>
      </c>
      <c r="AO442" s="10">
        <f t="shared" ref="AO442:AY442" si="64">AO46</f>
        <v>3.201619</v>
      </c>
      <c r="AP442" s="10">
        <f t="shared" si="64"/>
        <v>3.2365219999999999</v>
      </c>
      <c r="AQ442" s="10">
        <f t="shared" si="64"/>
        <v>3.2942251874055981</v>
      </c>
      <c r="AR442" s="10">
        <f t="shared" si="64"/>
        <v>3.3539120347689519</v>
      </c>
      <c r="AS442" s="10">
        <f t="shared" si="64"/>
        <v>3.4070626467681171</v>
      </c>
      <c r="AT442" s="10">
        <f t="shared" si="64"/>
        <v>3.4681340318922742</v>
      </c>
      <c r="AU442" s="10">
        <f t="shared" si="64"/>
        <v>3.5310375585701554</v>
      </c>
      <c r="AV442" s="10">
        <f t="shared" si="64"/>
        <v>3.5958281910483731</v>
      </c>
      <c r="AW442" s="10">
        <f t="shared" si="64"/>
        <v>3.6625625425009383</v>
      </c>
      <c r="AX442" s="10">
        <f t="shared" si="64"/>
        <v>3.73129892449708</v>
      </c>
      <c r="AY442" s="10">
        <f t="shared" si="64"/>
        <v>3.8020973979531063</v>
      </c>
      <c r="AZ442" s="928"/>
      <c r="BA442" s="928"/>
    </row>
    <row r="443" spans="1:53">
      <c r="A443" s="869">
        <v>403.5</v>
      </c>
      <c r="B443" s="866" t="s">
        <v>821</v>
      </c>
      <c r="F443" s="10">
        <f t="shared" si="30"/>
        <v>0</v>
      </c>
      <c r="G443" s="10">
        <f t="shared" si="35"/>
        <v>0</v>
      </c>
      <c r="H443" s="10">
        <f t="shared" si="35"/>
        <v>0</v>
      </c>
      <c r="I443" s="10">
        <f t="shared" si="35"/>
        <v>0</v>
      </c>
      <c r="J443" s="10">
        <f t="shared" si="35"/>
        <v>0</v>
      </c>
      <c r="K443" s="10">
        <f t="shared" si="35"/>
        <v>0</v>
      </c>
      <c r="L443" s="10">
        <f t="shared" si="35"/>
        <v>0</v>
      </c>
      <c r="M443" s="10">
        <f t="shared" si="35"/>
        <v>0</v>
      </c>
      <c r="N443" s="205"/>
      <c r="O443" s="10">
        <f t="shared" ref="O443:Z443" si="65">O47</f>
        <v>0.14991499999999999</v>
      </c>
      <c r="P443" s="10">
        <f t="shared" si="65"/>
        <v>0.15024799999999999</v>
      </c>
      <c r="Q443" s="10">
        <f t="shared" si="65"/>
        <v>0.15070900000000001</v>
      </c>
      <c r="R443" s="10">
        <f t="shared" si="65"/>
        <v>0.15116599999999999</v>
      </c>
      <c r="S443" s="10">
        <f t="shared" si="65"/>
        <v>0.15162400000000001</v>
      </c>
      <c r="T443" s="10">
        <f t="shared" si="65"/>
        <v>0.152055</v>
      </c>
      <c r="U443" s="10">
        <f t="shared" si="65"/>
        <v>0.152471</v>
      </c>
      <c r="V443" s="10">
        <f t="shared" si="65"/>
        <v>0.152889</v>
      </c>
      <c r="W443" s="10">
        <f t="shared" si="65"/>
        <v>0.15648999999999999</v>
      </c>
      <c r="X443" s="10">
        <f t="shared" si="65"/>
        <v>0.15678300000000001</v>
      </c>
      <c r="Y443" s="10">
        <f t="shared" si="65"/>
        <v>0.15703600000000001</v>
      </c>
      <c r="Z443" s="10">
        <f t="shared" si="65"/>
        <v>0.15717400000000001</v>
      </c>
      <c r="AA443" s="205">
        <f t="shared" si="37"/>
        <v>1.83856</v>
      </c>
      <c r="AB443" s="10">
        <f t="shared" ref="AB443:AM443" si="66">AB47</f>
        <v>0.15728400000000001</v>
      </c>
      <c r="AC443" s="10">
        <f t="shared" si="66"/>
        <v>0.15748899999999999</v>
      </c>
      <c r="AD443" s="10">
        <f t="shared" si="66"/>
        <v>0.157775</v>
      </c>
      <c r="AE443" s="10">
        <f t="shared" si="66"/>
        <v>0.158031</v>
      </c>
      <c r="AF443" s="10">
        <f t="shared" si="66"/>
        <v>0.15834899999999999</v>
      </c>
      <c r="AG443" s="10">
        <f t="shared" si="66"/>
        <v>0.158665</v>
      </c>
      <c r="AH443" s="10">
        <f t="shared" si="66"/>
        <v>0.15898399999999999</v>
      </c>
      <c r="AI443" s="10">
        <f t="shared" si="66"/>
        <v>0.159105</v>
      </c>
      <c r="AJ443" s="10">
        <f t="shared" si="66"/>
        <v>0.15923399999999999</v>
      </c>
      <c r="AK443" s="10">
        <f t="shared" si="66"/>
        <v>0.15943299999999999</v>
      </c>
      <c r="AL443" s="10">
        <f t="shared" si="66"/>
        <v>0.1595</v>
      </c>
      <c r="AM443" s="10">
        <f t="shared" si="66"/>
        <v>0.15950700000000001</v>
      </c>
      <c r="AN443" s="205">
        <f t="shared" si="39"/>
        <v>1.903356</v>
      </c>
      <c r="AO443" s="10">
        <f t="shared" ref="AO443:AY443" si="67">AO47</f>
        <v>1.9212899999999999</v>
      </c>
      <c r="AP443" s="10">
        <f t="shared" si="67"/>
        <v>1.942061</v>
      </c>
      <c r="AQ443" s="10">
        <f t="shared" si="67"/>
        <v>1.9766855475347007</v>
      </c>
      <c r="AR443" s="10">
        <f t="shared" si="67"/>
        <v>2.0125003816304745</v>
      </c>
      <c r="AS443" s="10">
        <f t="shared" si="67"/>
        <v>2.0443931760220191</v>
      </c>
      <c r="AT443" s="10">
        <f t="shared" si="67"/>
        <v>2.0810387960009984</v>
      </c>
      <c r="AU443" s="10">
        <f t="shared" si="67"/>
        <v>2.1187837845793465</v>
      </c>
      <c r="AV443" s="10">
        <f t="shared" si="67"/>
        <v>2.1576611228150453</v>
      </c>
      <c r="AW443" s="10">
        <f t="shared" si="67"/>
        <v>2.1977047811978152</v>
      </c>
      <c r="AX443" s="10">
        <f t="shared" si="67"/>
        <v>2.2389497493320683</v>
      </c>
      <c r="AY443" s="10">
        <f t="shared" si="67"/>
        <v>2.2814320665103494</v>
      </c>
      <c r="AZ443" s="928"/>
      <c r="BA443" s="928"/>
    </row>
    <row r="444" spans="1:53">
      <c r="A444" s="869" t="s">
        <v>586</v>
      </c>
      <c r="B444" s="866" t="s">
        <v>822</v>
      </c>
      <c r="F444" s="10">
        <f>F48+F36</f>
        <v>0</v>
      </c>
      <c r="G444" s="10">
        <f t="shared" ref="G444:M444" si="68">G48+G36</f>
        <v>0</v>
      </c>
      <c r="H444" s="10">
        <f t="shared" si="68"/>
        <v>0</v>
      </c>
      <c r="I444" s="10">
        <f t="shared" si="68"/>
        <v>0</v>
      </c>
      <c r="J444" s="10">
        <f t="shared" si="68"/>
        <v>0</v>
      </c>
      <c r="K444" s="10">
        <f t="shared" si="68"/>
        <v>0</v>
      </c>
      <c r="L444" s="10">
        <f t="shared" si="68"/>
        <v>0</v>
      </c>
      <c r="M444" s="10">
        <f t="shared" si="68"/>
        <v>0</v>
      </c>
      <c r="N444" s="205"/>
      <c r="O444" s="10">
        <f t="shared" ref="O444:Z444" si="69">O48+O36</f>
        <v>0.25293399999999999</v>
      </c>
      <c r="P444" s="10">
        <f t="shared" si="69"/>
        <v>0.25350800000000001</v>
      </c>
      <c r="Q444" s="10">
        <f t="shared" si="69"/>
        <v>0.25587199999999999</v>
      </c>
      <c r="R444" s="10">
        <f t="shared" si="69"/>
        <v>0.25922899999999999</v>
      </c>
      <c r="S444" s="10">
        <f t="shared" si="69"/>
        <v>0.26538600000000001</v>
      </c>
      <c r="T444" s="10">
        <f t="shared" si="69"/>
        <v>0.26859899999999998</v>
      </c>
      <c r="U444" s="10">
        <f t="shared" si="69"/>
        <v>0.271177</v>
      </c>
      <c r="V444" s="10">
        <f t="shared" si="69"/>
        <v>0.27322000000000002</v>
      </c>
      <c r="W444" s="10">
        <f t="shared" si="69"/>
        <v>0.27557900000000002</v>
      </c>
      <c r="X444" s="10">
        <f t="shared" si="69"/>
        <v>0.27652599999999999</v>
      </c>
      <c r="Y444" s="10">
        <f t="shared" si="69"/>
        <v>0.27815200000000001</v>
      </c>
      <c r="Z444" s="10">
        <f t="shared" si="69"/>
        <v>0.27902300000000002</v>
      </c>
      <c r="AA444" s="205">
        <f t="shared" si="37"/>
        <v>3.2092050000000003</v>
      </c>
      <c r="AB444" s="10">
        <f t="shared" ref="AB444:AM444" si="70">AB48+AB36</f>
        <v>0.27950599999999998</v>
      </c>
      <c r="AC444" s="10">
        <f t="shared" si="70"/>
        <v>0.27950599999999998</v>
      </c>
      <c r="AD444" s="10">
        <f t="shared" si="70"/>
        <v>0.28098699999999999</v>
      </c>
      <c r="AE444" s="10">
        <f t="shared" si="70"/>
        <v>0.28165699999999999</v>
      </c>
      <c r="AF444" s="10">
        <f t="shared" si="70"/>
        <v>0.28302699999999997</v>
      </c>
      <c r="AG444" s="10">
        <f t="shared" si="70"/>
        <v>0.28375600000000001</v>
      </c>
      <c r="AH444" s="10">
        <f t="shared" si="70"/>
        <v>0.28542800000000002</v>
      </c>
      <c r="AI444" s="10">
        <f t="shared" si="70"/>
        <v>0.28645700000000002</v>
      </c>
      <c r="AJ444" s="10">
        <f t="shared" si="70"/>
        <v>0.28800100000000001</v>
      </c>
      <c r="AK444" s="10">
        <f t="shared" si="70"/>
        <v>0.290993</v>
      </c>
      <c r="AL444" s="10">
        <f t="shared" si="70"/>
        <v>0.29216599999999998</v>
      </c>
      <c r="AM444" s="10">
        <f t="shared" si="70"/>
        <v>0.29219800000000001</v>
      </c>
      <c r="AN444" s="205">
        <f t="shared" si="39"/>
        <v>3.4236819999999994</v>
      </c>
      <c r="AO444" s="10">
        <f t="shared" ref="AO444:AY444" si="71">AO48+AO36</f>
        <v>3.5856659999999998</v>
      </c>
      <c r="AP444" s="10">
        <f t="shared" si="71"/>
        <v>3.6844170000000007</v>
      </c>
      <c r="AQ444" s="10">
        <f t="shared" si="71"/>
        <v>3.7501056017247452</v>
      </c>
      <c r="AR444" s="10">
        <f t="shared" si="71"/>
        <v>3.8180523776471533</v>
      </c>
      <c r="AS444" s="10">
        <f t="shared" si="71"/>
        <v>3.8785583832946133</v>
      </c>
      <c r="AT444" s="10">
        <f t="shared" si="71"/>
        <v>3.9480813000444428</v>
      </c>
      <c r="AU444" s="10">
        <f t="shared" si="71"/>
        <v>4.019689904296766</v>
      </c>
      <c r="AV444" s="10">
        <f t="shared" si="71"/>
        <v>4.0934467666766592</v>
      </c>
      <c r="AW444" s="10">
        <f t="shared" si="71"/>
        <v>4.1694163349279503</v>
      </c>
      <c r="AX444" s="10">
        <f t="shared" si="71"/>
        <v>4.24766499022678</v>
      </c>
      <c r="AY444" s="10">
        <f t="shared" si="71"/>
        <v>4.3282611051845752</v>
      </c>
      <c r="AZ444" s="928"/>
      <c r="BA444" s="928"/>
    </row>
    <row r="445" spans="1:53">
      <c r="A445" s="869">
        <v>404.11</v>
      </c>
      <c r="B445" s="866" t="s">
        <v>1001</v>
      </c>
      <c r="F445" s="10">
        <f>F49</f>
        <v>0</v>
      </c>
      <c r="G445" s="10">
        <f t="shared" ref="G445:M445" si="72">G49</f>
        <v>0</v>
      </c>
      <c r="H445" s="10">
        <f t="shared" si="72"/>
        <v>0</v>
      </c>
      <c r="I445" s="10">
        <f t="shared" si="72"/>
        <v>0</v>
      </c>
      <c r="J445" s="10">
        <f t="shared" si="72"/>
        <v>0</v>
      </c>
      <c r="K445" s="10">
        <f t="shared" si="72"/>
        <v>0</v>
      </c>
      <c r="L445" s="10">
        <f t="shared" si="72"/>
        <v>0</v>
      </c>
      <c r="M445" s="10">
        <f t="shared" si="72"/>
        <v>0</v>
      </c>
      <c r="N445" s="205"/>
      <c r="O445" s="10">
        <f>O49</f>
        <v>9.4600000000000001E-4</v>
      </c>
      <c r="P445" s="10">
        <f t="shared" ref="P445:Z445" si="73">P49</f>
        <v>9.4600000000000001E-4</v>
      </c>
      <c r="Q445" s="10">
        <f t="shared" si="73"/>
        <v>9.4600000000000001E-4</v>
      </c>
      <c r="R445" s="10">
        <f t="shared" si="73"/>
        <v>9.4600000000000001E-4</v>
      </c>
      <c r="S445" s="10">
        <f t="shared" si="73"/>
        <v>9.4600000000000001E-4</v>
      </c>
      <c r="T445" s="10">
        <f t="shared" si="73"/>
        <v>9.4600000000000001E-4</v>
      </c>
      <c r="U445" s="10">
        <f t="shared" si="73"/>
        <v>9.4600000000000001E-4</v>
      </c>
      <c r="V445" s="10">
        <f t="shared" si="73"/>
        <v>9.4600000000000001E-4</v>
      </c>
      <c r="W445" s="10">
        <f t="shared" si="73"/>
        <v>9.4600000000000001E-4</v>
      </c>
      <c r="X445" s="10">
        <f t="shared" si="73"/>
        <v>9.4600000000000001E-4</v>
      </c>
      <c r="Y445" s="10">
        <f t="shared" si="73"/>
        <v>9.4600000000000001E-4</v>
      </c>
      <c r="Z445" s="10">
        <f t="shared" si="73"/>
        <v>9.4600000000000001E-4</v>
      </c>
      <c r="AA445" s="205">
        <f t="shared" si="37"/>
        <v>1.1352000000000001E-2</v>
      </c>
      <c r="AB445" s="10">
        <f t="shared" ref="AB445:AM445" si="74">AB49</f>
        <v>9.4600000000000001E-4</v>
      </c>
      <c r="AC445" s="10">
        <f t="shared" si="74"/>
        <v>9.4600000000000001E-4</v>
      </c>
      <c r="AD445" s="10">
        <f t="shared" si="74"/>
        <v>9.4600000000000001E-4</v>
      </c>
      <c r="AE445" s="10">
        <f t="shared" si="74"/>
        <v>9.4600000000000001E-4</v>
      </c>
      <c r="AF445" s="10">
        <f t="shared" si="74"/>
        <v>9.4600000000000001E-4</v>
      </c>
      <c r="AG445" s="10">
        <f t="shared" si="74"/>
        <v>9.4600000000000001E-4</v>
      </c>
      <c r="AH445" s="10">
        <f t="shared" si="74"/>
        <v>9.4600000000000001E-4</v>
      </c>
      <c r="AI445" s="10">
        <f t="shared" si="74"/>
        <v>9.4600000000000001E-4</v>
      </c>
      <c r="AJ445" s="10">
        <f t="shared" si="74"/>
        <v>9.4600000000000001E-4</v>
      </c>
      <c r="AK445" s="10">
        <f t="shared" si="74"/>
        <v>9.4600000000000001E-4</v>
      </c>
      <c r="AL445" s="10">
        <f t="shared" si="74"/>
        <v>9.4600000000000001E-4</v>
      </c>
      <c r="AM445" s="10">
        <f t="shared" si="74"/>
        <v>9.4600000000000001E-4</v>
      </c>
      <c r="AN445" s="205">
        <f t="shared" si="39"/>
        <v>1.1352000000000001E-2</v>
      </c>
      <c r="AO445" s="10">
        <f t="shared" ref="AO445:AY445" si="75">AO49</f>
        <v>1.1351999999999999E-2</v>
      </c>
      <c r="AP445" s="10">
        <f t="shared" si="75"/>
        <v>1.1351999999999999E-2</v>
      </c>
      <c r="AQ445" s="10">
        <f t="shared" si="75"/>
        <v>1.1554392130635402E-2</v>
      </c>
      <c r="AR445" s="10">
        <f t="shared" si="75"/>
        <v>1.1763741886721963E-2</v>
      </c>
      <c r="AS445" s="10">
        <f t="shared" si="75"/>
        <v>1.1950166001068945E-2</v>
      </c>
      <c r="AT445" s="10">
        <f t="shared" si="75"/>
        <v>1.2164371980181533E-2</v>
      </c>
      <c r="AU445" s="10">
        <f t="shared" si="75"/>
        <v>1.2385004138667497E-2</v>
      </c>
      <c r="AV445" s="10">
        <f t="shared" si="75"/>
        <v>1.261225526190804E-2</v>
      </c>
      <c r="AW445" s="10">
        <f t="shared" si="75"/>
        <v>1.2846323918845803E-2</v>
      </c>
      <c r="AX445" s="10">
        <f t="shared" si="75"/>
        <v>1.3087414635491694E-2</v>
      </c>
      <c r="AY445" s="10">
        <f t="shared" si="75"/>
        <v>1.3335738073636966E-2</v>
      </c>
      <c r="AZ445" s="928"/>
      <c r="BA445" s="928"/>
    </row>
    <row r="446" spans="1:53">
      <c r="A446" s="869" t="s">
        <v>823</v>
      </c>
      <c r="B446" s="866" t="s">
        <v>824</v>
      </c>
      <c r="N446" s="205"/>
      <c r="AA446" s="205">
        <f t="shared" si="37"/>
        <v>0</v>
      </c>
      <c r="AN446" s="205">
        <f t="shared" si="39"/>
        <v>0</v>
      </c>
    </row>
    <row r="447" spans="1:53">
      <c r="A447" s="869" t="s">
        <v>825</v>
      </c>
      <c r="B447" s="866" t="s">
        <v>826</v>
      </c>
      <c r="N447" s="205"/>
      <c r="AA447" s="205">
        <f t="shared" si="37"/>
        <v>0</v>
      </c>
      <c r="AN447" s="205">
        <f t="shared" si="39"/>
        <v>0</v>
      </c>
    </row>
    <row r="448" spans="1:53">
      <c r="A448" s="869" t="s">
        <v>827</v>
      </c>
      <c r="B448" s="866" t="s">
        <v>828</v>
      </c>
      <c r="N448" s="205"/>
      <c r="AA448" s="205">
        <f t="shared" si="37"/>
        <v>0</v>
      </c>
      <c r="AN448" s="205">
        <f t="shared" si="39"/>
        <v>0</v>
      </c>
    </row>
    <row r="449" spans="1:40">
      <c r="A449" s="869" t="s">
        <v>830</v>
      </c>
      <c r="B449" s="866" t="s">
        <v>831</v>
      </c>
      <c r="N449" s="205"/>
      <c r="AA449" s="205">
        <f t="shared" si="37"/>
        <v>0</v>
      </c>
      <c r="AN449" s="205">
        <f t="shared" si="39"/>
        <v>0</v>
      </c>
    </row>
    <row r="450" spans="1:40">
      <c r="A450" s="869" t="s">
        <v>859</v>
      </c>
      <c r="B450" s="866" t="s">
        <v>860</v>
      </c>
      <c r="N450" s="205"/>
      <c r="AA450" s="205">
        <f t="shared" si="37"/>
        <v>0</v>
      </c>
      <c r="AN450" s="205">
        <f t="shared" si="39"/>
        <v>0</v>
      </c>
    </row>
    <row r="451" spans="1:40">
      <c r="A451" s="869" t="s">
        <v>861</v>
      </c>
      <c r="B451" s="866" t="s">
        <v>862</v>
      </c>
      <c r="N451" s="205"/>
      <c r="AA451" s="205">
        <f t="shared" si="37"/>
        <v>0</v>
      </c>
      <c r="AN451" s="205">
        <f t="shared" si="39"/>
        <v>0</v>
      </c>
    </row>
    <row r="452" spans="1:40">
      <c r="A452" s="869" t="s">
        <v>863</v>
      </c>
      <c r="B452" s="866" t="s">
        <v>864</v>
      </c>
      <c r="N452" s="205"/>
      <c r="AA452" s="205">
        <f t="shared" si="37"/>
        <v>0</v>
      </c>
      <c r="AN452" s="205">
        <f t="shared" si="39"/>
        <v>0</v>
      </c>
    </row>
    <row r="453" spans="1:40">
      <c r="A453" s="869">
        <v>426.1</v>
      </c>
      <c r="B453" s="866" t="s">
        <v>880</v>
      </c>
      <c r="N453" s="205"/>
      <c r="AA453" s="205">
        <f t="shared" si="37"/>
        <v>0</v>
      </c>
      <c r="AN453" s="205">
        <f t="shared" si="39"/>
        <v>0</v>
      </c>
    </row>
    <row r="454" spans="1:40">
      <c r="A454" s="869" t="s">
        <v>881</v>
      </c>
      <c r="B454" s="866" t="s">
        <v>882</v>
      </c>
      <c r="N454" s="205"/>
      <c r="AA454" s="205">
        <f t="shared" si="37"/>
        <v>0</v>
      </c>
      <c r="AN454" s="205">
        <f t="shared" si="39"/>
        <v>0</v>
      </c>
    </row>
    <row r="455" spans="1:40">
      <c r="A455" s="869">
        <v>426.4</v>
      </c>
      <c r="B455" s="866" t="s">
        <v>883</v>
      </c>
      <c r="N455" s="205"/>
      <c r="AA455" s="205">
        <f t="shared" si="37"/>
        <v>0</v>
      </c>
      <c r="AN455" s="205">
        <f t="shared" si="39"/>
        <v>0</v>
      </c>
    </row>
    <row r="456" spans="1:40">
      <c r="A456" s="869" t="s">
        <v>884</v>
      </c>
      <c r="B456" s="866" t="s">
        <v>885</v>
      </c>
      <c r="N456" s="205"/>
      <c r="AA456" s="205">
        <f t="shared" si="37"/>
        <v>0</v>
      </c>
      <c r="AN456" s="205">
        <f t="shared" si="39"/>
        <v>0</v>
      </c>
    </row>
    <row r="457" spans="1:40">
      <c r="A457" s="869">
        <v>427.1</v>
      </c>
      <c r="B457" s="866" t="s">
        <v>970</v>
      </c>
      <c r="N457" s="205"/>
      <c r="AA457" s="205">
        <f t="shared" si="37"/>
        <v>0</v>
      </c>
      <c r="AN457" s="205">
        <f t="shared" si="39"/>
        <v>0</v>
      </c>
    </row>
    <row r="458" spans="1:40">
      <c r="A458" s="869" t="s">
        <v>886</v>
      </c>
      <c r="B458" s="866" t="s">
        <v>971</v>
      </c>
      <c r="N458" s="205"/>
      <c r="AA458" s="205">
        <f t="shared" si="37"/>
        <v>0</v>
      </c>
      <c r="AN458" s="205">
        <f t="shared" si="39"/>
        <v>0</v>
      </c>
    </row>
    <row r="459" spans="1:40">
      <c r="A459" s="869" t="s">
        <v>895</v>
      </c>
      <c r="B459" s="866" t="s">
        <v>896</v>
      </c>
      <c r="N459" s="205"/>
      <c r="AA459" s="205">
        <f t="shared" si="37"/>
        <v>0</v>
      </c>
      <c r="AN459" s="205">
        <f t="shared" si="39"/>
        <v>0</v>
      </c>
    </row>
    <row r="460" spans="1:40">
      <c r="A460" s="869" t="s">
        <v>897</v>
      </c>
      <c r="B460" s="866" t="s">
        <v>898</v>
      </c>
      <c r="N460" s="205"/>
      <c r="AA460" s="205">
        <f t="shared" si="37"/>
        <v>0</v>
      </c>
      <c r="AN460" s="205">
        <f t="shared" si="39"/>
        <v>0</v>
      </c>
    </row>
    <row r="461" spans="1:40">
      <c r="A461" s="869" t="s">
        <v>899</v>
      </c>
      <c r="B461" s="866" t="s">
        <v>900</v>
      </c>
      <c r="N461" s="205"/>
      <c r="AA461" s="205">
        <f t="shared" si="37"/>
        <v>0</v>
      </c>
      <c r="AN461" s="205">
        <f t="shared" si="39"/>
        <v>0</v>
      </c>
    </row>
    <row r="462" spans="1:40">
      <c r="A462" s="869" t="s">
        <v>901</v>
      </c>
      <c r="B462" s="866" t="s">
        <v>902</v>
      </c>
      <c r="N462" s="205"/>
      <c r="AA462" s="205">
        <f t="shared" si="37"/>
        <v>0</v>
      </c>
      <c r="AN462" s="205">
        <f t="shared" si="39"/>
        <v>0</v>
      </c>
    </row>
    <row r="463" spans="1:40">
      <c r="A463" s="869" t="s">
        <v>903</v>
      </c>
      <c r="B463" s="866" t="s">
        <v>904</v>
      </c>
      <c r="N463" s="205"/>
      <c r="AA463" s="205">
        <f t="shared" si="37"/>
        <v>0</v>
      </c>
      <c r="AN463" s="205">
        <f t="shared" si="39"/>
        <v>0</v>
      </c>
    </row>
    <row r="464" spans="1:40">
      <c r="A464" s="869" t="s">
        <v>905</v>
      </c>
      <c r="B464" s="866" t="s">
        <v>1014</v>
      </c>
      <c r="N464" s="205"/>
      <c r="AA464" s="205">
        <f t="shared" si="37"/>
        <v>0</v>
      </c>
      <c r="AN464" s="205">
        <f t="shared" si="39"/>
        <v>0</v>
      </c>
    </row>
    <row r="465" spans="1:40">
      <c r="A465" s="869" t="s">
        <v>908</v>
      </c>
      <c r="B465" s="866" t="s">
        <v>1015</v>
      </c>
      <c r="N465" s="205"/>
      <c r="AA465" s="205">
        <f t="shared" si="37"/>
        <v>0</v>
      </c>
      <c r="AN465" s="205">
        <f t="shared" si="39"/>
        <v>0</v>
      </c>
    </row>
    <row r="466" spans="1:40">
      <c r="A466" s="869" t="s">
        <v>910</v>
      </c>
      <c r="B466" s="866" t="s">
        <v>1016</v>
      </c>
      <c r="N466" s="205"/>
      <c r="AA466" s="205">
        <f t="shared" si="37"/>
        <v>0</v>
      </c>
      <c r="AN466" s="205">
        <f t="shared" si="39"/>
        <v>0</v>
      </c>
    </row>
    <row r="467" spans="1:40">
      <c r="A467" s="869" t="s">
        <v>645</v>
      </c>
      <c r="B467" s="866" t="s">
        <v>911</v>
      </c>
      <c r="N467" s="205"/>
      <c r="AA467" s="205">
        <f t="shared" si="37"/>
        <v>0</v>
      </c>
      <c r="AN467" s="205">
        <f t="shared" si="39"/>
        <v>0</v>
      </c>
    </row>
    <row r="468" spans="1:40">
      <c r="A468" s="869">
        <v>447.24200000000002</v>
      </c>
      <c r="B468" s="866" t="s">
        <v>916</v>
      </c>
      <c r="N468" s="205"/>
      <c r="AA468" s="205">
        <f t="shared" si="37"/>
        <v>0</v>
      </c>
      <c r="AN468" s="205">
        <f t="shared" si="39"/>
        <v>0</v>
      </c>
    </row>
    <row r="469" spans="1:40">
      <c r="A469" s="869" t="s">
        <v>0</v>
      </c>
      <c r="B469" s="866" t="s">
        <v>1</v>
      </c>
      <c r="N469" s="205"/>
      <c r="AA469" s="205">
        <f t="shared" si="37"/>
        <v>0</v>
      </c>
      <c r="AN469" s="205">
        <f t="shared" si="39"/>
        <v>0</v>
      </c>
    </row>
    <row r="470" spans="1:40">
      <c r="A470" s="869" t="s">
        <v>2</v>
      </c>
      <c r="B470" s="866" t="s">
        <v>37</v>
      </c>
      <c r="N470" s="205"/>
      <c r="AA470" s="205">
        <f t="shared" si="37"/>
        <v>0</v>
      </c>
      <c r="AN470" s="205">
        <f t="shared" si="39"/>
        <v>0</v>
      </c>
    </row>
    <row r="471" spans="1:40">
      <c r="A471" s="869" t="s">
        <v>38</v>
      </c>
      <c r="B471" s="866" t="s">
        <v>39</v>
      </c>
      <c r="N471" s="205"/>
      <c r="AA471" s="205">
        <f t="shared" si="37"/>
        <v>0</v>
      </c>
      <c r="AN471" s="205">
        <f t="shared" si="39"/>
        <v>0</v>
      </c>
    </row>
    <row r="472" spans="1:40">
      <c r="A472" s="869" t="s">
        <v>720</v>
      </c>
      <c r="B472" s="866" t="s">
        <v>1004</v>
      </c>
      <c r="N472" s="205"/>
      <c r="AA472" s="205">
        <f t="shared" si="37"/>
        <v>0</v>
      </c>
      <c r="AN472" s="205">
        <f t="shared" si="39"/>
        <v>0</v>
      </c>
    </row>
    <row r="473" spans="1:40">
      <c r="A473" s="869">
        <v>500.1</v>
      </c>
      <c r="B473" s="866" t="s">
        <v>1004</v>
      </c>
      <c r="N473" s="205"/>
      <c r="AA473" s="205">
        <f t="shared" si="37"/>
        <v>0</v>
      </c>
      <c r="AN473" s="205">
        <f t="shared" si="39"/>
        <v>0</v>
      </c>
    </row>
    <row r="474" spans="1:40">
      <c r="A474" s="869">
        <v>501.1</v>
      </c>
      <c r="B474" s="866" t="s">
        <v>46</v>
      </c>
      <c r="N474" s="205"/>
      <c r="AA474" s="205">
        <f t="shared" si="37"/>
        <v>0</v>
      </c>
      <c r="AN474" s="205">
        <f t="shared" si="39"/>
        <v>0</v>
      </c>
    </row>
    <row r="475" spans="1:40">
      <c r="A475" s="869">
        <v>501.2</v>
      </c>
      <c r="B475" s="870" t="s">
        <v>1029</v>
      </c>
      <c r="N475" s="205"/>
      <c r="AA475" s="205">
        <f t="shared" si="37"/>
        <v>0</v>
      </c>
      <c r="AN475" s="205">
        <f t="shared" si="39"/>
        <v>0</v>
      </c>
    </row>
    <row r="476" spans="1:40">
      <c r="A476" s="869">
        <v>501.1</v>
      </c>
      <c r="B476" s="866" t="s">
        <v>48</v>
      </c>
      <c r="N476" s="205"/>
      <c r="AA476" s="205">
        <f t="shared" si="37"/>
        <v>0</v>
      </c>
      <c r="AN476" s="205">
        <f t="shared" si="39"/>
        <v>0</v>
      </c>
    </row>
    <row r="477" spans="1:40">
      <c r="A477" s="869">
        <v>501.1</v>
      </c>
      <c r="B477" s="866" t="s">
        <v>50</v>
      </c>
      <c r="N477" s="205"/>
      <c r="AA477" s="205">
        <f t="shared" si="37"/>
        <v>0</v>
      </c>
      <c r="AN477" s="205">
        <f t="shared" si="39"/>
        <v>0</v>
      </c>
    </row>
    <row r="478" spans="1:40">
      <c r="A478" s="869" t="s">
        <v>722</v>
      </c>
      <c r="B478" s="870" t="s">
        <v>1029</v>
      </c>
      <c r="N478" s="205"/>
      <c r="AA478" s="205">
        <f t="shared" si="37"/>
        <v>0</v>
      </c>
      <c r="AN478" s="205">
        <f t="shared" si="39"/>
        <v>0</v>
      </c>
    </row>
    <row r="479" spans="1:40">
      <c r="A479" s="869">
        <v>501.1</v>
      </c>
      <c r="B479" s="866" t="s">
        <v>52</v>
      </c>
      <c r="N479" s="205"/>
      <c r="AA479" s="205">
        <f t="shared" si="37"/>
        <v>0</v>
      </c>
      <c r="AN479" s="205">
        <f t="shared" si="39"/>
        <v>0</v>
      </c>
    </row>
    <row r="480" spans="1:40">
      <c r="A480" s="869">
        <v>501.2</v>
      </c>
      <c r="B480" s="870" t="s">
        <v>1029</v>
      </c>
      <c r="N480" s="205"/>
      <c r="AA480" s="205">
        <f t="shared" si="37"/>
        <v>0</v>
      </c>
      <c r="AN480" s="205">
        <f t="shared" si="39"/>
        <v>0</v>
      </c>
    </row>
    <row r="481" spans="1:40">
      <c r="A481" s="869">
        <v>501.1</v>
      </c>
      <c r="B481" s="866" t="s">
        <v>54</v>
      </c>
      <c r="N481" s="205"/>
      <c r="AA481" s="205">
        <f t="shared" si="37"/>
        <v>0</v>
      </c>
      <c r="AN481" s="205">
        <f t="shared" si="39"/>
        <v>0</v>
      </c>
    </row>
    <row r="482" spans="1:40">
      <c r="A482" s="869">
        <v>501.1</v>
      </c>
      <c r="B482" s="866" t="s">
        <v>57</v>
      </c>
      <c r="N482" s="205"/>
      <c r="AA482" s="205">
        <f t="shared" si="37"/>
        <v>0</v>
      </c>
      <c r="AN482" s="205">
        <f t="shared" si="39"/>
        <v>0</v>
      </c>
    </row>
    <row r="483" spans="1:40">
      <c r="A483" s="869">
        <v>501.3</v>
      </c>
      <c r="B483" s="870" t="s">
        <v>1030</v>
      </c>
      <c r="N483" s="205"/>
      <c r="AA483" s="205">
        <f t="shared" si="37"/>
        <v>0</v>
      </c>
      <c r="AN483" s="205">
        <f t="shared" si="39"/>
        <v>0</v>
      </c>
    </row>
    <row r="484" spans="1:40">
      <c r="A484" s="869">
        <v>501.1</v>
      </c>
      <c r="B484" s="866" t="s">
        <v>59</v>
      </c>
      <c r="N484" s="205"/>
      <c r="AA484" s="205">
        <f t="shared" si="37"/>
        <v>0</v>
      </c>
      <c r="AN484" s="205">
        <f t="shared" si="39"/>
        <v>0</v>
      </c>
    </row>
    <row r="485" spans="1:40">
      <c r="A485" s="869">
        <v>501.1</v>
      </c>
      <c r="B485" s="866" t="s">
        <v>61</v>
      </c>
      <c r="N485" s="205"/>
      <c r="AA485" s="205">
        <f t="shared" si="37"/>
        <v>0</v>
      </c>
      <c r="AN485" s="205">
        <f t="shared" si="39"/>
        <v>0</v>
      </c>
    </row>
    <row r="486" spans="1:40">
      <c r="A486" s="869">
        <v>501.1</v>
      </c>
      <c r="B486" s="866" t="s">
        <v>63</v>
      </c>
      <c r="N486" s="205"/>
      <c r="AA486" s="205">
        <f t="shared" si="37"/>
        <v>0</v>
      </c>
      <c r="AN486" s="205">
        <f t="shared" si="39"/>
        <v>0</v>
      </c>
    </row>
    <row r="487" spans="1:40">
      <c r="A487" s="869" t="s">
        <v>725</v>
      </c>
      <c r="B487" s="867" t="s">
        <v>1022</v>
      </c>
      <c r="N487" s="205"/>
      <c r="AA487" s="205">
        <f t="shared" si="37"/>
        <v>0</v>
      </c>
      <c r="AN487" s="205">
        <f t="shared" si="39"/>
        <v>0</v>
      </c>
    </row>
    <row r="488" spans="1:40">
      <c r="A488" s="869" t="s">
        <v>537</v>
      </c>
      <c r="B488" s="867" t="s">
        <v>1022</v>
      </c>
      <c r="N488" s="205"/>
      <c r="AA488" s="205">
        <f t="shared" si="37"/>
        <v>0</v>
      </c>
      <c r="AN488" s="205">
        <f t="shared" si="39"/>
        <v>0</v>
      </c>
    </row>
    <row r="489" spans="1:40">
      <c r="A489" s="869">
        <v>502.1</v>
      </c>
      <c r="B489" s="867" t="s">
        <v>1022</v>
      </c>
      <c r="N489" s="205"/>
      <c r="AA489" s="205">
        <f t="shared" si="37"/>
        <v>0</v>
      </c>
      <c r="AN489" s="205">
        <f t="shared" si="39"/>
        <v>0</v>
      </c>
    </row>
    <row r="490" spans="1:40">
      <c r="A490" s="869">
        <v>502.11</v>
      </c>
      <c r="B490" s="867" t="s">
        <v>1022</v>
      </c>
      <c r="N490" s="205"/>
      <c r="AA490" s="205">
        <f t="shared" si="37"/>
        <v>0</v>
      </c>
      <c r="AN490" s="205">
        <f t="shared" si="39"/>
        <v>0</v>
      </c>
    </row>
    <row r="491" spans="1:40">
      <c r="A491" s="869">
        <v>502.11</v>
      </c>
      <c r="B491" s="867" t="s">
        <v>1022</v>
      </c>
      <c r="N491" s="205"/>
      <c r="AA491" s="205">
        <f t="shared" si="37"/>
        <v>0</v>
      </c>
      <c r="AN491" s="205">
        <f t="shared" si="39"/>
        <v>0</v>
      </c>
    </row>
    <row r="492" spans="1:40">
      <c r="A492" s="869" t="s">
        <v>729</v>
      </c>
      <c r="B492" s="867" t="s">
        <v>1022</v>
      </c>
      <c r="N492" s="205"/>
      <c r="AA492" s="205">
        <f t="shared" si="37"/>
        <v>0</v>
      </c>
      <c r="AN492" s="205">
        <f t="shared" si="39"/>
        <v>0</v>
      </c>
    </row>
    <row r="493" spans="1:40">
      <c r="A493" s="869">
        <v>502.1</v>
      </c>
      <c r="B493" s="867" t="s">
        <v>1022</v>
      </c>
      <c r="N493" s="205"/>
      <c r="AA493" s="205">
        <f t="shared" si="37"/>
        <v>0</v>
      </c>
      <c r="AN493" s="205">
        <f t="shared" si="39"/>
        <v>0</v>
      </c>
    </row>
    <row r="494" spans="1:40">
      <c r="A494" s="869" t="s">
        <v>730</v>
      </c>
      <c r="B494" s="866" t="s">
        <v>972</v>
      </c>
      <c r="N494" s="205"/>
      <c r="AA494" s="205">
        <f t="shared" si="37"/>
        <v>0</v>
      </c>
      <c r="AN494" s="205">
        <f t="shared" si="39"/>
        <v>0</v>
      </c>
    </row>
    <row r="495" spans="1:40">
      <c r="A495" s="869" t="s">
        <v>730</v>
      </c>
      <c r="B495" s="866" t="s">
        <v>972</v>
      </c>
      <c r="N495" s="205"/>
      <c r="AA495" s="205">
        <f t="shared" si="37"/>
        <v>0</v>
      </c>
      <c r="AN495" s="205">
        <f t="shared" si="39"/>
        <v>0</v>
      </c>
    </row>
    <row r="496" spans="1:40">
      <c r="A496" s="869" t="s">
        <v>730</v>
      </c>
      <c r="B496" s="866" t="s">
        <v>972</v>
      </c>
      <c r="N496" s="205"/>
      <c r="AA496" s="205">
        <f t="shared" ref="AA496:AA559" si="76">SUM(O496:Z496)</f>
        <v>0</v>
      </c>
      <c r="AN496" s="205">
        <f t="shared" ref="AN496:AN559" si="77">SUM(AB496:AM496)</f>
        <v>0</v>
      </c>
    </row>
    <row r="497" spans="1:40">
      <c r="A497" s="869" t="s">
        <v>730</v>
      </c>
      <c r="B497" s="866" t="s">
        <v>972</v>
      </c>
      <c r="N497" s="205"/>
      <c r="AA497" s="205">
        <f t="shared" si="76"/>
        <v>0</v>
      </c>
      <c r="AN497" s="205">
        <f t="shared" si="77"/>
        <v>0</v>
      </c>
    </row>
    <row r="498" spans="1:40">
      <c r="A498" s="869" t="s">
        <v>732</v>
      </c>
      <c r="B498" s="866" t="s">
        <v>973</v>
      </c>
      <c r="N498" s="205"/>
      <c r="AA498" s="205">
        <f t="shared" si="76"/>
        <v>0</v>
      </c>
      <c r="AN498" s="205">
        <f t="shared" si="77"/>
        <v>0</v>
      </c>
    </row>
    <row r="499" spans="1:40">
      <c r="A499" s="869">
        <v>506.1</v>
      </c>
      <c r="B499" s="866" t="s">
        <v>973</v>
      </c>
      <c r="N499" s="205"/>
      <c r="AA499" s="205">
        <f t="shared" si="76"/>
        <v>0</v>
      </c>
      <c r="AN499" s="205">
        <f t="shared" si="77"/>
        <v>0</v>
      </c>
    </row>
    <row r="500" spans="1:40">
      <c r="A500" s="869" t="s">
        <v>734</v>
      </c>
      <c r="B500" s="866" t="s">
        <v>973</v>
      </c>
      <c r="N500" s="205"/>
      <c r="AA500" s="205">
        <f t="shared" si="76"/>
        <v>0</v>
      </c>
      <c r="AN500" s="205">
        <f t="shared" si="77"/>
        <v>0</v>
      </c>
    </row>
    <row r="501" spans="1:40">
      <c r="A501" s="869" t="s">
        <v>70</v>
      </c>
      <c r="B501" s="866" t="s">
        <v>974</v>
      </c>
      <c r="N501" s="205"/>
      <c r="AA501" s="205">
        <f t="shared" si="76"/>
        <v>0</v>
      </c>
      <c r="AN501" s="205">
        <f t="shared" si="77"/>
        <v>0</v>
      </c>
    </row>
    <row r="502" spans="1:40">
      <c r="A502" s="869">
        <v>510</v>
      </c>
      <c r="B502" s="866" t="s">
        <v>975</v>
      </c>
      <c r="N502" s="205"/>
      <c r="AA502" s="205">
        <f t="shared" si="76"/>
        <v>0</v>
      </c>
      <c r="AN502" s="205">
        <f t="shared" si="77"/>
        <v>0</v>
      </c>
    </row>
    <row r="503" spans="1:40">
      <c r="A503" s="869">
        <v>511.1</v>
      </c>
      <c r="B503" s="866" t="s">
        <v>103</v>
      </c>
      <c r="N503" s="205"/>
      <c r="AA503" s="205">
        <f t="shared" si="76"/>
        <v>0</v>
      </c>
      <c r="AN503" s="205">
        <f t="shared" si="77"/>
        <v>0</v>
      </c>
    </row>
    <row r="504" spans="1:40">
      <c r="A504" s="869">
        <v>511.1</v>
      </c>
      <c r="B504" s="866" t="s">
        <v>104</v>
      </c>
      <c r="N504" s="205"/>
      <c r="AA504" s="205">
        <f t="shared" si="76"/>
        <v>0</v>
      </c>
      <c r="AN504" s="205">
        <f t="shared" si="77"/>
        <v>0</v>
      </c>
    </row>
    <row r="505" spans="1:40">
      <c r="A505" s="869" t="s">
        <v>737</v>
      </c>
      <c r="B505" s="866" t="s">
        <v>976</v>
      </c>
      <c r="N505" s="205"/>
      <c r="AA505" s="205">
        <f t="shared" si="76"/>
        <v>0</v>
      </c>
      <c r="AN505" s="205">
        <f t="shared" si="77"/>
        <v>0</v>
      </c>
    </row>
    <row r="506" spans="1:40">
      <c r="A506" s="869" t="s">
        <v>737</v>
      </c>
      <c r="B506" s="866" t="s">
        <v>976</v>
      </c>
      <c r="N506" s="205"/>
      <c r="AA506" s="205">
        <f t="shared" si="76"/>
        <v>0</v>
      </c>
      <c r="AN506" s="205">
        <f t="shared" si="77"/>
        <v>0</v>
      </c>
    </row>
    <row r="507" spans="1:40">
      <c r="A507" s="869" t="s">
        <v>737</v>
      </c>
      <c r="B507" s="866" t="s">
        <v>976</v>
      </c>
      <c r="N507" s="205"/>
      <c r="AA507" s="205">
        <f t="shared" si="76"/>
        <v>0</v>
      </c>
      <c r="AN507" s="205">
        <f t="shared" si="77"/>
        <v>0</v>
      </c>
    </row>
    <row r="508" spans="1:40">
      <c r="A508" s="869">
        <v>512.11</v>
      </c>
      <c r="B508" s="867" t="s">
        <v>976</v>
      </c>
      <c r="N508" s="205"/>
      <c r="AA508" s="205">
        <f t="shared" si="76"/>
        <v>0</v>
      </c>
      <c r="AN508" s="205">
        <f t="shared" si="77"/>
        <v>0</v>
      </c>
    </row>
    <row r="509" spans="1:40">
      <c r="A509" s="869" t="s">
        <v>741</v>
      </c>
      <c r="B509" s="866" t="s">
        <v>977</v>
      </c>
      <c r="N509" s="205"/>
      <c r="AA509" s="205">
        <f t="shared" si="76"/>
        <v>0</v>
      </c>
      <c r="AN509" s="205">
        <f t="shared" si="77"/>
        <v>0</v>
      </c>
    </row>
    <row r="510" spans="1:40">
      <c r="A510" s="869">
        <v>513.1</v>
      </c>
      <c r="B510" s="866" t="s">
        <v>977</v>
      </c>
      <c r="N510" s="205"/>
      <c r="AA510" s="205">
        <f t="shared" si="76"/>
        <v>0</v>
      </c>
      <c r="AN510" s="205">
        <f t="shared" si="77"/>
        <v>0</v>
      </c>
    </row>
    <row r="511" spans="1:40">
      <c r="A511" s="869">
        <v>514.1</v>
      </c>
      <c r="B511" s="866" t="s">
        <v>978</v>
      </c>
      <c r="N511" s="205"/>
      <c r="AA511" s="205">
        <f t="shared" si="76"/>
        <v>0</v>
      </c>
      <c r="AN511" s="205">
        <f t="shared" si="77"/>
        <v>0</v>
      </c>
    </row>
    <row r="512" spans="1:40">
      <c r="A512" s="869">
        <v>514.1</v>
      </c>
      <c r="B512" s="866" t="s">
        <v>978</v>
      </c>
      <c r="N512" s="205"/>
      <c r="AA512" s="205">
        <f t="shared" si="76"/>
        <v>0</v>
      </c>
      <c r="AN512" s="205">
        <f t="shared" si="77"/>
        <v>0</v>
      </c>
    </row>
    <row r="513" spans="1:53">
      <c r="A513" s="869">
        <v>514.1</v>
      </c>
      <c r="B513" s="866" t="s">
        <v>978</v>
      </c>
      <c r="N513" s="205"/>
      <c r="AA513" s="205">
        <f t="shared" si="76"/>
        <v>0</v>
      </c>
      <c r="AN513" s="205">
        <f t="shared" si="77"/>
        <v>0</v>
      </c>
    </row>
    <row r="514" spans="1:53">
      <c r="A514" s="869">
        <v>548.1</v>
      </c>
      <c r="B514" s="866" t="s">
        <v>979</v>
      </c>
      <c r="N514" s="205"/>
      <c r="AA514" s="205">
        <f t="shared" si="76"/>
        <v>0</v>
      </c>
      <c r="AN514" s="205">
        <f t="shared" si="77"/>
        <v>0</v>
      </c>
    </row>
    <row r="515" spans="1:53">
      <c r="A515" s="869" t="s">
        <v>83</v>
      </c>
      <c r="B515" s="866" t="s">
        <v>84</v>
      </c>
      <c r="N515" s="205"/>
      <c r="AA515" s="205">
        <f t="shared" si="76"/>
        <v>0</v>
      </c>
      <c r="AN515" s="205">
        <f t="shared" si="77"/>
        <v>0</v>
      </c>
    </row>
    <row r="516" spans="1:53">
      <c r="A516" s="869" t="s">
        <v>546</v>
      </c>
      <c r="B516" s="866" t="s">
        <v>89</v>
      </c>
      <c r="F516" s="10">
        <f t="shared" ref="F516:M517" si="78">+F50</f>
        <v>0</v>
      </c>
      <c r="G516" s="10">
        <f t="shared" si="78"/>
        <v>0</v>
      </c>
      <c r="H516" s="10">
        <f t="shared" si="78"/>
        <v>0</v>
      </c>
      <c r="I516" s="10">
        <f t="shared" si="78"/>
        <v>0</v>
      </c>
      <c r="J516" s="10">
        <f t="shared" si="78"/>
        <v>0</v>
      </c>
      <c r="K516" s="10">
        <f t="shared" si="78"/>
        <v>0</v>
      </c>
      <c r="L516" s="10">
        <f t="shared" si="78"/>
        <v>0</v>
      </c>
      <c r="M516" s="10">
        <f t="shared" si="78"/>
        <v>0</v>
      </c>
      <c r="N516" s="205"/>
      <c r="O516" s="10">
        <f t="shared" ref="O516:Z516" si="79">+O50</f>
        <v>5.4593999999999997E-2</v>
      </c>
      <c r="P516" s="10">
        <f t="shared" si="79"/>
        <v>5.4593999999999997E-2</v>
      </c>
      <c r="Q516" s="10">
        <f t="shared" si="79"/>
        <v>5.4636999999999998E-2</v>
      </c>
      <c r="R516" s="10">
        <f t="shared" si="79"/>
        <v>5.7707000000000001E-2</v>
      </c>
      <c r="S516" s="10">
        <f t="shared" si="79"/>
        <v>5.8839000000000002E-2</v>
      </c>
      <c r="T516" s="10">
        <f t="shared" si="79"/>
        <v>5.8911999999999999E-2</v>
      </c>
      <c r="U516" s="10">
        <f t="shared" si="79"/>
        <v>5.9230999999999999E-2</v>
      </c>
      <c r="V516" s="10">
        <f t="shared" si="79"/>
        <v>5.9604999999999998E-2</v>
      </c>
      <c r="W516" s="10">
        <f t="shared" si="79"/>
        <v>6.4560000000000006E-2</v>
      </c>
      <c r="X516" s="10">
        <f t="shared" si="79"/>
        <v>6.4728999999999995E-2</v>
      </c>
      <c r="Y516" s="10">
        <f t="shared" si="79"/>
        <v>6.4743999999999996E-2</v>
      </c>
      <c r="Z516" s="10">
        <f t="shared" si="79"/>
        <v>6.4849000000000004E-2</v>
      </c>
      <c r="AA516" s="205">
        <f t="shared" si="76"/>
        <v>0.71700100000000022</v>
      </c>
      <c r="AB516" s="10">
        <f t="shared" ref="AB516:AM516" si="80">+AB50</f>
        <v>6.4849000000000004E-2</v>
      </c>
      <c r="AC516" s="10">
        <f t="shared" si="80"/>
        <v>6.5362000000000003E-2</v>
      </c>
      <c r="AD516" s="10">
        <f t="shared" si="80"/>
        <v>6.5362000000000003E-2</v>
      </c>
      <c r="AE516" s="10">
        <f t="shared" si="80"/>
        <v>6.5438999999999997E-2</v>
      </c>
      <c r="AF516" s="10">
        <f t="shared" si="80"/>
        <v>6.9693000000000005E-2</v>
      </c>
      <c r="AG516" s="10">
        <f t="shared" si="80"/>
        <v>7.9293000000000002E-2</v>
      </c>
      <c r="AH516" s="10">
        <f t="shared" si="80"/>
        <v>7.9378000000000004E-2</v>
      </c>
      <c r="AI516" s="10">
        <f t="shared" si="80"/>
        <v>7.9505999999999993E-2</v>
      </c>
      <c r="AJ516" s="10">
        <f t="shared" si="80"/>
        <v>7.9839999999999994E-2</v>
      </c>
      <c r="AK516" s="10">
        <f t="shared" si="80"/>
        <v>7.9948000000000005E-2</v>
      </c>
      <c r="AL516" s="10">
        <f t="shared" si="80"/>
        <v>7.9975000000000004E-2</v>
      </c>
      <c r="AM516" s="10">
        <f t="shared" si="80"/>
        <v>7.9975000000000004E-2</v>
      </c>
      <c r="AN516" s="205">
        <f t="shared" si="77"/>
        <v>0.88862000000000008</v>
      </c>
      <c r="AO516" s="10">
        <f t="shared" ref="AO516:AY516" si="81">+AO50</f>
        <v>1.0175730000000001</v>
      </c>
      <c r="AP516" s="10">
        <f t="shared" si="81"/>
        <v>1.0977299999999999</v>
      </c>
      <c r="AQ516" s="10">
        <f t="shared" si="81"/>
        <v>1.1173011692708246</v>
      </c>
      <c r="AR516" s="10">
        <f t="shared" si="81"/>
        <v>1.1375451357744275</v>
      </c>
      <c r="AS516" s="10">
        <f t="shared" si="81"/>
        <v>1.1555722096858188</v>
      </c>
      <c r="AT516" s="10">
        <f t="shared" si="81"/>
        <v>1.1762857693626387</v>
      </c>
      <c r="AU516" s="10">
        <f t="shared" si="81"/>
        <v>1.1976207358297632</v>
      </c>
      <c r="AV516" s="10">
        <f t="shared" si="81"/>
        <v>1.2195957512909017</v>
      </c>
      <c r="AW516" s="10">
        <f t="shared" si="81"/>
        <v>1.2422300172158742</v>
      </c>
      <c r="AX516" s="10">
        <f t="shared" si="81"/>
        <v>1.2655433111185959</v>
      </c>
      <c r="AY516" s="10">
        <f t="shared" si="81"/>
        <v>1.2895560038383993</v>
      </c>
      <c r="AZ516" s="928"/>
      <c r="BA516" s="928"/>
    </row>
    <row r="517" spans="1:53">
      <c r="A517" s="869" t="s">
        <v>548</v>
      </c>
      <c r="B517" s="866" t="s">
        <v>90</v>
      </c>
      <c r="F517" s="10">
        <f t="shared" si="78"/>
        <v>0</v>
      </c>
      <c r="G517" s="10">
        <f t="shared" si="78"/>
        <v>0</v>
      </c>
      <c r="H517" s="10">
        <f t="shared" si="78"/>
        <v>0</v>
      </c>
      <c r="I517" s="10">
        <f t="shared" si="78"/>
        <v>0</v>
      </c>
      <c r="J517" s="10">
        <f t="shared" si="78"/>
        <v>0</v>
      </c>
      <c r="K517" s="10">
        <f t="shared" si="78"/>
        <v>0</v>
      </c>
      <c r="L517" s="10">
        <f t="shared" si="78"/>
        <v>0</v>
      </c>
      <c r="M517" s="10">
        <f t="shared" si="78"/>
        <v>0</v>
      </c>
      <c r="N517" s="205"/>
      <c r="O517" s="10">
        <f t="shared" ref="O517:Z517" si="82">+O51</f>
        <v>0.217747</v>
      </c>
      <c r="P517" s="10">
        <f t="shared" si="82"/>
        <v>0.22164500000000001</v>
      </c>
      <c r="Q517" s="10">
        <f t="shared" si="82"/>
        <v>0.22164500000000001</v>
      </c>
      <c r="R517" s="10">
        <f t="shared" si="82"/>
        <v>0.22237999999999999</v>
      </c>
      <c r="S517" s="10">
        <f t="shared" si="82"/>
        <v>0.22240399999999999</v>
      </c>
      <c r="T517" s="10">
        <f t="shared" si="82"/>
        <v>0.22240399999999999</v>
      </c>
      <c r="U517" s="10">
        <f t="shared" si="82"/>
        <v>0.22240399999999999</v>
      </c>
      <c r="V517" s="10">
        <f t="shared" si="82"/>
        <v>0.22253100000000001</v>
      </c>
      <c r="W517" s="10">
        <f t="shared" si="82"/>
        <v>0.212697</v>
      </c>
      <c r="X517" s="10">
        <f t="shared" si="82"/>
        <v>0.21282400000000001</v>
      </c>
      <c r="Y517" s="10">
        <f t="shared" si="82"/>
        <v>0.21282400000000001</v>
      </c>
      <c r="Z517" s="10">
        <f t="shared" si="82"/>
        <v>0.21282400000000001</v>
      </c>
      <c r="AA517" s="205">
        <f t="shared" si="76"/>
        <v>2.6243289999999999</v>
      </c>
      <c r="AB517" s="10">
        <f t="shared" ref="AB517:AM517" si="83">+AB51</f>
        <v>0.21282400000000001</v>
      </c>
      <c r="AC517" s="10">
        <f t="shared" si="83"/>
        <v>0.21282400000000001</v>
      </c>
      <c r="AD517" s="10">
        <f t="shared" si="83"/>
        <v>0.21282400000000001</v>
      </c>
      <c r="AE517" s="10">
        <f t="shared" si="83"/>
        <v>0.212842</v>
      </c>
      <c r="AF517" s="10">
        <f t="shared" si="83"/>
        <v>0.21495300000000001</v>
      </c>
      <c r="AG517" s="10">
        <f t="shared" si="83"/>
        <v>0.21498400000000001</v>
      </c>
      <c r="AH517" s="10">
        <f t="shared" si="83"/>
        <v>0.21498400000000001</v>
      </c>
      <c r="AI517" s="10">
        <f t="shared" si="83"/>
        <v>0.21498400000000001</v>
      </c>
      <c r="AJ517" s="10">
        <f t="shared" si="83"/>
        <v>0.215609</v>
      </c>
      <c r="AK517" s="10">
        <f t="shared" si="83"/>
        <v>0.215609</v>
      </c>
      <c r="AL517" s="10">
        <f t="shared" si="83"/>
        <v>0.215609</v>
      </c>
      <c r="AM517" s="10">
        <f t="shared" si="83"/>
        <v>0.215609</v>
      </c>
      <c r="AN517" s="205">
        <f t="shared" si="77"/>
        <v>2.5736550000000005</v>
      </c>
      <c r="AO517" s="10">
        <f t="shared" ref="AO517:AY517" si="84">+AO51</f>
        <v>2.5932560000000002</v>
      </c>
      <c r="AP517" s="10">
        <f t="shared" si="84"/>
        <v>2.5982540000000003</v>
      </c>
      <c r="AQ517" s="10">
        <f t="shared" si="84"/>
        <v>2.6445776577688478</v>
      </c>
      <c r="AR517" s="10">
        <f t="shared" si="84"/>
        <v>2.6924937819012413</v>
      </c>
      <c r="AS517" s="10">
        <f t="shared" si="84"/>
        <v>2.7351626685113986</v>
      </c>
      <c r="AT517" s="10">
        <f t="shared" si="84"/>
        <v>2.7841902884949432</v>
      </c>
      <c r="AU517" s="10">
        <f t="shared" si="84"/>
        <v>2.8346887370779936</v>
      </c>
      <c r="AV517" s="10">
        <f t="shared" si="84"/>
        <v>2.8867021391185355</v>
      </c>
      <c r="AW517" s="10">
        <f t="shared" si="84"/>
        <v>2.9402759432202941</v>
      </c>
      <c r="AX517" s="10">
        <f t="shared" si="84"/>
        <v>2.9954569614451052</v>
      </c>
      <c r="AY517" s="10">
        <f t="shared" si="84"/>
        <v>3.0522934102166612</v>
      </c>
      <c r="AZ517" s="928"/>
      <c r="BA517" s="928"/>
    </row>
    <row r="518" spans="1:53">
      <c r="A518" s="869" t="s">
        <v>646</v>
      </c>
      <c r="B518" s="866" t="s">
        <v>91</v>
      </c>
      <c r="N518" s="205"/>
      <c r="AA518" s="205">
        <f t="shared" si="76"/>
        <v>0</v>
      </c>
      <c r="AN518" s="205">
        <f t="shared" si="77"/>
        <v>0</v>
      </c>
    </row>
    <row r="519" spans="1:53">
      <c r="A519" s="869" t="s">
        <v>92</v>
      </c>
      <c r="B519" s="866" t="s">
        <v>93</v>
      </c>
      <c r="N519" s="205"/>
      <c r="AA519" s="205">
        <f t="shared" si="76"/>
        <v>0</v>
      </c>
      <c r="AN519" s="205">
        <f t="shared" si="77"/>
        <v>0</v>
      </c>
    </row>
    <row r="520" spans="1:53">
      <c r="A520" s="869" t="s">
        <v>647</v>
      </c>
      <c r="B520" s="866" t="s">
        <v>94</v>
      </c>
      <c r="N520" s="205"/>
      <c r="AA520" s="205">
        <f t="shared" si="76"/>
        <v>0</v>
      </c>
      <c r="AN520" s="205">
        <f t="shared" si="77"/>
        <v>0</v>
      </c>
    </row>
    <row r="521" spans="1:53" s="569" customFormat="1">
      <c r="A521" s="869">
        <v>557.35</v>
      </c>
      <c r="B521" s="866" t="s">
        <v>1010</v>
      </c>
      <c r="E521" s="165"/>
      <c r="N521" s="205"/>
      <c r="AA521" s="205">
        <f t="shared" si="76"/>
        <v>0</v>
      </c>
      <c r="AN521" s="205">
        <f t="shared" si="77"/>
        <v>0</v>
      </c>
      <c r="AZ521" s="28"/>
      <c r="BA521" s="28"/>
    </row>
    <row r="522" spans="1:53">
      <c r="A522" s="869" t="s">
        <v>744</v>
      </c>
      <c r="B522" s="866" t="s">
        <v>980</v>
      </c>
      <c r="N522" s="205"/>
      <c r="AA522" s="205">
        <f t="shared" si="76"/>
        <v>0</v>
      </c>
      <c r="AN522" s="205">
        <f t="shared" si="77"/>
        <v>0</v>
      </c>
    </row>
    <row r="523" spans="1:53">
      <c r="A523" s="869">
        <v>560.1</v>
      </c>
      <c r="B523" s="866" t="s">
        <v>980</v>
      </c>
      <c r="N523" s="205"/>
      <c r="AA523" s="205">
        <f t="shared" si="76"/>
        <v>0</v>
      </c>
      <c r="AN523" s="205">
        <f t="shared" si="77"/>
        <v>0</v>
      </c>
    </row>
    <row r="524" spans="1:53">
      <c r="A524" s="869" t="s">
        <v>746</v>
      </c>
      <c r="B524" s="866" t="s">
        <v>981</v>
      </c>
      <c r="N524" s="205"/>
      <c r="AA524" s="205">
        <f t="shared" si="76"/>
        <v>0</v>
      </c>
      <c r="AN524" s="205">
        <f t="shared" si="77"/>
        <v>0</v>
      </c>
    </row>
    <row r="525" spans="1:53">
      <c r="A525" s="869" t="s">
        <v>751</v>
      </c>
      <c r="B525" s="866" t="s">
        <v>982</v>
      </c>
      <c r="N525" s="205"/>
      <c r="AA525" s="205">
        <f t="shared" si="76"/>
        <v>0</v>
      </c>
      <c r="AN525" s="205">
        <f t="shared" si="77"/>
        <v>0</v>
      </c>
    </row>
    <row r="526" spans="1:53">
      <c r="A526" s="869">
        <v>561.1</v>
      </c>
      <c r="B526" s="866" t="s">
        <v>982</v>
      </c>
      <c r="N526" s="205"/>
      <c r="AA526" s="205">
        <f t="shared" si="76"/>
        <v>0</v>
      </c>
      <c r="AN526" s="205">
        <f t="shared" si="77"/>
        <v>0</v>
      </c>
    </row>
    <row r="527" spans="1:53">
      <c r="A527" s="869">
        <v>561.4</v>
      </c>
      <c r="B527" s="866" t="s">
        <v>869</v>
      </c>
      <c r="N527" s="205"/>
      <c r="AA527" s="205">
        <f t="shared" si="76"/>
        <v>0</v>
      </c>
      <c r="AN527" s="205">
        <f t="shared" si="77"/>
        <v>0</v>
      </c>
    </row>
    <row r="528" spans="1:53">
      <c r="A528" s="869">
        <v>561.79999999999995</v>
      </c>
      <c r="B528" s="866" t="s">
        <v>869</v>
      </c>
      <c r="N528" s="205"/>
      <c r="AA528" s="205">
        <f t="shared" si="76"/>
        <v>0</v>
      </c>
      <c r="AN528" s="205">
        <f t="shared" si="77"/>
        <v>0</v>
      </c>
    </row>
    <row r="529" spans="1:40">
      <c r="A529" s="869" t="s">
        <v>753</v>
      </c>
      <c r="B529" s="866" t="s">
        <v>983</v>
      </c>
      <c r="N529" s="205"/>
      <c r="AA529" s="205">
        <f t="shared" si="76"/>
        <v>0</v>
      </c>
      <c r="AN529" s="205">
        <f t="shared" si="77"/>
        <v>0</v>
      </c>
    </row>
    <row r="530" spans="1:40">
      <c r="A530" s="869">
        <v>562.1</v>
      </c>
      <c r="B530" s="866" t="s">
        <v>983</v>
      </c>
      <c r="N530" s="205"/>
      <c r="AA530" s="205">
        <f t="shared" si="76"/>
        <v>0</v>
      </c>
      <c r="AN530" s="205">
        <f t="shared" si="77"/>
        <v>0</v>
      </c>
    </row>
    <row r="531" spans="1:40">
      <c r="A531" s="869" t="s">
        <v>755</v>
      </c>
      <c r="B531" s="866" t="s">
        <v>984</v>
      </c>
      <c r="N531" s="205"/>
      <c r="AA531" s="205">
        <f t="shared" si="76"/>
        <v>0</v>
      </c>
      <c r="AN531" s="205">
        <f t="shared" si="77"/>
        <v>0</v>
      </c>
    </row>
    <row r="532" spans="1:40">
      <c r="A532" s="869">
        <v>563.1</v>
      </c>
      <c r="B532" s="866" t="s">
        <v>984</v>
      </c>
      <c r="N532" s="205"/>
      <c r="AA532" s="205">
        <f t="shared" si="76"/>
        <v>0</v>
      </c>
      <c r="AN532" s="205">
        <f t="shared" si="77"/>
        <v>0</v>
      </c>
    </row>
    <row r="533" spans="1:40">
      <c r="A533" s="869" t="s">
        <v>649</v>
      </c>
      <c r="B533" s="866" t="s">
        <v>99</v>
      </c>
      <c r="N533" s="205"/>
      <c r="AA533" s="205">
        <f t="shared" si="76"/>
        <v>0</v>
      </c>
      <c r="AN533" s="205">
        <f t="shared" si="77"/>
        <v>0</v>
      </c>
    </row>
    <row r="534" spans="1:40">
      <c r="A534" s="869" t="s">
        <v>757</v>
      </c>
      <c r="B534" s="866" t="s">
        <v>985</v>
      </c>
      <c r="N534" s="205"/>
      <c r="AA534" s="205">
        <f t="shared" si="76"/>
        <v>0</v>
      </c>
      <c r="AN534" s="205">
        <f t="shared" si="77"/>
        <v>0</v>
      </c>
    </row>
    <row r="535" spans="1:40">
      <c r="A535" s="869">
        <v>566.1</v>
      </c>
      <c r="B535" s="866" t="s">
        <v>985</v>
      </c>
      <c r="N535" s="205"/>
      <c r="AA535" s="205">
        <f t="shared" si="76"/>
        <v>0</v>
      </c>
      <c r="AN535" s="205">
        <f t="shared" si="77"/>
        <v>0</v>
      </c>
    </row>
    <row r="536" spans="1:40">
      <c r="A536" s="869" t="s">
        <v>794</v>
      </c>
      <c r="B536" s="866" t="s">
        <v>986</v>
      </c>
      <c r="N536" s="205"/>
      <c r="AA536" s="205">
        <f t="shared" si="76"/>
        <v>0</v>
      </c>
      <c r="AN536" s="205">
        <f t="shared" si="77"/>
        <v>0</v>
      </c>
    </row>
    <row r="537" spans="1:40">
      <c r="A537" s="869">
        <v>566.20000000000005</v>
      </c>
      <c r="B537" s="866" t="s">
        <v>986</v>
      </c>
      <c r="N537" s="205"/>
      <c r="AA537" s="205">
        <f t="shared" si="76"/>
        <v>0</v>
      </c>
      <c r="AN537" s="205">
        <f t="shared" si="77"/>
        <v>0</v>
      </c>
    </row>
    <row r="538" spans="1:40">
      <c r="A538" s="869" t="s">
        <v>100</v>
      </c>
      <c r="B538" s="866" t="s">
        <v>101</v>
      </c>
      <c r="N538" s="205"/>
      <c r="AA538" s="205">
        <f t="shared" si="76"/>
        <v>0</v>
      </c>
      <c r="AN538" s="205">
        <f t="shared" si="77"/>
        <v>0</v>
      </c>
    </row>
    <row r="539" spans="1:40">
      <c r="A539" s="869" t="s">
        <v>796</v>
      </c>
      <c r="B539" s="866" t="s">
        <v>987</v>
      </c>
      <c r="N539" s="205"/>
      <c r="AA539" s="205">
        <f t="shared" si="76"/>
        <v>0</v>
      </c>
      <c r="AN539" s="205">
        <f t="shared" si="77"/>
        <v>0</v>
      </c>
    </row>
    <row r="540" spans="1:40">
      <c r="A540" s="869">
        <v>568.1</v>
      </c>
      <c r="B540" s="866" t="s">
        <v>987</v>
      </c>
      <c r="N540" s="205"/>
      <c r="AA540" s="205">
        <f t="shared" si="76"/>
        <v>0</v>
      </c>
      <c r="AN540" s="205">
        <f t="shared" si="77"/>
        <v>0</v>
      </c>
    </row>
    <row r="541" spans="1:40">
      <c r="A541" s="869" t="s">
        <v>798</v>
      </c>
      <c r="B541" s="866" t="s">
        <v>988</v>
      </c>
      <c r="N541" s="205"/>
      <c r="AA541" s="205">
        <f t="shared" si="76"/>
        <v>0</v>
      </c>
      <c r="AN541" s="205">
        <f t="shared" si="77"/>
        <v>0</v>
      </c>
    </row>
    <row r="542" spans="1:40">
      <c r="A542" s="869" t="s">
        <v>102</v>
      </c>
      <c r="B542" s="866" t="s">
        <v>989</v>
      </c>
      <c r="N542" s="205"/>
      <c r="AA542" s="205">
        <f t="shared" si="76"/>
        <v>0</v>
      </c>
      <c r="AN542" s="205">
        <f t="shared" si="77"/>
        <v>0</v>
      </c>
    </row>
    <row r="543" spans="1:40">
      <c r="A543" s="869">
        <v>569.1</v>
      </c>
      <c r="B543" s="866" t="s">
        <v>989</v>
      </c>
      <c r="N543" s="205"/>
      <c r="AA543" s="205">
        <f t="shared" si="76"/>
        <v>0</v>
      </c>
      <c r="AN543" s="205">
        <f t="shared" si="77"/>
        <v>0</v>
      </c>
    </row>
    <row r="544" spans="1:40">
      <c r="A544" s="869" t="s">
        <v>800</v>
      </c>
      <c r="B544" s="866" t="s">
        <v>990</v>
      </c>
      <c r="N544" s="205"/>
      <c r="AA544" s="205">
        <f t="shared" si="76"/>
        <v>0</v>
      </c>
      <c r="AN544" s="205">
        <f t="shared" si="77"/>
        <v>0</v>
      </c>
    </row>
    <row r="545" spans="1:40">
      <c r="A545" s="869">
        <v>570.1</v>
      </c>
      <c r="B545" s="866" t="s">
        <v>990</v>
      </c>
      <c r="N545" s="205"/>
      <c r="AA545" s="205">
        <f t="shared" si="76"/>
        <v>0</v>
      </c>
      <c r="AN545" s="205">
        <f t="shared" si="77"/>
        <v>0</v>
      </c>
    </row>
    <row r="546" spans="1:40">
      <c r="A546" s="869" t="s">
        <v>802</v>
      </c>
      <c r="B546" s="866" t="s">
        <v>991</v>
      </c>
      <c r="N546" s="205"/>
      <c r="AA546" s="205">
        <f t="shared" si="76"/>
        <v>0</v>
      </c>
      <c r="AN546" s="205">
        <f t="shared" si="77"/>
        <v>0</v>
      </c>
    </row>
    <row r="547" spans="1:40">
      <c r="A547" s="869">
        <v>571.1</v>
      </c>
      <c r="B547" s="866" t="s">
        <v>991</v>
      </c>
      <c r="N547" s="205"/>
      <c r="AA547" s="205">
        <f t="shared" si="76"/>
        <v>0</v>
      </c>
      <c r="AN547" s="205">
        <f t="shared" si="77"/>
        <v>0</v>
      </c>
    </row>
    <row r="548" spans="1:40">
      <c r="A548" s="869" t="s">
        <v>804</v>
      </c>
      <c r="B548" s="866" t="s">
        <v>992</v>
      </c>
      <c r="N548" s="205"/>
      <c r="AA548" s="205">
        <f t="shared" si="76"/>
        <v>0</v>
      </c>
      <c r="AN548" s="205">
        <f t="shared" si="77"/>
        <v>0</v>
      </c>
    </row>
    <row r="549" spans="1:40">
      <c r="A549" s="869">
        <v>573.1</v>
      </c>
      <c r="B549" s="866" t="s">
        <v>992</v>
      </c>
      <c r="N549" s="205"/>
      <c r="AA549" s="205">
        <f t="shared" si="76"/>
        <v>0</v>
      </c>
      <c r="AN549" s="205">
        <f t="shared" si="77"/>
        <v>0</v>
      </c>
    </row>
    <row r="550" spans="1:40">
      <c r="A550" s="869" t="s">
        <v>806</v>
      </c>
      <c r="B550" s="866" t="s">
        <v>993</v>
      </c>
      <c r="N550" s="205"/>
      <c r="AA550" s="205">
        <f t="shared" si="76"/>
        <v>0</v>
      </c>
      <c r="AN550" s="205">
        <f t="shared" si="77"/>
        <v>0</v>
      </c>
    </row>
    <row r="551" spans="1:40">
      <c r="A551" s="869">
        <v>575.70000000000005</v>
      </c>
      <c r="B551" s="866" t="s">
        <v>870</v>
      </c>
      <c r="N551" s="205"/>
      <c r="AA551" s="205">
        <f t="shared" si="76"/>
        <v>0</v>
      </c>
      <c r="AN551" s="205">
        <f t="shared" si="77"/>
        <v>0</v>
      </c>
    </row>
    <row r="552" spans="1:40">
      <c r="A552" s="869" t="s">
        <v>808</v>
      </c>
      <c r="B552" s="866" t="s">
        <v>994</v>
      </c>
      <c r="N552" s="205"/>
      <c r="AA552" s="205">
        <f t="shared" si="76"/>
        <v>0</v>
      </c>
      <c r="AN552" s="205">
        <f t="shared" si="77"/>
        <v>0</v>
      </c>
    </row>
    <row r="553" spans="1:40">
      <c r="A553" s="869">
        <v>908.1</v>
      </c>
      <c r="B553" s="866" t="s">
        <v>994</v>
      </c>
      <c r="N553" s="205"/>
      <c r="AA553" s="205">
        <f t="shared" si="76"/>
        <v>0</v>
      </c>
      <c r="AN553" s="205">
        <f t="shared" si="77"/>
        <v>0</v>
      </c>
    </row>
    <row r="554" spans="1:40">
      <c r="A554" s="869">
        <v>909.1</v>
      </c>
      <c r="B554" s="866" t="s">
        <v>105</v>
      </c>
      <c r="N554" s="205"/>
      <c r="AA554" s="205">
        <f t="shared" si="76"/>
        <v>0</v>
      </c>
      <c r="AN554" s="205">
        <f t="shared" si="77"/>
        <v>0</v>
      </c>
    </row>
    <row r="555" spans="1:40">
      <c r="A555" s="869">
        <v>913.1</v>
      </c>
      <c r="B555" s="866" t="s">
        <v>106</v>
      </c>
      <c r="N555" s="205"/>
      <c r="AA555" s="205">
        <f t="shared" si="76"/>
        <v>0</v>
      </c>
      <c r="AN555" s="205">
        <f t="shared" si="77"/>
        <v>0</v>
      </c>
    </row>
    <row r="556" spans="1:40">
      <c r="A556" s="869" t="s">
        <v>810</v>
      </c>
      <c r="B556" s="866" t="s">
        <v>107</v>
      </c>
      <c r="N556" s="205"/>
      <c r="AA556" s="205">
        <f t="shared" si="76"/>
        <v>0</v>
      </c>
      <c r="AN556" s="205">
        <f t="shared" si="77"/>
        <v>0</v>
      </c>
    </row>
    <row r="557" spans="1:40">
      <c r="A557" s="869" t="s">
        <v>626</v>
      </c>
      <c r="B557" s="866" t="s">
        <v>108</v>
      </c>
      <c r="N557" s="205"/>
      <c r="AA557" s="205">
        <f t="shared" si="76"/>
        <v>0</v>
      </c>
      <c r="AN557" s="205">
        <f t="shared" si="77"/>
        <v>0</v>
      </c>
    </row>
    <row r="558" spans="1:40">
      <c r="A558" s="869" t="s">
        <v>628</v>
      </c>
      <c r="B558" s="866" t="s">
        <v>109</v>
      </c>
      <c r="N558" s="205"/>
      <c r="AA558" s="205">
        <f t="shared" si="76"/>
        <v>0</v>
      </c>
      <c r="AN558" s="205">
        <f t="shared" si="77"/>
        <v>0</v>
      </c>
    </row>
    <row r="559" spans="1:40">
      <c r="A559" s="869">
        <v>921.10500000000002</v>
      </c>
      <c r="B559" s="868" t="s">
        <v>995</v>
      </c>
      <c r="N559" s="205"/>
      <c r="AA559" s="205">
        <f t="shared" si="76"/>
        <v>0</v>
      </c>
      <c r="AN559" s="205">
        <f t="shared" si="77"/>
        <v>0</v>
      </c>
    </row>
    <row r="560" spans="1:40">
      <c r="A560" s="869" t="s">
        <v>637</v>
      </c>
      <c r="B560" s="866" t="s">
        <v>113</v>
      </c>
      <c r="N560" s="205"/>
      <c r="AA560" s="205">
        <f t="shared" ref="AA560:AA570" si="85">SUM(O560:Z560)</f>
        <v>0</v>
      </c>
      <c r="AN560" s="205">
        <f t="shared" ref="AN560:AN570" si="86">SUM(AB560:AM560)</f>
        <v>0</v>
      </c>
    </row>
    <row r="561" spans="1:53">
      <c r="A561" s="869">
        <v>923.1</v>
      </c>
      <c r="B561" s="866" t="s">
        <v>113</v>
      </c>
      <c r="N561" s="205"/>
      <c r="AA561" s="205">
        <f t="shared" si="85"/>
        <v>0</v>
      </c>
      <c r="AN561" s="205">
        <f t="shared" si="86"/>
        <v>0</v>
      </c>
    </row>
    <row r="562" spans="1:53">
      <c r="A562" s="869" t="s">
        <v>114</v>
      </c>
      <c r="B562" s="866" t="s">
        <v>996</v>
      </c>
      <c r="N562" s="205"/>
      <c r="AA562" s="205">
        <f t="shared" si="85"/>
        <v>0</v>
      </c>
      <c r="AN562" s="205">
        <f t="shared" si="86"/>
        <v>0</v>
      </c>
    </row>
    <row r="563" spans="1:53">
      <c r="A563" s="869" t="s">
        <v>115</v>
      </c>
      <c r="B563" s="866" t="s">
        <v>997</v>
      </c>
      <c r="N563" s="205"/>
      <c r="AA563" s="205">
        <f t="shared" si="85"/>
        <v>0</v>
      </c>
      <c r="AN563" s="205">
        <f t="shared" si="86"/>
        <v>0</v>
      </c>
    </row>
    <row r="564" spans="1:53">
      <c r="A564" s="869">
        <v>926.1</v>
      </c>
      <c r="B564" s="866" t="s">
        <v>998</v>
      </c>
      <c r="N564" s="205"/>
      <c r="AA564" s="205">
        <f t="shared" si="85"/>
        <v>0</v>
      </c>
      <c r="AN564" s="205">
        <f t="shared" si="86"/>
        <v>0</v>
      </c>
    </row>
    <row r="565" spans="1:53">
      <c r="A565" s="869" t="s">
        <v>630</v>
      </c>
      <c r="B565" s="866" t="s">
        <v>120</v>
      </c>
      <c r="N565" s="205"/>
      <c r="AA565" s="205">
        <f t="shared" si="85"/>
        <v>0</v>
      </c>
      <c r="AN565" s="205">
        <f t="shared" si="86"/>
        <v>0</v>
      </c>
    </row>
    <row r="566" spans="1:53">
      <c r="A566" s="869">
        <v>930.2</v>
      </c>
      <c r="B566" s="866" t="s">
        <v>999</v>
      </c>
      <c r="N566" s="205"/>
      <c r="AA566" s="205">
        <f t="shared" si="85"/>
        <v>0</v>
      </c>
      <c r="AN566" s="205">
        <f t="shared" si="86"/>
        <v>0</v>
      </c>
    </row>
    <row r="567" spans="1:53">
      <c r="A567" s="869" t="s">
        <v>122</v>
      </c>
      <c r="B567" s="866" t="s">
        <v>123</v>
      </c>
      <c r="N567" s="205"/>
      <c r="AA567" s="205">
        <f t="shared" si="85"/>
        <v>0</v>
      </c>
      <c r="AN567" s="205">
        <f t="shared" si="86"/>
        <v>0</v>
      </c>
    </row>
    <row r="568" spans="1:53">
      <c r="A568" s="869">
        <v>935.1</v>
      </c>
      <c r="B568" s="866" t="s">
        <v>1000</v>
      </c>
      <c r="N568" s="205"/>
      <c r="AA568" s="205">
        <f t="shared" si="85"/>
        <v>0</v>
      </c>
      <c r="AN568" s="205">
        <f t="shared" si="86"/>
        <v>0</v>
      </c>
    </row>
    <row r="569" spans="1:53">
      <c r="A569" s="869">
        <v>935.1</v>
      </c>
      <c r="B569" s="866" t="s">
        <v>1000</v>
      </c>
      <c r="N569" s="205"/>
      <c r="AA569" s="205">
        <f t="shared" si="85"/>
        <v>0</v>
      </c>
      <c r="AN569" s="205">
        <f t="shared" si="86"/>
        <v>0</v>
      </c>
    </row>
    <row r="570" spans="1:53">
      <c r="N570" s="205"/>
      <c r="AA570" s="205">
        <f t="shared" si="85"/>
        <v>0</v>
      </c>
      <c r="AN570" s="205">
        <f t="shared" si="86"/>
        <v>0</v>
      </c>
    </row>
    <row r="571" spans="1:53">
      <c r="F571" s="10">
        <f t="shared" ref="F571:M571" si="87">SUM(F433:F570)</f>
        <v>0</v>
      </c>
      <c r="G571" s="10">
        <f t="shared" si="87"/>
        <v>0</v>
      </c>
      <c r="H571" s="10">
        <f t="shared" si="87"/>
        <v>0</v>
      </c>
      <c r="I571" s="10">
        <f t="shared" si="87"/>
        <v>0</v>
      </c>
      <c r="J571" s="10">
        <f t="shared" si="87"/>
        <v>0</v>
      </c>
      <c r="K571" s="10">
        <f t="shared" si="87"/>
        <v>0</v>
      </c>
      <c r="L571" s="10">
        <f t="shared" si="87"/>
        <v>0</v>
      </c>
      <c r="M571" s="10">
        <f t="shared" si="87"/>
        <v>0</v>
      </c>
      <c r="N571" s="205"/>
      <c r="O571" s="10">
        <f t="shared" ref="O571:Z571" si="88">SUM(O433:O570)</f>
        <v>3.7125089999999998</v>
      </c>
      <c r="P571" s="10">
        <f t="shared" si="88"/>
        <v>3.7182079999999997</v>
      </c>
      <c r="Q571" s="10">
        <f t="shared" si="88"/>
        <v>3.7220400000000002</v>
      </c>
      <c r="R571" s="10">
        <f t="shared" si="88"/>
        <v>3.7318599999999993</v>
      </c>
      <c r="S571" s="10">
        <f t="shared" si="88"/>
        <v>3.7477089999999995</v>
      </c>
      <c r="T571" s="10">
        <f t="shared" si="88"/>
        <v>3.7605329999999992</v>
      </c>
      <c r="U571" s="10">
        <f t="shared" si="88"/>
        <v>3.7685539999999995</v>
      </c>
      <c r="V571" s="10">
        <f t="shared" si="88"/>
        <v>3.7754479999999995</v>
      </c>
      <c r="W571" s="10">
        <f t="shared" si="88"/>
        <v>3.9188799999999997</v>
      </c>
      <c r="X571" s="10">
        <f t="shared" si="88"/>
        <v>3.9250009999999991</v>
      </c>
      <c r="Y571" s="10">
        <f t="shared" si="88"/>
        <v>3.9351119999999997</v>
      </c>
      <c r="Z571" s="10">
        <f t="shared" si="88"/>
        <v>3.9396549999999997</v>
      </c>
      <c r="AA571" s="205">
        <f t="shared" ref="AA571" si="89">SUM(O571:Z571)</f>
        <v>45.655508999999995</v>
      </c>
      <c r="AB571" s="10">
        <f t="shared" ref="AB571:AM571" si="90">SUM(AB433:AB570)</f>
        <v>3.9403769999999998</v>
      </c>
      <c r="AC571" s="10">
        <f t="shared" si="90"/>
        <v>3.9444709999999996</v>
      </c>
      <c r="AD571" s="10">
        <f t="shared" si="90"/>
        <v>3.9470689999999995</v>
      </c>
      <c r="AE571" s="10">
        <f t="shared" si="90"/>
        <v>3.9534689999999997</v>
      </c>
      <c r="AF571" s="10">
        <f t="shared" si="90"/>
        <v>3.9760529999999994</v>
      </c>
      <c r="AG571" s="10">
        <f t="shared" si="90"/>
        <v>3.9997319999999994</v>
      </c>
      <c r="AH571" s="10">
        <f t="shared" si="90"/>
        <v>4.0043899999999999</v>
      </c>
      <c r="AI571" s="10">
        <f t="shared" si="90"/>
        <v>4.0089589999999991</v>
      </c>
      <c r="AJ571" s="10">
        <f t="shared" si="90"/>
        <v>4.1398339999999996</v>
      </c>
      <c r="AK571" s="10">
        <f t="shared" si="90"/>
        <v>4.1472959999999999</v>
      </c>
      <c r="AL571" s="10">
        <f t="shared" si="90"/>
        <v>4.1550090000000006</v>
      </c>
      <c r="AM571" s="10">
        <f t="shared" si="90"/>
        <v>4.1553690000000003</v>
      </c>
      <c r="AN571" s="205">
        <f t="shared" ref="AN571" si="91">SUM(AB571:AM571)</f>
        <v>48.372027999999993</v>
      </c>
      <c r="AO571" s="10">
        <f t="shared" ref="AO571:AY571" si="92">SUM(AO433:AO570)</f>
        <v>50.457698000000008</v>
      </c>
      <c r="AP571" s="10">
        <f t="shared" si="92"/>
        <v>51.495590999999997</v>
      </c>
      <c r="AQ571" s="10">
        <f t="shared" si="92"/>
        <v>52.413693746724739</v>
      </c>
      <c r="AR571" s="10">
        <f t="shared" si="92"/>
        <v>53.36335807154709</v>
      </c>
      <c r="AS571" s="10">
        <f t="shared" si="92"/>
        <v>54.209025790446802</v>
      </c>
      <c r="AT571" s="10">
        <f t="shared" si="92"/>
        <v>55.180719191621598</v>
      </c>
      <c r="AU571" s="10">
        <f t="shared" si="92"/>
        <v>56.181563394831642</v>
      </c>
      <c r="AV571" s="10">
        <f t="shared" si="92"/>
        <v>57.212432924137971</v>
      </c>
      <c r="AW571" s="10">
        <f t="shared" si="92"/>
        <v>58.274228539323516</v>
      </c>
      <c r="AX571" s="10">
        <f t="shared" si="92"/>
        <v>59.367878022964632</v>
      </c>
      <c r="AY571" s="10">
        <f t="shared" si="92"/>
        <v>60.49433699111497</v>
      </c>
      <c r="AZ571" s="928"/>
      <c r="BA571" s="928"/>
    </row>
    <row r="574" spans="1:53">
      <c r="F574" s="10">
        <f t="shared" ref="F574:M574" si="93">F53</f>
        <v>0</v>
      </c>
      <c r="G574" s="10">
        <f t="shared" si="93"/>
        <v>0</v>
      </c>
      <c r="H574" s="10">
        <f t="shared" si="93"/>
        <v>0</v>
      </c>
      <c r="I574" s="10">
        <f t="shared" si="93"/>
        <v>0</v>
      </c>
      <c r="J574" s="10">
        <f t="shared" si="93"/>
        <v>0</v>
      </c>
      <c r="K574" s="10">
        <f t="shared" si="93"/>
        <v>0</v>
      </c>
      <c r="L574" s="10">
        <f t="shared" si="93"/>
        <v>0</v>
      </c>
      <c r="M574" s="10">
        <f t="shared" si="93"/>
        <v>0</v>
      </c>
      <c r="N574" s="205"/>
      <c r="O574" s="10">
        <f t="shared" ref="O574:AY574" si="94">O53</f>
        <v>3.7125089999999998</v>
      </c>
      <c r="P574" s="10">
        <f t="shared" si="94"/>
        <v>3.7182079999999997</v>
      </c>
      <c r="Q574" s="10">
        <f t="shared" si="94"/>
        <v>3.7220400000000002</v>
      </c>
      <c r="R574" s="10">
        <f t="shared" si="94"/>
        <v>3.7318599999999993</v>
      </c>
      <c r="S574" s="10">
        <f t="shared" si="94"/>
        <v>3.7477089999999995</v>
      </c>
      <c r="T574" s="10">
        <f t="shared" si="94"/>
        <v>3.7605329999999992</v>
      </c>
      <c r="U574" s="10">
        <f t="shared" si="94"/>
        <v>3.7685539999999995</v>
      </c>
      <c r="V574" s="10">
        <f t="shared" si="94"/>
        <v>3.7754479999999995</v>
      </c>
      <c r="W574" s="10">
        <f t="shared" si="94"/>
        <v>3.9188799999999997</v>
      </c>
      <c r="X574" s="10">
        <f t="shared" si="94"/>
        <v>3.9250009999999991</v>
      </c>
      <c r="Y574" s="10">
        <f t="shared" si="94"/>
        <v>3.9351119999999997</v>
      </c>
      <c r="Z574" s="10">
        <f t="shared" si="94"/>
        <v>3.9396549999999997</v>
      </c>
      <c r="AA574" s="205">
        <f t="shared" si="94"/>
        <v>45.655509000000002</v>
      </c>
      <c r="AB574" s="10">
        <f t="shared" si="94"/>
        <v>3.9403769999999998</v>
      </c>
      <c r="AC574" s="10">
        <f t="shared" si="94"/>
        <v>3.9444709999999996</v>
      </c>
      <c r="AD574" s="10">
        <f t="shared" si="94"/>
        <v>3.9470689999999995</v>
      </c>
      <c r="AE574" s="10">
        <f t="shared" si="94"/>
        <v>3.9534689999999997</v>
      </c>
      <c r="AF574" s="10">
        <f t="shared" si="94"/>
        <v>3.9760529999999994</v>
      </c>
      <c r="AG574" s="10">
        <f t="shared" si="94"/>
        <v>3.9997319999999994</v>
      </c>
      <c r="AH574" s="10">
        <f t="shared" si="94"/>
        <v>4.0043899999999999</v>
      </c>
      <c r="AI574" s="10">
        <f t="shared" si="94"/>
        <v>4.0089589999999991</v>
      </c>
      <c r="AJ574" s="10">
        <f t="shared" si="94"/>
        <v>4.1398339999999996</v>
      </c>
      <c r="AK574" s="10">
        <f t="shared" si="94"/>
        <v>4.1472959999999999</v>
      </c>
      <c r="AL574" s="10">
        <f t="shared" si="94"/>
        <v>4.1550090000000006</v>
      </c>
      <c r="AM574" s="10">
        <f t="shared" si="94"/>
        <v>4.1553690000000003</v>
      </c>
      <c r="AN574" s="205">
        <f t="shared" si="94"/>
        <v>48.372028000000007</v>
      </c>
      <c r="AO574" s="10">
        <f t="shared" si="94"/>
        <v>50.457698000000008</v>
      </c>
      <c r="AP574" s="10">
        <f t="shared" si="94"/>
        <v>51.495590999999997</v>
      </c>
      <c r="AQ574" s="10">
        <f t="shared" si="94"/>
        <v>52.413693746724739</v>
      </c>
      <c r="AR574" s="10">
        <f t="shared" si="94"/>
        <v>53.36335807154709</v>
      </c>
      <c r="AS574" s="10">
        <f t="shared" si="94"/>
        <v>54.209025790446795</v>
      </c>
      <c r="AT574" s="10">
        <f t="shared" si="94"/>
        <v>55.180719191621598</v>
      </c>
      <c r="AU574" s="10">
        <f t="shared" si="94"/>
        <v>56.181563394831635</v>
      </c>
      <c r="AV574" s="10">
        <f t="shared" si="94"/>
        <v>57.212432924137978</v>
      </c>
      <c r="AW574" s="10">
        <f t="shared" si="94"/>
        <v>58.274228539323524</v>
      </c>
      <c r="AX574" s="10">
        <f t="shared" si="94"/>
        <v>59.367878022964625</v>
      </c>
      <c r="AY574" s="10">
        <f t="shared" si="94"/>
        <v>60.49433699111497</v>
      </c>
      <c r="AZ574" s="928"/>
      <c r="BA574" s="928"/>
    </row>
    <row r="575" spans="1:53">
      <c r="F575" s="10">
        <f>F571-F574</f>
        <v>0</v>
      </c>
      <c r="G575" s="10">
        <f t="shared" ref="G575:O575" si="95">G571-G574</f>
        <v>0</v>
      </c>
      <c r="H575" s="10">
        <f t="shared" si="95"/>
        <v>0</v>
      </c>
      <c r="I575" s="10">
        <f t="shared" si="95"/>
        <v>0</v>
      </c>
      <c r="J575" s="10">
        <f t="shared" si="95"/>
        <v>0</v>
      </c>
      <c r="K575" s="10">
        <f t="shared" si="95"/>
        <v>0</v>
      </c>
      <c r="L575" s="10">
        <f t="shared" si="95"/>
        <v>0</v>
      </c>
      <c r="M575" s="10">
        <f t="shared" si="95"/>
        <v>0</v>
      </c>
      <c r="N575" s="205"/>
      <c r="O575" s="10">
        <f t="shared" si="95"/>
        <v>0</v>
      </c>
      <c r="P575" s="10">
        <f t="shared" ref="P575:AA575" si="96">P571-P574</f>
        <v>0</v>
      </c>
      <c r="Q575" s="10">
        <f t="shared" si="96"/>
        <v>0</v>
      </c>
      <c r="R575" s="10">
        <f t="shared" si="96"/>
        <v>0</v>
      </c>
      <c r="S575" s="10">
        <f t="shared" si="96"/>
        <v>0</v>
      </c>
      <c r="T575" s="10">
        <f t="shared" si="96"/>
        <v>0</v>
      </c>
      <c r="U575" s="10">
        <f t="shared" si="96"/>
        <v>0</v>
      </c>
      <c r="V575" s="10">
        <f t="shared" si="96"/>
        <v>0</v>
      </c>
      <c r="W575" s="10">
        <f t="shared" si="96"/>
        <v>0</v>
      </c>
      <c r="X575" s="10">
        <f t="shared" si="96"/>
        <v>0</v>
      </c>
      <c r="Y575" s="10">
        <f t="shared" si="96"/>
        <v>0</v>
      </c>
      <c r="Z575" s="10">
        <f t="shared" si="96"/>
        <v>0</v>
      </c>
      <c r="AA575" s="205">
        <f t="shared" si="96"/>
        <v>0</v>
      </c>
      <c r="AB575" s="10">
        <f t="shared" ref="AB575:AN575" si="97">AB571-AB574</f>
        <v>0</v>
      </c>
      <c r="AC575" s="10">
        <f t="shared" si="97"/>
        <v>0</v>
      </c>
      <c r="AD575" s="10">
        <f t="shared" si="97"/>
        <v>0</v>
      </c>
      <c r="AE575" s="10">
        <f t="shared" si="97"/>
        <v>0</v>
      </c>
      <c r="AF575" s="10">
        <f t="shared" si="97"/>
        <v>0</v>
      </c>
      <c r="AG575" s="10">
        <f t="shared" si="97"/>
        <v>0</v>
      </c>
      <c r="AH575" s="10">
        <f t="shared" si="97"/>
        <v>0</v>
      </c>
      <c r="AI575" s="10">
        <f t="shared" si="97"/>
        <v>0</v>
      </c>
      <c r="AJ575" s="10">
        <f t="shared" si="97"/>
        <v>0</v>
      </c>
      <c r="AK575" s="10">
        <f t="shared" si="97"/>
        <v>0</v>
      </c>
      <c r="AL575" s="10">
        <f t="shared" si="97"/>
        <v>0</v>
      </c>
      <c r="AM575" s="10">
        <f t="shared" si="97"/>
        <v>0</v>
      </c>
      <c r="AN575" s="205">
        <f t="shared" si="97"/>
        <v>0</v>
      </c>
      <c r="AO575" s="10">
        <f t="shared" ref="AO575:AY575" si="98">AO571-AO574</f>
        <v>0</v>
      </c>
      <c r="AP575" s="10">
        <f t="shared" si="98"/>
        <v>0</v>
      </c>
      <c r="AQ575" s="10">
        <f t="shared" si="98"/>
        <v>0</v>
      </c>
      <c r="AR575" s="10">
        <f t="shared" si="98"/>
        <v>0</v>
      </c>
      <c r="AS575" s="10">
        <f t="shared" si="98"/>
        <v>0</v>
      </c>
      <c r="AT575" s="10">
        <f t="shared" si="98"/>
        <v>0</v>
      </c>
      <c r="AU575" s="10">
        <f t="shared" si="98"/>
        <v>0</v>
      </c>
      <c r="AV575" s="10">
        <f t="shared" si="98"/>
        <v>0</v>
      </c>
      <c r="AW575" s="10">
        <f t="shared" si="98"/>
        <v>0</v>
      </c>
      <c r="AX575" s="10">
        <f t="shared" si="98"/>
        <v>0</v>
      </c>
      <c r="AY575" s="10">
        <f t="shared" si="98"/>
        <v>0</v>
      </c>
      <c r="AZ575" s="928"/>
      <c r="BA575" s="928"/>
    </row>
  </sheetData>
  <phoneticPr fontId="6" type="noConversion"/>
  <pageMargins left="0.75" right="0.75" top="1" bottom="1" header="0.5" footer="0.5"/>
  <pageSetup scale="10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3:BR576"/>
  <sheetViews>
    <sheetView workbookViewId="0">
      <pane xSplit="4" ySplit="5" topLeftCell="AS25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P121" sqref="P121"/>
    </sheetView>
  </sheetViews>
  <sheetFormatPr defaultColWidth="9.140625" defaultRowHeight="12.75"/>
  <cols>
    <col min="1" max="1" width="8.42578125" customWidth="1"/>
    <col min="2" max="2" width="25.28515625" customWidth="1"/>
    <col min="4" max="4" width="8.42578125" customWidth="1"/>
    <col min="5" max="5" width="7.5703125" hidden="1" customWidth="1"/>
    <col min="6" max="6" width="10.7109375" hidden="1" customWidth="1"/>
    <col min="7" max="7" width="10.7109375" style="165" hidden="1" customWidth="1"/>
    <col min="8" max="13" width="10.7109375" hidden="1" customWidth="1"/>
    <col min="14" max="14" width="13" customWidth="1"/>
    <col min="15" max="15" width="12.42578125" style="88" customWidth="1"/>
    <col min="16" max="19" width="11" customWidth="1"/>
    <col min="20" max="20" width="9.5703125" customWidth="1"/>
    <col min="21" max="27" width="11" customWidth="1"/>
    <col min="28" max="28" width="10.7109375" style="88" customWidth="1"/>
    <col min="29" max="39" width="10.140625" customWidth="1"/>
    <col min="40" max="40" width="10" customWidth="1"/>
    <col min="41" max="41" width="10.85546875" style="88" customWidth="1"/>
    <col min="42" max="42" width="9.7109375" customWidth="1"/>
    <col min="43" max="43" width="11" customWidth="1"/>
    <col min="44" max="44" width="10.5703125" bestFit="1" customWidth="1"/>
    <col min="45" max="45" width="11.28515625" customWidth="1"/>
    <col min="46" max="46" width="10.5703125" bestFit="1" customWidth="1"/>
    <col min="47" max="47" width="10.5703125" customWidth="1"/>
    <col min="48" max="49" width="10.42578125" bestFit="1" customWidth="1"/>
    <col min="50" max="50" width="10.5703125" bestFit="1" customWidth="1"/>
    <col min="51" max="51" width="10.85546875" bestFit="1" customWidth="1"/>
    <col min="52" max="54" width="10.5703125" bestFit="1" customWidth="1"/>
    <col min="55" max="55" width="9.7109375" bestFit="1" customWidth="1"/>
    <col min="56" max="56" width="10.7109375" customWidth="1"/>
    <col min="57" max="60" width="9.7109375" bestFit="1" customWidth="1"/>
    <col min="61" max="61" width="10.85546875" bestFit="1" customWidth="1"/>
    <col min="62" max="67" width="9.7109375" bestFit="1" customWidth="1"/>
    <col min="68" max="69" width="9.42578125" bestFit="1" customWidth="1"/>
    <col min="71" max="71" width="10.28515625" bestFit="1" customWidth="1"/>
  </cols>
  <sheetData>
    <row r="3" spans="1:69" s="1" customFormat="1">
      <c r="F3" s="180"/>
      <c r="G3" s="187"/>
      <c r="H3" s="180"/>
      <c r="I3" s="180"/>
      <c r="J3" s="180"/>
      <c r="K3" s="180"/>
      <c r="L3" s="180"/>
      <c r="M3" s="180"/>
      <c r="N3" s="180">
        <v>2012</v>
      </c>
      <c r="O3" s="181"/>
      <c r="P3" s="180">
        <f>'Stmts RUS'!G1</f>
        <v>2013</v>
      </c>
      <c r="Q3" s="180">
        <f>'Stmts RUS'!H1</f>
        <v>2013</v>
      </c>
      <c r="R3" s="180">
        <f>'Stmts RUS'!I1</f>
        <v>2013</v>
      </c>
      <c r="S3" s="180">
        <f>'Stmts RUS'!J1</f>
        <v>2013</v>
      </c>
      <c r="T3" s="180">
        <f>'Stmts RUS'!K1</f>
        <v>2013</v>
      </c>
      <c r="U3" s="180">
        <f>'Stmts RUS'!L1</f>
        <v>2013</v>
      </c>
      <c r="V3" s="180">
        <f>'Stmts RUS'!M1</f>
        <v>2013</v>
      </c>
      <c r="W3" s="180">
        <f>'Stmts RUS'!N1</f>
        <v>2013</v>
      </c>
      <c r="X3" s="180">
        <f>'Stmts RUS'!O1</f>
        <v>2013</v>
      </c>
      <c r="Y3" s="180">
        <f>'Stmts RUS'!P1</f>
        <v>2013</v>
      </c>
      <c r="Z3" s="180">
        <f>'Stmts RUS'!Q1</f>
        <v>2013</v>
      </c>
      <c r="AA3" s="180">
        <f>'Stmts RUS'!R1</f>
        <v>2013</v>
      </c>
      <c r="AB3" s="181">
        <f>'Stmts RUS'!S1</f>
        <v>0</v>
      </c>
      <c r="AC3" s="180">
        <f>'Stmts RUS'!T1</f>
        <v>2014</v>
      </c>
      <c r="AD3" s="180">
        <f>'Stmts RUS'!U1</f>
        <v>2014</v>
      </c>
      <c r="AE3" s="180">
        <f>'Stmts RUS'!V1</f>
        <v>2014</v>
      </c>
      <c r="AF3" s="180">
        <f>'Stmts RUS'!W1</f>
        <v>2014</v>
      </c>
      <c r="AG3" s="180">
        <f>'Stmts RUS'!X1</f>
        <v>2014</v>
      </c>
      <c r="AH3" s="180">
        <f>'Stmts RUS'!Y1</f>
        <v>2014</v>
      </c>
      <c r="AI3" s="180">
        <f>'Stmts RUS'!Z1</f>
        <v>2014</v>
      </c>
      <c r="AJ3" s="180">
        <f>'Stmts RUS'!AA1</f>
        <v>2014</v>
      </c>
      <c r="AK3" s="180">
        <f>'Stmts RUS'!AB1</f>
        <v>2014</v>
      </c>
      <c r="AL3" s="180">
        <f>'Stmts RUS'!AC1</f>
        <v>2014</v>
      </c>
      <c r="AM3" s="180">
        <f>'Stmts RUS'!AD1</f>
        <v>2014</v>
      </c>
      <c r="AN3" s="180">
        <f>'Stmts RUS'!AE1</f>
        <v>2014</v>
      </c>
      <c r="AO3" s="181">
        <f>'Stmts RUS'!AF1</f>
        <v>0</v>
      </c>
    </row>
    <row r="4" spans="1:69" s="1" customFormat="1">
      <c r="F4" s="180"/>
      <c r="G4" s="187"/>
      <c r="H4" s="180"/>
      <c r="I4" s="180"/>
      <c r="J4" s="180"/>
      <c r="K4" s="180"/>
      <c r="L4" s="180"/>
      <c r="M4" s="180"/>
      <c r="N4" s="434" t="s">
        <v>527</v>
      </c>
      <c r="O4" s="181"/>
      <c r="P4" s="180" t="str">
        <f>'Stmts RUS'!G2</f>
        <v>January</v>
      </c>
      <c r="Q4" s="180" t="str">
        <f>'Stmts RUS'!H2</f>
        <v>February</v>
      </c>
      <c r="R4" s="180" t="str">
        <f>'Stmts RUS'!I2</f>
        <v>March</v>
      </c>
      <c r="S4" s="180" t="str">
        <f>'Stmts RUS'!J2</f>
        <v>April</v>
      </c>
      <c r="T4" s="180" t="str">
        <f>'Stmts RUS'!K2</f>
        <v>May</v>
      </c>
      <c r="U4" s="180" t="str">
        <f>'Stmts RUS'!L2</f>
        <v>June</v>
      </c>
      <c r="V4" s="180" t="str">
        <f>'Stmts RUS'!M2</f>
        <v>July</v>
      </c>
      <c r="W4" s="180" t="str">
        <f>'Stmts RUS'!N2</f>
        <v>August</v>
      </c>
      <c r="X4" s="180" t="str">
        <f>'Stmts RUS'!O2</f>
        <v>September</v>
      </c>
      <c r="Y4" s="180" t="str">
        <f>'Stmts RUS'!P2</f>
        <v>October</v>
      </c>
      <c r="Z4" s="180" t="str">
        <f>'Stmts RUS'!Q2</f>
        <v>November</v>
      </c>
      <c r="AA4" s="180" t="str">
        <f>'Stmts RUS'!R2</f>
        <v>December</v>
      </c>
      <c r="AB4" s="181">
        <f>'Stmts RUS'!S2</f>
        <v>2013</v>
      </c>
      <c r="AC4" s="180" t="str">
        <f>'Stmts RUS'!T2</f>
        <v>January</v>
      </c>
      <c r="AD4" s="180" t="str">
        <f>'Stmts RUS'!U2</f>
        <v>February</v>
      </c>
      <c r="AE4" s="180" t="str">
        <f>'Stmts RUS'!V2</f>
        <v>March</v>
      </c>
      <c r="AF4" s="180" t="str">
        <f>'Stmts RUS'!W2</f>
        <v>April</v>
      </c>
      <c r="AG4" s="180" t="str">
        <f>'Stmts RUS'!X2</f>
        <v>May</v>
      </c>
      <c r="AH4" s="180" t="str">
        <f>'Stmts RUS'!Y2</f>
        <v>June</v>
      </c>
      <c r="AI4" s="180" t="str">
        <f>'Stmts RUS'!Z2</f>
        <v>July</v>
      </c>
      <c r="AJ4" s="180" t="str">
        <f>'Stmts RUS'!AA2</f>
        <v>August</v>
      </c>
      <c r="AK4" s="180" t="str">
        <f>'Stmts RUS'!AB2</f>
        <v>September</v>
      </c>
      <c r="AL4" s="180" t="str">
        <f>'Stmts RUS'!AC2</f>
        <v>October</v>
      </c>
      <c r="AM4" s="180" t="str">
        <f>'Stmts RUS'!AD2</f>
        <v>November</v>
      </c>
      <c r="AN4" s="180" t="str">
        <f>'Stmts RUS'!AE2</f>
        <v>December</v>
      </c>
      <c r="AO4" s="181">
        <f>'Stmts RUS'!AF2</f>
        <v>2014</v>
      </c>
      <c r="AP4" s="1">
        <f>'Stmts RUS'!AG2</f>
        <v>2015</v>
      </c>
      <c r="AQ4" s="1">
        <f>'Stmts RUS'!AH2</f>
        <v>2016</v>
      </c>
      <c r="AR4" s="1">
        <f>'Stmts RUS'!AI2</f>
        <v>2017</v>
      </c>
      <c r="AS4" s="1">
        <f>'Stmts RUS'!AJ2</f>
        <v>2018</v>
      </c>
      <c r="AT4" s="1">
        <f>'Stmts RUS'!AK2</f>
        <v>2019</v>
      </c>
      <c r="AU4" s="1">
        <f>'Stmts RUS'!AL2</f>
        <v>2020</v>
      </c>
      <c r="AV4" s="1">
        <f>'Stmts RUS'!AM2</f>
        <v>2021</v>
      </c>
      <c r="AW4" s="1">
        <f>'Stmts RUS'!AN2</f>
        <v>2022</v>
      </c>
      <c r="AX4" s="1">
        <f>'Stmts RUS'!AO2</f>
        <v>2023</v>
      </c>
      <c r="AY4" s="1">
        <f>'Stmts RUS'!AP2</f>
        <v>2024</v>
      </c>
      <c r="AZ4" s="1">
        <f>AY4+1</f>
        <v>2025</v>
      </c>
      <c r="BA4" s="1">
        <f>AZ4+1</f>
        <v>2026</v>
      </c>
      <c r="BB4" s="1">
        <f>BA4+1</f>
        <v>2027</v>
      </c>
      <c r="BC4" s="1">
        <f t="shared" ref="BC4:BQ4" si="0">BB4+1</f>
        <v>2028</v>
      </c>
      <c r="BD4" s="1">
        <f t="shared" si="0"/>
        <v>2029</v>
      </c>
      <c r="BE4" s="1">
        <f t="shared" si="0"/>
        <v>2030</v>
      </c>
      <c r="BF4" s="1">
        <f t="shared" si="0"/>
        <v>2031</v>
      </c>
      <c r="BG4" s="1">
        <f t="shared" si="0"/>
        <v>2032</v>
      </c>
      <c r="BH4" s="1">
        <f t="shared" si="0"/>
        <v>2033</v>
      </c>
      <c r="BI4" s="1">
        <f t="shared" si="0"/>
        <v>2034</v>
      </c>
      <c r="BJ4" s="1">
        <f t="shared" si="0"/>
        <v>2035</v>
      </c>
      <c r="BK4" s="1">
        <f t="shared" si="0"/>
        <v>2036</v>
      </c>
      <c r="BL4" s="1">
        <f t="shared" si="0"/>
        <v>2037</v>
      </c>
      <c r="BM4" s="1">
        <f t="shared" si="0"/>
        <v>2038</v>
      </c>
      <c r="BN4" s="1">
        <f t="shared" si="0"/>
        <v>2039</v>
      </c>
      <c r="BO4" s="1">
        <f t="shared" si="0"/>
        <v>2040</v>
      </c>
      <c r="BP4" s="1">
        <f t="shared" si="0"/>
        <v>2041</v>
      </c>
      <c r="BQ4" s="1">
        <f t="shared" si="0"/>
        <v>2042</v>
      </c>
    </row>
    <row r="5" spans="1:69" s="1" customFormat="1">
      <c r="D5" s="1" t="s">
        <v>534</v>
      </c>
      <c r="F5" s="180"/>
      <c r="G5" s="187"/>
      <c r="H5" s="180"/>
      <c r="I5" s="180"/>
      <c r="J5" s="180"/>
      <c r="K5" s="180"/>
      <c r="L5" s="180"/>
      <c r="M5" s="180"/>
      <c r="N5" s="180"/>
      <c r="O5" s="181"/>
      <c r="P5" s="180">
        <f>PCM!N4</f>
        <v>31</v>
      </c>
      <c r="Q5" s="180">
        <f>PCM!O4</f>
        <v>28</v>
      </c>
      <c r="R5" s="180">
        <f>PCM!P4</f>
        <v>31</v>
      </c>
      <c r="S5" s="180">
        <f>PCM!Q4</f>
        <v>30</v>
      </c>
      <c r="T5" s="180">
        <f>PCM!R4</f>
        <v>31</v>
      </c>
      <c r="U5" s="180">
        <f>PCM!S4</f>
        <v>30</v>
      </c>
      <c r="V5" s="180">
        <f>PCM!T4</f>
        <v>31</v>
      </c>
      <c r="W5" s="180">
        <f>PCM!U4</f>
        <v>31</v>
      </c>
      <c r="X5" s="180">
        <f>PCM!V4</f>
        <v>30</v>
      </c>
      <c r="Y5" s="180">
        <f>PCM!W4</f>
        <v>31</v>
      </c>
      <c r="Z5" s="180">
        <f>PCM!X4</f>
        <v>30</v>
      </c>
      <c r="AA5" s="180">
        <f>PCM!Y4</f>
        <v>31</v>
      </c>
      <c r="AB5" s="181">
        <f>PCM!Z4</f>
        <v>365</v>
      </c>
      <c r="AC5" s="180">
        <f>PCM!AA4</f>
        <v>31</v>
      </c>
      <c r="AD5" s="180">
        <f>PCM!AB4</f>
        <v>28</v>
      </c>
      <c r="AE5" s="180">
        <f>PCM!AC4</f>
        <v>31</v>
      </c>
      <c r="AF5" s="180">
        <f>PCM!AD4</f>
        <v>30</v>
      </c>
      <c r="AG5" s="180">
        <f>PCM!AE4</f>
        <v>31</v>
      </c>
      <c r="AH5" s="180">
        <f>PCM!AF4</f>
        <v>30</v>
      </c>
      <c r="AI5" s="180">
        <f>PCM!AG4</f>
        <v>31</v>
      </c>
      <c r="AJ5" s="180">
        <f>PCM!AH4</f>
        <v>31</v>
      </c>
      <c r="AK5" s="180">
        <f>PCM!AI4</f>
        <v>30</v>
      </c>
      <c r="AL5" s="180">
        <f>PCM!AJ4</f>
        <v>31</v>
      </c>
      <c r="AM5" s="180">
        <f>PCM!AK4</f>
        <v>30</v>
      </c>
      <c r="AN5" s="180">
        <f>PCM!AL4</f>
        <v>31</v>
      </c>
      <c r="AO5" s="181">
        <f>PCM!AM4</f>
        <v>365</v>
      </c>
    </row>
    <row r="6" spans="1:69">
      <c r="D6" s="95"/>
      <c r="E6" s="95"/>
      <c r="F6" s="95"/>
      <c r="G6" s="315"/>
      <c r="H6" s="95"/>
      <c r="I6" s="95"/>
      <c r="J6" s="95"/>
      <c r="K6" s="95"/>
      <c r="L6" s="95"/>
      <c r="M6" s="95"/>
      <c r="N6" s="95"/>
      <c r="O6" s="219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219"/>
      <c r="AC6" s="64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219"/>
      <c r="AP6" s="567">
        <f>PMT(AP9,28,-AP8,0)</f>
        <v>3.168282727787143</v>
      </c>
      <c r="AQ6" s="64"/>
      <c r="AR6" s="64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</row>
    <row r="7" spans="1:69">
      <c r="A7" s="79"/>
      <c r="B7" s="34" t="s">
        <v>1023</v>
      </c>
      <c r="N7" s="520"/>
    </row>
    <row r="8" spans="1:69" s="80" customFormat="1">
      <c r="B8" s="80" t="s">
        <v>367</v>
      </c>
      <c r="G8" s="623"/>
      <c r="N8" s="735">
        <f>M8-M11</f>
        <v>0</v>
      </c>
      <c r="O8" s="615"/>
      <c r="P8" s="80">
        <f>N8-N11</f>
        <v>0</v>
      </c>
      <c r="Q8" s="80">
        <f t="shared" ref="Q8:Y8" si="1">P8-P11</f>
        <v>0</v>
      </c>
      <c r="R8" s="80">
        <f t="shared" si="1"/>
        <v>0</v>
      </c>
      <c r="S8" s="80">
        <f t="shared" si="1"/>
        <v>5.01</v>
      </c>
      <c r="T8" s="80">
        <f t="shared" si="1"/>
        <v>5.01</v>
      </c>
      <c r="U8" s="80">
        <f t="shared" si="1"/>
        <v>5.01</v>
      </c>
      <c r="V8" s="80">
        <f t="shared" si="1"/>
        <v>15.01</v>
      </c>
      <c r="W8" s="80">
        <f t="shared" si="1"/>
        <v>15.01</v>
      </c>
      <c r="X8" s="80">
        <f t="shared" si="1"/>
        <v>15.01</v>
      </c>
      <c r="Y8" s="80">
        <f t="shared" si="1"/>
        <v>31.810000000000002</v>
      </c>
      <c r="Z8" s="80">
        <f>Y8-Y11</f>
        <v>31.810000000000002</v>
      </c>
      <c r="AA8" s="80">
        <f>Z8-Z11</f>
        <v>31.810000000000002</v>
      </c>
      <c r="AB8" s="615"/>
      <c r="AC8" s="80">
        <f>AA8-AA11</f>
        <v>31.810000000000002</v>
      </c>
      <c r="AD8" s="80">
        <f>AC8-AC11</f>
        <v>40.81</v>
      </c>
      <c r="AE8" s="80">
        <f>AD8-AD11</f>
        <v>40.81</v>
      </c>
      <c r="AF8" s="80">
        <f>AE8-AE11</f>
        <v>49.81</v>
      </c>
      <c r="AG8" s="80">
        <f t="shared" ref="AG8:AM8" si="2">AF8-AF11</f>
        <v>49.81</v>
      </c>
      <c r="AH8" s="80">
        <f t="shared" si="2"/>
        <v>49.81</v>
      </c>
      <c r="AI8" s="80">
        <f t="shared" si="2"/>
        <v>55.81</v>
      </c>
      <c r="AJ8" s="80">
        <f t="shared" si="2"/>
        <v>55.81</v>
      </c>
      <c r="AK8" s="80">
        <f t="shared" si="2"/>
        <v>55.81</v>
      </c>
      <c r="AL8" s="80">
        <f t="shared" si="2"/>
        <v>59.45</v>
      </c>
      <c r="AM8" s="80">
        <f t="shared" si="2"/>
        <v>59.45</v>
      </c>
      <c r="AN8" s="80">
        <f>AM8-AM11</f>
        <v>59.45</v>
      </c>
      <c r="AO8" s="615"/>
      <c r="AP8" s="80">
        <f>AN8-AN11</f>
        <v>59.45</v>
      </c>
      <c r="AQ8" s="80">
        <f>AP8-AP11</f>
        <v>59.45</v>
      </c>
      <c r="AR8" s="80">
        <f t="shared" ref="AR8:BH8" si="3">AQ8-AQ11</f>
        <v>58.065217272212863</v>
      </c>
      <c r="AS8" s="80">
        <f t="shared" si="3"/>
        <v>56.638891062592108</v>
      </c>
      <c r="AT8" s="80">
        <f t="shared" si="3"/>
        <v>55.169775066682732</v>
      </c>
      <c r="AU8" s="80">
        <f t="shared" si="3"/>
        <v>53.656585590896071</v>
      </c>
      <c r="AV8" s="80">
        <f t="shared" si="3"/>
        <v>52.09800043083581</v>
      </c>
      <c r="AW8" s="80">
        <f t="shared" si="3"/>
        <v>50.492657715973742</v>
      </c>
      <c r="AX8" s="80">
        <f t="shared" si="3"/>
        <v>48.839154719665814</v>
      </c>
      <c r="AY8" s="80">
        <f t="shared" si="3"/>
        <v>47.136046633468645</v>
      </c>
      <c r="AZ8" s="80">
        <f t="shared" si="3"/>
        <v>45.381845304685562</v>
      </c>
      <c r="BA8" s="80">
        <f t="shared" si="3"/>
        <v>43.575017936038989</v>
      </c>
      <c r="BB8" s="80">
        <f t="shared" si="3"/>
        <v>41.713985746333016</v>
      </c>
      <c r="BC8" s="80">
        <f t="shared" si="3"/>
        <v>39.797122590935864</v>
      </c>
      <c r="BD8" s="80">
        <f t="shared" si="3"/>
        <v>37.822753540876796</v>
      </c>
      <c r="BE8" s="80">
        <f t="shared" si="3"/>
        <v>35.789153419315959</v>
      </c>
      <c r="BF8" s="80">
        <f t="shared" si="3"/>
        <v>33.694545294108295</v>
      </c>
      <c r="BG8" s="80">
        <f t="shared" si="3"/>
        <v>31.537098925144399</v>
      </c>
      <c r="BH8" s="80">
        <f t="shared" si="3"/>
        <v>29.314929165111586</v>
      </c>
      <c r="BI8" s="80">
        <f t="shared" ref="BI8:BQ8" si="4">ROUND(BH8-BH11,10)</f>
        <v>27.0260943123</v>
      </c>
      <c r="BJ8" s="80">
        <f t="shared" si="4"/>
        <v>24.668594413899999</v>
      </c>
      <c r="BK8" s="80">
        <f t="shared" si="4"/>
        <v>22.2403695185</v>
      </c>
      <c r="BL8" s="80">
        <f t="shared" si="4"/>
        <v>19.7392978763</v>
      </c>
      <c r="BM8" s="80">
        <f t="shared" si="4"/>
        <v>17.163194084800001</v>
      </c>
      <c r="BN8" s="80">
        <f t="shared" si="4"/>
        <v>14.509807179599999</v>
      </c>
      <c r="BO8" s="80">
        <f t="shared" si="4"/>
        <v>11.776818667200001</v>
      </c>
      <c r="BP8" s="80">
        <f t="shared" si="4"/>
        <v>8.9618404993999992</v>
      </c>
      <c r="BQ8" s="80">
        <f t="shared" si="4"/>
        <v>6.0624129866000001</v>
      </c>
    </row>
    <row r="9" spans="1:69">
      <c r="A9" s="79"/>
      <c r="B9" t="s">
        <v>377</v>
      </c>
      <c r="D9" s="7"/>
      <c r="E9" s="7"/>
      <c r="F9" s="93"/>
      <c r="G9" s="317"/>
      <c r="H9" s="90"/>
      <c r="I9" s="90"/>
      <c r="J9" s="90"/>
      <c r="K9" s="90"/>
      <c r="L9" s="90"/>
      <c r="M9" s="90"/>
      <c r="N9" s="733"/>
      <c r="O9" s="217"/>
      <c r="P9" s="733">
        <v>0.03</v>
      </c>
      <c r="Q9" s="90">
        <f>P9</f>
        <v>0.03</v>
      </c>
      <c r="R9" s="90">
        <f t="shared" ref="R9:AA9" si="5">Q9</f>
        <v>0.03</v>
      </c>
      <c r="S9" s="90">
        <f t="shared" si="5"/>
        <v>0.03</v>
      </c>
      <c r="T9" s="90">
        <f t="shared" si="5"/>
        <v>0.03</v>
      </c>
      <c r="U9" s="90">
        <f t="shared" si="5"/>
        <v>0.03</v>
      </c>
      <c r="V9" s="90">
        <f t="shared" si="5"/>
        <v>0.03</v>
      </c>
      <c r="W9" s="90">
        <f t="shared" si="5"/>
        <v>0.03</v>
      </c>
      <c r="X9" s="90">
        <f t="shared" si="5"/>
        <v>0.03</v>
      </c>
      <c r="Y9" s="90">
        <f t="shared" si="5"/>
        <v>0.03</v>
      </c>
      <c r="Z9" s="90">
        <f t="shared" si="5"/>
        <v>0.03</v>
      </c>
      <c r="AA9" s="90">
        <f t="shared" si="5"/>
        <v>0.03</v>
      </c>
      <c r="AB9" s="217"/>
      <c r="AC9" s="90">
        <f>AA9</f>
        <v>0.03</v>
      </c>
      <c r="AD9" s="90">
        <f>AC9</f>
        <v>0.03</v>
      </c>
      <c r="AE9" s="90">
        <f t="shared" ref="AE9:AN9" si="6">AD9</f>
        <v>0.03</v>
      </c>
      <c r="AF9" s="90">
        <f t="shared" si="6"/>
        <v>0.03</v>
      </c>
      <c r="AG9" s="90">
        <f t="shared" si="6"/>
        <v>0.03</v>
      </c>
      <c r="AH9" s="90">
        <f t="shared" si="6"/>
        <v>0.03</v>
      </c>
      <c r="AI9" s="90">
        <f t="shared" si="6"/>
        <v>0.03</v>
      </c>
      <c r="AJ9" s="90">
        <f t="shared" si="6"/>
        <v>0.03</v>
      </c>
      <c r="AK9" s="90">
        <f t="shared" si="6"/>
        <v>0.03</v>
      </c>
      <c r="AL9" s="90">
        <f t="shared" si="6"/>
        <v>0.03</v>
      </c>
      <c r="AM9" s="90">
        <f t="shared" si="6"/>
        <v>0.03</v>
      </c>
      <c r="AN9" s="90">
        <f t="shared" si="6"/>
        <v>0.03</v>
      </c>
      <c r="AO9" s="217"/>
      <c r="AP9" s="90">
        <f>AN9</f>
        <v>0.03</v>
      </c>
      <c r="AQ9" s="90">
        <f>AP9</f>
        <v>0.03</v>
      </c>
      <c r="AR9" s="90">
        <f t="shared" ref="AR9:BQ9" si="7">AQ9</f>
        <v>0.03</v>
      </c>
      <c r="AS9" s="90">
        <f t="shared" si="7"/>
        <v>0.03</v>
      </c>
      <c r="AT9" s="90">
        <f t="shared" si="7"/>
        <v>0.03</v>
      </c>
      <c r="AU9" s="90">
        <f t="shared" si="7"/>
        <v>0.03</v>
      </c>
      <c r="AV9" s="90">
        <f t="shared" si="7"/>
        <v>0.03</v>
      </c>
      <c r="AW9" s="90">
        <f t="shared" si="7"/>
        <v>0.03</v>
      </c>
      <c r="AX9" s="90">
        <f t="shared" si="7"/>
        <v>0.03</v>
      </c>
      <c r="AY9" s="90">
        <f t="shared" si="7"/>
        <v>0.03</v>
      </c>
      <c r="AZ9" s="90">
        <f t="shared" si="7"/>
        <v>0.03</v>
      </c>
      <c r="BA9" s="90">
        <f t="shared" si="7"/>
        <v>0.03</v>
      </c>
      <c r="BB9" s="90">
        <f t="shared" si="7"/>
        <v>0.03</v>
      </c>
      <c r="BC9" s="90">
        <f t="shared" si="7"/>
        <v>0.03</v>
      </c>
      <c r="BD9" s="90">
        <f t="shared" si="7"/>
        <v>0.03</v>
      </c>
      <c r="BE9" s="90">
        <f t="shared" si="7"/>
        <v>0.03</v>
      </c>
      <c r="BF9" s="90">
        <f t="shared" si="7"/>
        <v>0.03</v>
      </c>
      <c r="BG9" s="90">
        <f t="shared" si="7"/>
        <v>0.03</v>
      </c>
      <c r="BH9" s="90">
        <f t="shared" si="7"/>
        <v>0.03</v>
      </c>
      <c r="BI9" s="90">
        <f t="shared" si="7"/>
        <v>0.03</v>
      </c>
      <c r="BJ9" s="90">
        <f t="shared" si="7"/>
        <v>0.03</v>
      </c>
      <c r="BK9" s="90">
        <f t="shared" si="7"/>
        <v>0.03</v>
      </c>
      <c r="BL9" s="90">
        <f t="shared" si="7"/>
        <v>0.03</v>
      </c>
      <c r="BM9" s="90">
        <f t="shared" si="7"/>
        <v>0.03</v>
      </c>
      <c r="BN9" s="90">
        <f t="shared" si="7"/>
        <v>0.03</v>
      </c>
      <c r="BO9" s="90">
        <f t="shared" si="7"/>
        <v>0.03</v>
      </c>
      <c r="BP9" s="90">
        <f t="shared" si="7"/>
        <v>0.03</v>
      </c>
      <c r="BQ9" s="90">
        <f t="shared" si="7"/>
        <v>0.03</v>
      </c>
    </row>
    <row r="10" spans="1:69" s="80" customFormat="1">
      <c r="B10" s="80" t="s">
        <v>306</v>
      </c>
      <c r="G10" s="623"/>
      <c r="N10" s="735"/>
      <c r="O10" s="615"/>
      <c r="P10" s="80">
        <f>-P11*P9*P5/$AB5</f>
        <v>0</v>
      </c>
      <c r="Q10" s="80">
        <f t="shared" ref="Q10:X10" si="8">Q8*Q9*Q5/$AB5</f>
        <v>0</v>
      </c>
      <c r="R10" s="80">
        <f t="shared" si="8"/>
        <v>0</v>
      </c>
      <c r="S10" s="80">
        <f t="shared" si="8"/>
        <v>1.2353424657534246E-2</v>
      </c>
      <c r="T10" s="80">
        <f t="shared" si="8"/>
        <v>1.2765205479452054E-2</v>
      </c>
      <c r="U10" s="80">
        <f t="shared" si="8"/>
        <v>1.2353424657534246E-2</v>
      </c>
      <c r="V10" s="80">
        <f t="shared" si="8"/>
        <v>3.8244657534246572E-2</v>
      </c>
      <c r="W10" s="80">
        <f t="shared" si="8"/>
        <v>3.8244657534246572E-2</v>
      </c>
      <c r="X10" s="80">
        <f t="shared" si="8"/>
        <v>3.7010958904109582E-2</v>
      </c>
      <c r="Y10" s="80">
        <f>Y8*Y9*Y5/$AB5</f>
        <v>8.1050136986301369E-2</v>
      </c>
      <c r="Z10" s="80">
        <f>Z8*Z9*Z5/$AB5</f>
        <v>7.843561643835617E-2</v>
      </c>
      <c r="AA10" s="80">
        <f>AA8*AA9*AA5/$AB5</f>
        <v>8.1050136986301369E-2</v>
      </c>
      <c r="AB10" s="615">
        <f>SUM(P10:AA10)</f>
        <v>0.39150821917808221</v>
      </c>
      <c r="AC10" s="80">
        <f>-AC11*AC9*AC5/$AO5</f>
        <v>2.293150684931507E-2</v>
      </c>
      <c r="AD10" s="80">
        <f>AD8*AD9*AD5/$AO5</f>
        <v>9.3918904109589044E-2</v>
      </c>
      <c r="AE10" s="80">
        <f>AE8*AE9*AE5/$AO5</f>
        <v>0.10398164383561644</v>
      </c>
      <c r="AF10" s="80">
        <f>AF8*AF9*AF5/$AO5</f>
        <v>0.12281917808219178</v>
      </c>
      <c r="AG10" s="80">
        <f t="shared" ref="AG10:AN10" si="9">AG8*AG9*AG5/$AO5</f>
        <v>0.1269131506849315</v>
      </c>
      <c r="AH10" s="80">
        <f t="shared" si="9"/>
        <v>0.12281917808219178</v>
      </c>
      <c r="AI10" s="80">
        <f t="shared" si="9"/>
        <v>0.1422008219178082</v>
      </c>
      <c r="AJ10" s="80">
        <f t="shared" si="9"/>
        <v>0.1422008219178082</v>
      </c>
      <c r="AK10" s="80">
        <f t="shared" si="9"/>
        <v>0.13761369863013698</v>
      </c>
      <c r="AL10" s="80">
        <f t="shared" si="9"/>
        <v>0.15147534246575342</v>
      </c>
      <c r="AM10" s="80">
        <f t="shared" si="9"/>
        <v>0.14658904109589041</v>
      </c>
      <c r="AN10" s="80">
        <f t="shared" si="9"/>
        <v>0.15147534246575342</v>
      </c>
      <c r="AO10" s="615">
        <f>SUM(AC10:AN10)</f>
        <v>1.464938630136986</v>
      </c>
      <c r="AP10" s="627">
        <f>(AP8-AP11*0.5)*AP9</f>
        <v>1.7835000000000001</v>
      </c>
      <c r="AQ10" s="627">
        <f>AQ8*AQ9</f>
        <v>1.7835000000000001</v>
      </c>
      <c r="AR10" s="627">
        <f>AR8*AR9</f>
        <v>1.7419565181663859</v>
      </c>
      <c r="AS10" s="627">
        <f t="shared" ref="AS10:BQ10" si="10">AS8*AS9</f>
        <v>1.6991667318777632</v>
      </c>
      <c r="AT10" s="627">
        <f t="shared" si="10"/>
        <v>1.655093252000482</v>
      </c>
      <c r="AU10" s="627">
        <f t="shared" si="10"/>
        <v>1.6096975677268821</v>
      </c>
      <c r="AV10" s="627">
        <f t="shared" si="10"/>
        <v>1.5629400129250743</v>
      </c>
      <c r="AW10" s="627">
        <f t="shared" si="10"/>
        <v>1.5147797314792122</v>
      </c>
      <c r="AX10" s="627">
        <f t="shared" si="10"/>
        <v>1.4651746415899745</v>
      </c>
      <c r="AY10" s="627">
        <f t="shared" si="10"/>
        <v>1.4140813990040593</v>
      </c>
      <c r="AZ10" s="627">
        <f t="shared" si="10"/>
        <v>1.3614553591405669</v>
      </c>
      <c r="BA10" s="627">
        <f t="shared" si="10"/>
        <v>1.3072505380811696</v>
      </c>
      <c r="BB10" s="627">
        <f t="shared" si="10"/>
        <v>1.2514195723899904</v>
      </c>
      <c r="BC10" s="627">
        <f t="shared" si="10"/>
        <v>1.1939136777280759</v>
      </c>
      <c r="BD10" s="627">
        <f t="shared" si="10"/>
        <v>1.1346826062263038</v>
      </c>
      <c r="BE10" s="627">
        <f t="shared" si="10"/>
        <v>1.0736746025794788</v>
      </c>
      <c r="BF10" s="627">
        <f t="shared" si="10"/>
        <v>1.0108363588232487</v>
      </c>
      <c r="BG10" s="627">
        <f t="shared" si="10"/>
        <v>0.94611296775433196</v>
      </c>
      <c r="BH10" s="627">
        <f t="shared" si="10"/>
        <v>0.87944787495334753</v>
      </c>
      <c r="BI10" s="627">
        <f t="shared" si="10"/>
        <v>0.81078282936899992</v>
      </c>
      <c r="BJ10" s="627">
        <f t="shared" si="10"/>
        <v>0.74005783241699996</v>
      </c>
      <c r="BK10" s="627">
        <f t="shared" si="10"/>
        <v>0.66721108555499997</v>
      </c>
      <c r="BL10" s="627">
        <f t="shared" si="10"/>
        <v>0.59217893628899998</v>
      </c>
      <c r="BM10" s="627">
        <f t="shared" si="10"/>
        <v>0.51489582254400001</v>
      </c>
      <c r="BN10" s="627">
        <f t="shared" si="10"/>
        <v>0.43529421538799995</v>
      </c>
      <c r="BO10" s="627">
        <f t="shared" si="10"/>
        <v>0.35330456001600002</v>
      </c>
      <c r="BP10" s="627">
        <f t="shared" si="10"/>
        <v>0.26885521498199999</v>
      </c>
      <c r="BQ10" s="627">
        <f t="shared" si="10"/>
        <v>0.18187238959800001</v>
      </c>
    </row>
    <row r="11" spans="1:69" s="80" customFormat="1">
      <c r="B11" s="80" t="s">
        <v>305</v>
      </c>
      <c r="F11" s="637"/>
      <c r="G11" s="655"/>
      <c r="H11" s="637"/>
      <c r="I11" s="637"/>
      <c r="J11" s="637"/>
      <c r="K11" s="637"/>
      <c r="L11" s="637"/>
      <c r="M11" s="637"/>
      <c r="N11" s="734"/>
      <c r="O11" s="656"/>
      <c r="P11" s="625"/>
      <c r="Q11" s="625"/>
      <c r="R11" s="734">
        <v>-5.01</v>
      </c>
      <c r="S11" s="625"/>
      <c r="T11" s="625"/>
      <c r="U11" s="734">
        <v>-10</v>
      </c>
      <c r="V11" s="734"/>
      <c r="W11" s="734"/>
      <c r="X11" s="734">
        <v>-16.8</v>
      </c>
      <c r="Y11" s="734"/>
      <c r="Z11" s="734"/>
      <c r="AA11" s="734"/>
      <c r="AB11" s="618">
        <f t="shared" ref="AB11:AB12" si="11">SUM(P11:AA11)</f>
        <v>-31.810000000000002</v>
      </c>
      <c r="AC11" s="734">
        <v>-9</v>
      </c>
      <c r="AD11" s="734"/>
      <c r="AE11" s="734">
        <v>-9</v>
      </c>
      <c r="AF11" s="734"/>
      <c r="AG11" s="734"/>
      <c r="AH11" s="734">
        <v>-6</v>
      </c>
      <c r="AI11" s="734"/>
      <c r="AJ11" s="734"/>
      <c r="AK11" s="734">
        <v>-3.64</v>
      </c>
      <c r="AL11" s="734"/>
      <c r="AM11" s="734"/>
      <c r="AN11" s="734"/>
      <c r="AO11" s="618">
        <f>SUM(AC11:AN11)</f>
        <v>-27.64</v>
      </c>
      <c r="AP11" s="657"/>
      <c r="AQ11" s="658">
        <f>AQ12-AQ10</f>
        <v>1.384782727787143</v>
      </c>
      <c r="AR11" s="658">
        <f>AR12-AR10</f>
        <v>1.4263262096207572</v>
      </c>
      <c r="AS11" s="658">
        <f t="shared" ref="AS11:BQ11" si="12">AS12-AS10</f>
        <v>1.4691159959093798</v>
      </c>
      <c r="AT11" s="658">
        <f t="shared" si="12"/>
        <v>1.5131894757866611</v>
      </c>
      <c r="AU11" s="658">
        <f t="shared" si="12"/>
        <v>1.5585851600602609</v>
      </c>
      <c r="AV11" s="658">
        <f t="shared" si="12"/>
        <v>1.6053427148620687</v>
      </c>
      <c r="AW11" s="658">
        <f t="shared" si="12"/>
        <v>1.6535029963079309</v>
      </c>
      <c r="AX11" s="658">
        <f t="shared" si="12"/>
        <v>1.7031080861971686</v>
      </c>
      <c r="AY11" s="658">
        <f t="shared" si="12"/>
        <v>1.7542013287830838</v>
      </c>
      <c r="AZ11" s="658">
        <f t="shared" si="12"/>
        <v>1.8068273686465761</v>
      </c>
      <c r="BA11" s="658">
        <f t="shared" si="12"/>
        <v>1.8610321897059734</v>
      </c>
      <c r="BB11" s="658">
        <f t="shared" si="12"/>
        <v>1.9168631553971527</v>
      </c>
      <c r="BC11" s="658">
        <f t="shared" si="12"/>
        <v>1.9743690500590672</v>
      </c>
      <c r="BD11" s="658">
        <f t="shared" si="12"/>
        <v>2.0336001215608395</v>
      </c>
      <c r="BE11" s="658">
        <f t="shared" si="12"/>
        <v>2.0946081252076643</v>
      </c>
      <c r="BF11" s="658">
        <f t="shared" si="12"/>
        <v>2.1574463689638943</v>
      </c>
      <c r="BG11" s="658">
        <f t="shared" si="12"/>
        <v>2.222169760032811</v>
      </c>
      <c r="BH11" s="658">
        <f t="shared" si="12"/>
        <v>2.2888348528337956</v>
      </c>
      <c r="BI11" s="658">
        <f t="shared" si="12"/>
        <v>2.3574998984181432</v>
      </c>
      <c r="BJ11" s="658">
        <f t="shared" si="12"/>
        <v>2.4282248953701431</v>
      </c>
      <c r="BK11" s="658">
        <f t="shared" si="12"/>
        <v>2.5010716422321431</v>
      </c>
      <c r="BL11" s="658">
        <f t="shared" si="12"/>
        <v>2.5761037914981433</v>
      </c>
      <c r="BM11" s="658">
        <f t="shared" si="12"/>
        <v>2.6533869052431429</v>
      </c>
      <c r="BN11" s="658">
        <f t="shared" si="12"/>
        <v>2.7329885123991433</v>
      </c>
      <c r="BO11" s="658">
        <f t="shared" si="12"/>
        <v>2.8149781677711432</v>
      </c>
      <c r="BP11" s="658">
        <f t="shared" si="12"/>
        <v>2.899427512805143</v>
      </c>
      <c r="BQ11" s="658">
        <f t="shared" si="12"/>
        <v>2.9864103381891431</v>
      </c>
    </row>
    <row r="12" spans="1:69" s="80" customFormat="1">
      <c r="B12" s="80" t="s">
        <v>335</v>
      </c>
      <c r="G12" s="659"/>
      <c r="H12" s="627"/>
      <c r="I12" s="627"/>
      <c r="J12" s="627"/>
      <c r="K12" s="627"/>
      <c r="L12" s="627"/>
      <c r="M12" s="627"/>
      <c r="N12" s="735"/>
      <c r="O12" s="615"/>
      <c r="P12" s="627">
        <f>P11</f>
        <v>0</v>
      </c>
      <c r="Q12" s="627"/>
      <c r="R12" s="627">
        <f>SUM(P10:R10)+R11</f>
        <v>-5.01</v>
      </c>
      <c r="S12" s="627"/>
      <c r="T12" s="627"/>
      <c r="U12" s="627">
        <f>SUM(S10:U10)+U11</f>
        <v>-9.9625279452054798</v>
      </c>
      <c r="V12" s="627"/>
      <c r="W12" s="627"/>
      <c r="X12" s="627">
        <f>SUM(V10:X10)+X11</f>
        <v>-16.6864997260274</v>
      </c>
      <c r="Y12" s="627"/>
      <c r="Z12" s="627"/>
      <c r="AA12" s="627">
        <f>SUM(Y10:AA10)+AA11</f>
        <v>0.24053589041095891</v>
      </c>
      <c r="AB12" s="615">
        <f t="shared" si="11"/>
        <v>-31.418491780821917</v>
      </c>
      <c r="AC12" s="627">
        <f>AC11</f>
        <v>-9</v>
      </c>
      <c r="AD12" s="627"/>
      <c r="AE12" s="627">
        <f>SUM(AC10:AE10)+AE11</f>
        <v>-8.7791679452054794</v>
      </c>
      <c r="AF12" s="627"/>
      <c r="AG12" s="627"/>
      <c r="AH12" s="627">
        <f>SUM(AF10:AH10)+AH11</f>
        <v>-5.627448493150685</v>
      </c>
      <c r="AI12" s="627"/>
      <c r="AJ12" s="627"/>
      <c r="AK12" s="627">
        <f>SUM(AI10:AK10)+AK11</f>
        <v>-3.217984657534247</v>
      </c>
      <c r="AL12" s="627"/>
      <c r="AM12" s="627"/>
      <c r="AN12" s="627">
        <f>SUM(AL10:AN10)+AN11</f>
        <v>0.44953972602739722</v>
      </c>
      <c r="AO12" s="615">
        <f>SUM(AC12:AN12)</f>
        <v>-26.175061369863016</v>
      </c>
      <c r="AP12" s="627">
        <f>AP10+AP11</f>
        <v>1.7835000000000001</v>
      </c>
      <c r="AQ12" s="627">
        <f>$AP$6</f>
        <v>3.168282727787143</v>
      </c>
      <c r="AR12" s="627">
        <f t="shared" ref="AR12:BQ12" si="13">$AP$6</f>
        <v>3.168282727787143</v>
      </c>
      <c r="AS12" s="627">
        <f t="shared" si="13"/>
        <v>3.168282727787143</v>
      </c>
      <c r="AT12" s="627">
        <f t="shared" si="13"/>
        <v>3.168282727787143</v>
      </c>
      <c r="AU12" s="627">
        <f t="shared" si="13"/>
        <v>3.168282727787143</v>
      </c>
      <c r="AV12" s="627">
        <f t="shared" si="13"/>
        <v>3.168282727787143</v>
      </c>
      <c r="AW12" s="627">
        <f t="shared" si="13"/>
        <v>3.168282727787143</v>
      </c>
      <c r="AX12" s="627">
        <f t="shared" si="13"/>
        <v>3.168282727787143</v>
      </c>
      <c r="AY12" s="627">
        <f t="shared" si="13"/>
        <v>3.168282727787143</v>
      </c>
      <c r="AZ12" s="627">
        <f t="shared" si="13"/>
        <v>3.168282727787143</v>
      </c>
      <c r="BA12" s="627">
        <f t="shared" si="13"/>
        <v>3.168282727787143</v>
      </c>
      <c r="BB12" s="627">
        <f t="shared" si="13"/>
        <v>3.168282727787143</v>
      </c>
      <c r="BC12" s="627">
        <f t="shared" si="13"/>
        <v>3.168282727787143</v>
      </c>
      <c r="BD12" s="627">
        <f t="shared" si="13"/>
        <v>3.168282727787143</v>
      </c>
      <c r="BE12" s="627">
        <f t="shared" si="13"/>
        <v>3.168282727787143</v>
      </c>
      <c r="BF12" s="627">
        <f t="shared" si="13"/>
        <v>3.168282727787143</v>
      </c>
      <c r="BG12" s="627">
        <f t="shared" si="13"/>
        <v>3.168282727787143</v>
      </c>
      <c r="BH12" s="627">
        <f t="shared" si="13"/>
        <v>3.168282727787143</v>
      </c>
      <c r="BI12" s="627">
        <f t="shared" si="13"/>
        <v>3.168282727787143</v>
      </c>
      <c r="BJ12" s="627">
        <f t="shared" si="13"/>
        <v>3.168282727787143</v>
      </c>
      <c r="BK12" s="627">
        <f t="shared" si="13"/>
        <v>3.168282727787143</v>
      </c>
      <c r="BL12" s="627">
        <f t="shared" si="13"/>
        <v>3.168282727787143</v>
      </c>
      <c r="BM12" s="627">
        <f t="shared" si="13"/>
        <v>3.168282727787143</v>
      </c>
      <c r="BN12" s="627">
        <f t="shared" si="13"/>
        <v>3.168282727787143</v>
      </c>
      <c r="BO12" s="627">
        <f t="shared" si="13"/>
        <v>3.168282727787143</v>
      </c>
      <c r="BP12" s="627">
        <f t="shared" si="13"/>
        <v>3.168282727787143</v>
      </c>
      <c r="BQ12" s="627">
        <f t="shared" si="13"/>
        <v>3.168282727787143</v>
      </c>
    </row>
    <row r="13" spans="1:69">
      <c r="A13" s="79"/>
      <c r="N13" s="520"/>
    </row>
    <row r="14" spans="1:69">
      <c r="A14" s="79"/>
      <c r="B14" s="34" t="s">
        <v>125</v>
      </c>
      <c r="N14" s="520"/>
    </row>
    <row r="15" spans="1:69" s="80" customFormat="1">
      <c r="B15" s="80" t="s">
        <v>367</v>
      </c>
      <c r="G15" s="623"/>
      <c r="N15" s="735">
        <v>231.42686800000001</v>
      </c>
      <c r="O15" s="615"/>
      <c r="P15" s="80">
        <f>N15-N18</f>
        <v>231.42686800000001</v>
      </c>
      <c r="Q15" s="80">
        <f>P15-P18</f>
        <v>231.42686800000001</v>
      </c>
      <c r="R15" s="80">
        <f t="shared" ref="R15:AA15" si="14">Q15-Q18</f>
        <v>231.42686800000001</v>
      </c>
      <c r="S15" s="80">
        <f t="shared" si="14"/>
        <v>229.60841600000001</v>
      </c>
      <c r="T15" s="80">
        <f t="shared" si="14"/>
        <v>229.60841600000001</v>
      </c>
      <c r="U15" s="80">
        <f t="shared" si="14"/>
        <v>229.60841600000001</v>
      </c>
      <c r="V15" s="80">
        <f t="shared" si="14"/>
        <v>227.76837</v>
      </c>
      <c r="W15" s="80">
        <f t="shared" si="14"/>
        <v>227.76837</v>
      </c>
      <c r="X15" s="80">
        <f t="shared" si="14"/>
        <v>227.76837</v>
      </c>
      <c r="Y15" s="80">
        <f t="shared" si="14"/>
        <v>225.906474</v>
      </c>
      <c r="Z15" s="80">
        <f t="shared" si="14"/>
        <v>225.906474</v>
      </c>
      <c r="AA15" s="80">
        <f t="shared" si="14"/>
        <v>225.906474</v>
      </c>
      <c r="AB15" s="615"/>
      <c r="AC15" s="80">
        <f>AA15-AA18</f>
        <v>224.022468</v>
      </c>
      <c r="AD15" s="80">
        <f t="shared" ref="AD15:AN15" si="15">AC15-AC18</f>
        <v>224.022468</v>
      </c>
      <c r="AE15" s="80">
        <f t="shared" si="15"/>
        <v>224.022468</v>
      </c>
      <c r="AF15" s="80">
        <f t="shared" si="15"/>
        <v>222.11608900000002</v>
      </c>
      <c r="AG15" s="80">
        <f t="shared" si="15"/>
        <v>222.11608900000002</v>
      </c>
      <c r="AH15" s="80">
        <f t="shared" si="15"/>
        <v>222.11608900000002</v>
      </c>
      <c r="AI15" s="80">
        <f t="shared" si="15"/>
        <v>220.18707200000003</v>
      </c>
      <c r="AJ15" s="80">
        <f t="shared" si="15"/>
        <v>220.18707200000003</v>
      </c>
      <c r="AK15" s="80">
        <f t="shared" si="15"/>
        <v>220.18707200000003</v>
      </c>
      <c r="AL15" s="80">
        <f t="shared" si="15"/>
        <v>218.23514800000004</v>
      </c>
      <c r="AM15" s="80">
        <f t="shared" si="15"/>
        <v>218.23514800000004</v>
      </c>
      <c r="AN15" s="80">
        <f t="shared" si="15"/>
        <v>218.23514800000004</v>
      </c>
      <c r="AO15" s="615"/>
      <c r="AP15" s="80">
        <f>AN15-AN18</f>
        <v>216.26004500000005</v>
      </c>
      <c r="AQ15" s="80">
        <f>AP15-AP18</f>
        <v>208.12228600000006</v>
      </c>
      <c r="AR15" s="80">
        <f>AQ15-AQ18</f>
        <v>199.59104300000007</v>
      </c>
      <c r="AS15" s="80">
        <f>AR15-AR18</f>
        <v>190.64729100000008</v>
      </c>
      <c r="AT15" s="80">
        <f>AS15-AS18</f>
        <v>181.27108400000009</v>
      </c>
      <c r="AU15" s="80">
        <f>-AT18+AT15</f>
        <v>171.44151000000008</v>
      </c>
      <c r="AV15" s="80">
        <f>AU15-AU18</f>
        <v>161.13664800000009</v>
      </c>
      <c r="AW15" s="80">
        <f>AV15-AV18</f>
        <v>150.33351900000008</v>
      </c>
      <c r="AX15" s="80">
        <f t="shared" ref="AX15:BQ15" si="16">AW15-AW18</f>
        <v>139.00802700000008</v>
      </c>
      <c r="AY15" s="80">
        <f t="shared" si="16"/>
        <v>127.13491600000009</v>
      </c>
      <c r="AZ15" s="80">
        <f t="shared" si="16"/>
        <v>114.68770500000009</v>
      </c>
      <c r="BA15" s="80">
        <f t="shared" si="16"/>
        <v>101.6386390000001</v>
      </c>
      <c r="BB15" s="80">
        <f t="shared" si="16"/>
        <v>87.958613000000099</v>
      </c>
      <c r="BC15" s="80">
        <f t="shared" si="16"/>
        <v>73.617119000000102</v>
      </c>
      <c r="BD15" s="80">
        <f t="shared" si="16"/>
        <v>58.582174000000101</v>
      </c>
      <c r="BE15" s="80">
        <f t="shared" si="16"/>
        <v>42.820248000000099</v>
      </c>
      <c r="BF15" s="80">
        <f t="shared" si="16"/>
        <v>26.296187000000099</v>
      </c>
      <c r="BG15" s="80">
        <f t="shared" si="16"/>
        <v>8.9731410000000977</v>
      </c>
      <c r="BH15" s="80">
        <f t="shared" si="16"/>
        <v>2.408430788136684E-9</v>
      </c>
      <c r="BI15" s="80">
        <f t="shared" si="16"/>
        <v>2.408430788136684E-9</v>
      </c>
      <c r="BJ15" s="80">
        <f t="shared" si="16"/>
        <v>2.408430788136684E-9</v>
      </c>
      <c r="BK15" s="80">
        <f t="shared" si="16"/>
        <v>2.408430788136684E-9</v>
      </c>
      <c r="BL15" s="80">
        <f t="shared" si="16"/>
        <v>2.408430788136684E-9</v>
      </c>
      <c r="BM15" s="80">
        <f t="shared" si="16"/>
        <v>2.408430788136684E-9</v>
      </c>
      <c r="BN15" s="80">
        <f t="shared" si="16"/>
        <v>2.408430788136684E-9</v>
      </c>
      <c r="BO15" s="80">
        <f t="shared" si="16"/>
        <v>2.408430788136684E-9</v>
      </c>
      <c r="BP15" s="80">
        <f t="shared" si="16"/>
        <v>2.408430788136684E-9</v>
      </c>
      <c r="BQ15" s="80">
        <f t="shared" si="16"/>
        <v>2.408430788136684E-9</v>
      </c>
    </row>
    <row r="16" spans="1:69">
      <c r="A16" s="79"/>
      <c r="B16" t="s">
        <v>377</v>
      </c>
      <c r="D16" s="7"/>
      <c r="E16" s="7"/>
      <c r="F16" s="93"/>
      <c r="G16" s="317"/>
      <c r="H16" s="90"/>
      <c r="I16" s="90"/>
      <c r="J16" s="90"/>
      <c r="K16" s="90"/>
      <c r="L16" s="90"/>
      <c r="M16" s="90"/>
      <c r="N16" s="733"/>
      <c r="O16" s="217"/>
      <c r="P16" s="90">
        <f>P17/P15/P5*360</f>
        <v>4.2999999798724126E-2</v>
      </c>
      <c r="Q16" s="90">
        <f t="shared" ref="Q16:AC16" si="17">Q17/Q15/Q5*360</f>
        <v>4.2999999834566684E-2</v>
      </c>
      <c r="R16" s="90">
        <f t="shared" si="17"/>
        <v>4.2999999798724126E-2</v>
      </c>
      <c r="S16" s="90">
        <f t="shared" si="17"/>
        <v>4.2999999965158076E-2</v>
      </c>
      <c r="T16" s="90">
        <f t="shared" si="17"/>
        <v>4.2999999982017062E-2</v>
      </c>
      <c r="U16" s="90">
        <f t="shared" si="17"/>
        <v>4.2999999965158076E-2</v>
      </c>
      <c r="V16" s="90">
        <f t="shared" si="17"/>
        <v>4.300000005523439E-2</v>
      </c>
      <c r="W16" s="90">
        <f t="shared" si="17"/>
        <v>4.300000005523439E-2</v>
      </c>
      <c r="X16" s="90">
        <f t="shared" si="17"/>
        <v>4.2999999868287245E-2</v>
      </c>
      <c r="Y16" s="90">
        <f t="shared" si="17"/>
        <v>4.2999999908326321E-2</v>
      </c>
      <c r="Z16" s="90">
        <f t="shared" si="17"/>
        <v>4.3000000079678989E-2</v>
      </c>
      <c r="AA16" s="90">
        <f t="shared" si="17"/>
        <v>4.2999999908326321E-2</v>
      </c>
      <c r="AB16" s="491"/>
      <c r="AC16" s="90">
        <f t="shared" si="17"/>
        <v>4.3000000195256911E-2</v>
      </c>
      <c r="AD16" s="90">
        <f t="shared" ref="AD16:AN16" si="18">AD17/AD15/AD5*360</f>
        <v>4.3000000084175226E-2</v>
      </c>
      <c r="AE16" s="90">
        <f t="shared" si="18"/>
        <v>4.2999999676875726E-2</v>
      </c>
      <c r="AF16" s="90">
        <f t="shared" si="18"/>
        <v>4.3000000238613958E-2</v>
      </c>
      <c r="AG16" s="90">
        <f t="shared" si="18"/>
        <v>4.3000000081764855E-2</v>
      </c>
      <c r="AH16" s="90">
        <f t="shared" si="18"/>
        <v>4.2999999698355933E-2</v>
      </c>
      <c r="AI16" s="90">
        <f t="shared" si="18"/>
        <v>4.3000000150019056E-2</v>
      </c>
      <c r="AJ16" s="90">
        <f t="shared" si="18"/>
        <v>4.3000000150019056E-2</v>
      </c>
      <c r="AK16" s="90">
        <f t="shared" si="18"/>
        <v>4.2999999745670807E-2</v>
      </c>
      <c r="AL16" s="90">
        <f t="shared" si="18"/>
        <v>4.3000000194522339E-2</v>
      </c>
      <c r="AM16" s="90">
        <f t="shared" si="18"/>
        <v>4.2999999981671137E-2</v>
      </c>
      <c r="AN16" s="90">
        <f t="shared" si="18"/>
        <v>4.2999999662394345E-2</v>
      </c>
      <c r="AO16" s="217"/>
      <c r="AP16" s="490"/>
      <c r="AQ16" s="490"/>
      <c r="AR16" s="490"/>
      <c r="AS16" s="490"/>
      <c r="AT16" s="490"/>
      <c r="AU16" s="490"/>
      <c r="AV16" s="490"/>
      <c r="AW16" s="490"/>
      <c r="AX16" s="490"/>
      <c r="AY16" s="490"/>
      <c r="AZ16" s="490"/>
      <c r="BA16" s="490"/>
      <c r="BB16" s="490"/>
      <c r="BC16" s="490"/>
      <c r="BD16" s="490"/>
      <c r="BE16" s="490"/>
      <c r="BF16" s="490"/>
      <c r="BG16" s="4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</row>
    <row r="17" spans="1:69" s="80" customFormat="1">
      <c r="B17" s="80" t="s">
        <v>306</v>
      </c>
      <c r="G17" s="623"/>
      <c r="N17" s="735"/>
      <c r="O17" s="615"/>
      <c r="P17" s="735">
        <v>0.85692226000000005</v>
      </c>
      <c r="Q17" s="735">
        <v>0.77399430000000002</v>
      </c>
      <c r="R17" s="735">
        <v>0.85692226000000005</v>
      </c>
      <c r="S17" s="735">
        <v>0.82276349000000004</v>
      </c>
      <c r="T17" s="735">
        <v>0.85018893999999989</v>
      </c>
      <c r="U17" s="735">
        <v>0.82276349000000004</v>
      </c>
      <c r="V17" s="735">
        <v>0.84337566000000008</v>
      </c>
      <c r="W17" s="735">
        <v>0.84337566000000008</v>
      </c>
      <c r="X17" s="735">
        <v>0.81616999000000001</v>
      </c>
      <c r="Y17" s="735">
        <v>0.83648146999999995</v>
      </c>
      <c r="Z17" s="735">
        <v>0.80949819999999995</v>
      </c>
      <c r="AA17" s="735">
        <v>0.83648146999999995</v>
      </c>
      <c r="AB17" s="615">
        <f>SUM(P17:AA17)</f>
        <v>9.9689371900000019</v>
      </c>
      <c r="AC17" s="735">
        <v>0.82950542000000005</v>
      </c>
      <c r="AD17" s="735">
        <v>0.74923069999999992</v>
      </c>
      <c r="AE17" s="735">
        <v>0.82950541</v>
      </c>
      <c r="AF17" s="735">
        <v>0.79591599000000002</v>
      </c>
      <c r="AG17" s="735">
        <v>0.82244652000000007</v>
      </c>
      <c r="AH17" s="735">
        <v>0.79591597999999997</v>
      </c>
      <c r="AI17" s="735">
        <v>0.81530380000000002</v>
      </c>
      <c r="AJ17" s="735">
        <v>0.81530380000000002</v>
      </c>
      <c r="AK17" s="735">
        <v>0.78900367000000005</v>
      </c>
      <c r="AL17" s="735">
        <v>0.80807625999999999</v>
      </c>
      <c r="AM17" s="735">
        <v>0.78200928000000003</v>
      </c>
      <c r="AN17" s="735">
        <v>0.80807625000000005</v>
      </c>
      <c r="AO17" s="615">
        <f>SUM(AC17:AN17)</f>
        <v>9.6402930799999993</v>
      </c>
      <c r="AP17" s="735">
        <v>9.2957581000000022</v>
      </c>
      <c r="AQ17" s="735">
        <v>8.9594228700000009</v>
      </c>
      <c r="AR17" s="735">
        <v>8.5559047899999996</v>
      </c>
      <c r="AS17" s="735">
        <v>8.15893655</v>
      </c>
      <c r="AT17" s="735">
        <v>7.7427737699999994</v>
      </c>
      <c r="AU17" s="735">
        <v>7.3269660999999999</v>
      </c>
      <c r="AV17" s="735">
        <v>6.849107280000001</v>
      </c>
      <c r="AW17" s="735">
        <v>6.3696106200000013</v>
      </c>
      <c r="AX17" s="735">
        <v>5.8669289099999995</v>
      </c>
      <c r="AY17" s="735">
        <v>5.3551266300000009</v>
      </c>
      <c r="AZ17" s="735">
        <v>4.7874719500000014</v>
      </c>
      <c r="BA17" s="735">
        <v>4.2082893999999991</v>
      </c>
      <c r="BB17" s="735">
        <v>3.60110172</v>
      </c>
      <c r="BC17" s="735">
        <v>2.9733480000000001</v>
      </c>
      <c r="BD17" s="735">
        <v>2.2972291299999998</v>
      </c>
      <c r="BE17" s="735">
        <v>1.59763634</v>
      </c>
      <c r="BF17" s="735">
        <v>0.86421626999999979</v>
      </c>
      <c r="BG17" s="735">
        <v>0.14658742</v>
      </c>
      <c r="BH17" s="487"/>
      <c r="BI17" s="487"/>
      <c r="BJ17" s="487"/>
      <c r="BK17" s="487"/>
      <c r="BL17" s="487"/>
      <c r="BM17" s="487"/>
    </row>
    <row r="18" spans="1:69" s="80" customFormat="1" ht="12" customHeight="1">
      <c r="B18" s="80" t="s">
        <v>305</v>
      </c>
      <c r="G18" s="623"/>
      <c r="N18" s="734"/>
      <c r="O18" s="618"/>
      <c r="P18" s="734"/>
      <c r="Q18" s="734"/>
      <c r="R18" s="734">
        <v>1.818452</v>
      </c>
      <c r="S18" s="734"/>
      <c r="T18" s="734"/>
      <c r="U18" s="734">
        <v>1.8400460000000001</v>
      </c>
      <c r="V18" s="734"/>
      <c r="W18" s="734"/>
      <c r="X18" s="734">
        <v>1.8618959999999996</v>
      </c>
      <c r="Y18" s="734"/>
      <c r="Z18" s="734"/>
      <c r="AA18" s="734">
        <v>1.8840060000000001</v>
      </c>
      <c r="AB18" s="618">
        <f t="shared" ref="AB18:AB19" si="19">SUM(P18:AA18)</f>
        <v>7.4043999999999999</v>
      </c>
      <c r="AC18" s="734"/>
      <c r="AD18" s="734"/>
      <c r="AE18" s="734">
        <v>1.906379</v>
      </c>
      <c r="AF18" s="734"/>
      <c r="AG18" s="734"/>
      <c r="AH18" s="734">
        <v>1.929017</v>
      </c>
      <c r="AI18" s="734"/>
      <c r="AJ18" s="734"/>
      <c r="AK18" s="734">
        <v>1.9519239999999995</v>
      </c>
      <c r="AL18" s="734"/>
      <c r="AM18" s="734"/>
      <c r="AN18" s="734">
        <v>1.9751030000000001</v>
      </c>
      <c r="AO18" s="618">
        <f>SUM(AC18:AN18)</f>
        <v>7.7624229999999992</v>
      </c>
      <c r="AP18" s="734">
        <v>8.1377590000000009</v>
      </c>
      <c r="AQ18" s="734">
        <v>8.5312429999999999</v>
      </c>
      <c r="AR18" s="734">
        <v>8.9437519999999999</v>
      </c>
      <c r="AS18" s="734">
        <v>9.3762070000000008</v>
      </c>
      <c r="AT18" s="734">
        <v>9.8295739999999991</v>
      </c>
      <c r="AU18" s="734">
        <v>10.304862</v>
      </c>
      <c r="AV18" s="734">
        <v>10.803129</v>
      </c>
      <c r="AW18" s="734">
        <v>11.325492000000001</v>
      </c>
      <c r="AX18" s="734">
        <v>11.873111</v>
      </c>
      <c r="AY18" s="734">
        <v>12.447210999999999</v>
      </c>
      <c r="AZ18" s="734">
        <v>13.049066</v>
      </c>
      <c r="BA18" s="734">
        <v>13.680026</v>
      </c>
      <c r="BB18" s="734">
        <v>14.341494000000001</v>
      </c>
      <c r="BC18" s="734">
        <v>15.034945</v>
      </c>
      <c r="BD18" s="734">
        <v>15.761926000000001</v>
      </c>
      <c r="BE18" s="734">
        <v>16.524061</v>
      </c>
      <c r="BF18" s="734">
        <v>17.323046000000001</v>
      </c>
      <c r="BG18" s="734">
        <v>8.9731409975916669</v>
      </c>
      <c r="BH18" s="625"/>
      <c r="BI18" s="617"/>
      <c r="BJ18" s="617"/>
      <c r="BK18" s="617"/>
      <c r="BL18" s="617"/>
      <c r="BM18" s="617"/>
      <c r="BN18" s="617"/>
      <c r="BO18" s="617"/>
      <c r="BP18" s="617"/>
      <c r="BQ18" s="617"/>
    </row>
    <row r="19" spans="1:69" s="80" customFormat="1">
      <c r="B19" s="80" t="s">
        <v>335</v>
      </c>
      <c r="G19" s="659"/>
      <c r="H19" s="627"/>
      <c r="I19" s="627"/>
      <c r="J19" s="627"/>
      <c r="K19" s="627"/>
      <c r="L19" s="627"/>
      <c r="M19" s="627"/>
      <c r="N19" s="735">
        <f>SUM(L17:N17)+N18</f>
        <v>0</v>
      </c>
      <c r="O19" s="615">
        <f>SUM(G19:N19)</f>
        <v>0</v>
      </c>
      <c r="P19" s="735"/>
      <c r="Q19" s="735"/>
      <c r="R19" s="735">
        <v>4.3062908200000001</v>
      </c>
      <c r="S19" s="735"/>
      <c r="T19" s="735"/>
      <c r="U19" s="735">
        <v>4.3357619199999995</v>
      </c>
      <c r="V19" s="735"/>
      <c r="W19" s="735"/>
      <c r="X19" s="735">
        <v>4.3648173099999994</v>
      </c>
      <c r="Y19" s="735"/>
      <c r="Z19" s="735"/>
      <c r="AA19" s="735">
        <v>4.3664671399999992</v>
      </c>
      <c r="AB19" s="615">
        <f t="shared" si="19"/>
        <v>17.373337190000001</v>
      </c>
      <c r="AC19" s="735"/>
      <c r="AD19" s="735"/>
      <c r="AE19" s="735">
        <v>4.31462053</v>
      </c>
      <c r="AF19" s="735"/>
      <c r="AG19" s="735"/>
      <c r="AH19" s="735">
        <v>4.34329549</v>
      </c>
      <c r="AI19" s="735"/>
      <c r="AJ19" s="735"/>
      <c r="AK19" s="735">
        <v>4.3715352699999999</v>
      </c>
      <c r="AL19" s="735"/>
      <c r="AM19" s="735"/>
      <c r="AN19" s="735">
        <v>4.3732647900000003</v>
      </c>
      <c r="AO19" s="615">
        <f>SUM(AC19:AN19)</f>
        <v>17.402716080000001</v>
      </c>
      <c r="AP19" s="735">
        <v>17.433517100000003</v>
      </c>
      <c r="AQ19" s="735">
        <v>17.490665869999997</v>
      </c>
      <c r="AR19" s="735">
        <v>17.49965679</v>
      </c>
      <c r="AS19" s="735">
        <v>17.535143550000001</v>
      </c>
      <c r="AT19" s="735">
        <v>17.57234777</v>
      </c>
      <c r="AU19" s="735">
        <v>17.6318281</v>
      </c>
      <c r="AV19" s="735">
        <v>17.65223628</v>
      </c>
      <c r="AW19" s="735">
        <v>17.695102619999997</v>
      </c>
      <c r="AX19" s="735">
        <v>17.74003991</v>
      </c>
      <c r="AY19" s="735">
        <v>17.80233763</v>
      </c>
      <c r="AZ19" s="735">
        <v>17.83653795</v>
      </c>
      <c r="BA19" s="735">
        <v>17.8883154</v>
      </c>
      <c r="BB19" s="735">
        <v>17.94259572</v>
      </c>
      <c r="BC19" s="735">
        <v>18.008292999999998</v>
      </c>
      <c r="BD19" s="735">
        <v>18.059155130000004</v>
      </c>
      <c r="BE19" s="735">
        <v>18.121697340000001</v>
      </c>
      <c r="BF19" s="735">
        <v>18.187262269999998</v>
      </c>
      <c r="BG19" s="735">
        <v>9.1197284175916664</v>
      </c>
      <c r="BH19" s="627"/>
      <c r="BI19" s="487"/>
      <c r="BJ19" s="487"/>
      <c r="BK19" s="487"/>
      <c r="BL19" s="487"/>
      <c r="BM19" s="487"/>
    </row>
    <row r="20" spans="1:69">
      <c r="A20" s="79"/>
      <c r="D20" s="92"/>
      <c r="E20" s="92"/>
      <c r="F20" s="16"/>
      <c r="G20" s="320"/>
      <c r="H20" s="109"/>
      <c r="I20" s="109"/>
      <c r="J20" s="109"/>
      <c r="K20" s="109"/>
      <c r="L20" s="109"/>
      <c r="M20" s="109"/>
      <c r="N20" s="743"/>
      <c r="O20" s="170"/>
      <c r="P20" s="16"/>
      <c r="Q20" s="16"/>
      <c r="R20" s="109"/>
      <c r="S20" s="16"/>
      <c r="T20" s="16"/>
      <c r="U20" s="432"/>
      <c r="V20" s="16"/>
      <c r="W20" s="16"/>
      <c r="X20" s="432"/>
      <c r="Y20" s="16"/>
      <c r="Z20" s="16"/>
      <c r="AA20" s="432"/>
      <c r="AB20" s="170"/>
      <c r="AC20" s="16"/>
      <c r="AD20" s="16"/>
      <c r="AE20" s="432"/>
      <c r="AF20" s="16"/>
      <c r="AG20" s="16"/>
      <c r="AH20" s="432"/>
      <c r="AI20" s="16"/>
      <c r="AJ20" s="16"/>
      <c r="AK20" s="432"/>
      <c r="AL20" s="16"/>
      <c r="AM20" s="16"/>
      <c r="AN20" s="432"/>
      <c r="AO20" s="170"/>
      <c r="AP20" s="432"/>
      <c r="AQ20" s="432"/>
      <c r="AR20" s="432"/>
      <c r="AS20" s="432"/>
      <c r="AT20" s="432"/>
      <c r="AU20" s="432"/>
      <c r="AV20" s="432"/>
      <c r="AW20" s="432"/>
      <c r="AX20" s="432"/>
      <c r="AY20" s="432"/>
      <c r="AZ20" s="432"/>
      <c r="BA20" s="432"/>
      <c r="BB20" s="432"/>
      <c r="BC20" s="432"/>
      <c r="BD20" s="432"/>
      <c r="BE20" s="432"/>
      <c r="BF20" s="432"/>
      <c r="BG20" s="432"/>
      <c r="BH20" s="432"/>
      <c r="BI20" s="432"/>
      <c r="BJ20" s="432"/>
      <c r="BK20" s="432"/>
      <c r="BL20" s="432"/>
      <c r="BM20" s="432"/>
      <c r="BN20" s="16"/>
      <c r="BO20" s="16"/>
      <c r="BP20" s="16"/>
      <c r="BQ20" s="16"/>
    </row>
    <row r="21" spans="1:69">
      <c r="A21" s="79"/>
      <c r="B21" s="34" t="s">
        <v>126</v>
      </c>
      <c r="D21" s="92"/>
      <c r="E21" s="92"/>
      <c r="F21" s="16"/>
      <c r="G21" s="320"/>
      <c r="H21" s="109"/>
      <c r="I21" s="109"/>
      <c r="J21" s="109"/>
      <c r="K21" s="109"/>
      <c r="L21" s="109"/>
      <c r="M21" s="109"/>
      <c r="N21" s="743"/>
      <c r="O21" s="170"/>
      <c r="P21" s="16"/>
      <c r="Q21" s="16"/>
      <c r="R21" s="109"/>
      <c r="S21" s="16"/>
      <c r="T21" s="16"/>
      <c r="U21" s="432"/>
      <c r="V21" s="16"/>
      <c r="W21" s="16"/>
      <c r="X21" s="432"/>
      <c r="Y21" s="16"/>
      <c r="Z21" s="16"/>
      <c r="AA21" s="432"/>
      <c r="AB21" s="170"/>
      <c r="AC21" s="16"/>
      <c r="AD21" s="16"/>
      <c r="AE21" s="432"/>
      <c r="AF21" s="16"/>
      <c r="AG21" s="16"/>
      <c r="AH21" s="432"/>
      <c r="AI21" s="16"/>
      <c r="AJ21" s="16"/>
      <c r="AK21" s="432"/>
      <c r="AL21" s="16"/>
      <c r="AM21" s="16"/>
      <c r="AN21" s="432"/>
      <c r="AO21" s="170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432"/>
      <c r="BC21" s="432"/>
      <c r="BD21" s="432"/>
      <c r="BE21" s="432"/>
      <c r="BF21" s="432"/>
      <c r="BG21" s="432"/>
      <c r="BH21" s="432"/>
      <c r="BI21" s="432"/>
      <c r="BJ21" s="432"/>
      <c r="BK21" s="432"/>
      <c r="BL21" s="432"/>
      <c r="BM21" s="432"/>
      <c r="BN21" s="16"/>
      <c r="BO21" s="16"/>
      <c r="BP21" s="16"/>
      <c r="BQ21" s="16"/>
    </row>
    <row r="22" spans="1:69" s="80" customFormat="1">
      <c r="B22" s="80" t="s">
        <v>367</v>
      </c>
      <c r="G22" s="659"/>
      <c r="H22" s="627"/>
      <c r="I22" s="627"/>
      <c r="J22" s="627"/>
      <c r="K22" s="627"/>
      <c r="L22" s="627"/>
      <c r="M22" s="627"/>
      <c r="N22" s="735">
        <v>298.51311737999998</v>
      </c>
      <c r="O22" s="615"/>
      <c r="P22" s="80">
        <f>N22-N25</f>
        <v>298.51311737999998</v>
      </c>
      <c r="Q22" s="80">
        <f t="shared" ref="Q22:AA22" si="20">P22-P25</f>
        <v>298.51311737999998</v>
      </c>
      <c r="R22" s="80">
        <f t="shared" si="20"/>
        <v>294.99964728999998</v>
      </c>
      <c r="S22" s="80">
        <f t="shared" si="20"/>
        <v>294.99964728999998</v>
      </c>
      <c r="T22" s="80">
        <f t="shared" si="20"/>
        <v>294.99964728999998</v>
      </c>
      <c r="U22" s="80">
        <f t="shared" si="20"/>
        <v>291.45938698999998</v>
      </c>
      <c r="V22" s="80">
        <f t="shared" si="20"/>
        <v>291.45938698999998</v>
      </c>
      <c r="W22" s="80">
        <f t="shared" si="20"/>
        <v>291.45938698999998</v>
      </c>
      <c r="X22" s="80">
        <f t="shared" si="20"/>
        <v>288.77848236</v>
      </c>
      <c r="Y22" s="80">
        <f t="shared" si="20"/>
        <v>288.77848236</v>
      </c>
      <c r="Z22" s="80">
        <f t="shared" si="20"/>
        <v>288.77848236</v>
      </c>
      <c r="AA22" s="80">
        <f t="shared" si="20"/>
        <v>286.07680069000003</v>
      </c>
      <c r="AB22" s="615"/>
      <c r="AC22" s="80">
        <f>AA22-AA25</f>
        <v>286.07680069000003</v>
      </c>
      <c r="AD22" s="80">
        <f t="shared" ref="AD22:AN22" si="21">AC22-AC25</f>
        <v>286.07680069000003</v>
      </c>
      <c r="AE22" s="80">
        <f t="shared" si="21"/>
        <v>283.35418100000004</v>
      </c>
      <c r="AF22" s="80">
        <f t="shared" si="21"/>
        <v>283.35418100000004</v>
      </c>
      <c r="AG22" s="80">
        <f t="shared" si="21"/>
        <v>283.35418100000004</v>
      </c>
      <c r="AH22" s="80">
        <f t="shared" si="21"/>
        <v>280.61046099000004</v>
      </c>
      <c r="AI22" s="80">
        <f t="shared" si="21"/>
        <v>280.61046099000004</v>
      </c>
      <c r="AJ22" s="80">
        <f t="shared" si="21"/>
        <v>280.61046099000004</v>
      </c>
      <c r="AK22" s="80">
        <f t="shared" si="21"/>
        <v>277.84979956000001</v>
      </c>
      <c r="AL22" s="80">
        <f t="shared" si="21"/>
        <v>277.84979956000001</v>
      </c>
      <c r="AM22" s="80">
        <f t="shared" si="21"/>
        <v>277.84979956000001</v>
      </c>
      <c r="AN22" s="80">
        <f t="shared" si="21"/>
        <v>275.06774301000002</v>
      </c>
      <c r="AO22" s="615"/>
      <c r="AP22" s="80">
        <f>AN22-AN25</f>
        <v>275.06774301000002</v>
      </c>
      <c r="AQ22" s="80">
        <f>AP22-AP25</f>
        <v>263.73259258000002</v>
      </c>
      <c r="AR22" s="80">
        <f>AQ22-AQ25</f>
        <v>252.05529357</v>
      </c>
      <c r="AS22" s="80">
        <f>AR22-AR25</f>
        <v>240.01310727000001</v>
      </c>
      <c r="AT22" s="80">
        <f>AS22-AS25</f>
        <v>227.57809627</v>
      </c>
      <c r="AU22" s="80">
        <f>-AT25+AT22</f>
        <v>214.71252219000002</v>
      </c>
      <c r="AV22" s="80">
        <f t="shared" ref="AV22:BQ22" si="22">AU22-AU25</f>
        <v>201.38056027000002</v>
      </c>
      <c r="AW22" s="80">
        <f t="shared" si="22"/>
        <v>187.53950948000002</v>
      </c>
      <c r="AX22" s="80">
        <f t="shared" si="22"/>
        <v>173.14304852000001</v>
      </c>
      <c r="AY22" s="80">
        <f t="shared" si="22"/>
        <v>158.15179642999999</v>
      </c>
      <c r="AZ22" s="80">
        <f t="shared" si="22"/>
        <v>142.53190112999999</v>
      </c>
      <c r="BA22" s="80">
        <f t="shared" si="22"/>
        <v>126.24323694999998</v>
      </c>
      <c r="BB22" s="80">
        <f t="shared" si="22"/>
        <v>109.24298190999998</v>
      </c>
      <c r="BC22" s="80">
        <f t="shared" si="22"/>
        <v>91.496350989999982</v>
      </c>
      <c r="BD22" s="80">
        <f t="shared" si="22"/>
        <v>72.895133879999975</v>
      </c>
      <c r="BE22" s="80">
        <f t="shared" si="22"/>
        <v>53.353325559999973</v>
      </c>
      <c r="BF22" s="80">
        <f t="shared" si="22"/>
        <v>32.81612690999998</v>
      </c>
      <c r="BG22" s="80">
        <f t="shared" si="22"/>
        <v>11.221268719999983</v>
      </c>
      <c r="BH22" s="80">
        <f t="shared" si="22"/>
        <v>-1.0000016814615265E-8</v>
      </c>
      <c r="BI22" s="80">
        <f t="shared" si="22"/>
        <v>-1.0000016814615265E-8</v>
      </c>
      <c r="BJ22" s="80">
        <f t="shared" si="22"/>
        <v>-1.0000016814615265E-8</v>
      </c>
      <c r="BK22" s="80">
        <f t="shared" si="22"/>
        <v>-1.0000016814615265E-8</v>
      </c>
      <c r="BL22" s="80">
        <f t="shared" si="22"/>
        <v>-1.0000016814615265E-8</v>
      </c>
      <c r="BM22" s="80">
        <f t="shared" si="22"/>
        <v>-1.0000016814615265E-8</v>
      </c>
      <c r="BN22" s="80">
        <f t="shared" si="22"/>
        <v>-1.0000016814615265E-8</v>
      </c>
      <c r="BO22" s="80">
        <f t="shared" si="22"/>
        <v>-1.0000016814615265E-8</v>
      </c>
      <c r="BP22" s="80">
        <f t="shared" si="22"/>
        <v>-1.0000016814615265E-8</v>
      </c>
      <c r="BQ22" s="80">
        <f t="shared" si="22"/>
        <v>-1.0000016814615265E-8</v>
      </c>
    </row>
    <row r="23" spans="1:69" s="80" customFormat="1" ht="12" customHeight="1">
      <c r="B23" s="80" t="s">
        <v>377</v>
      </c>
      <c r="G23" s="659"/>
      <c r="H23" s="627"/>
      <c r="I23" s="627"/>
      <c r="J23" s="627"/>
      <c r="K23" s="627"/>
      <c r="L23" s="627"/>
      <c r="M23" s="627"/>
      <c r="N23" s="735"/>
      <c r="O23" s="615"/>
      <c r="R23" s="627"/>
      <c r="S23" s="487"/>
      <c r="T23" s="487"/>
      <c r="U23" s="487"/>
      <c r="V23" s="487"/>
      <c r="W23" s="487"/>
      <c r="X23" s="487"/>
      <c r="Y23" s="487"/>
      <c r="Z23" s="487"/>
      <c r="AA23" s="487"/>
      <c r="AB23" s="660">
        <f>AB24/AVERAGE(P22:AA22)</f>
        <v>4.4221920059568438E-2</v>
      </c>
      <c r="AE23" s="487"/>
      <c r="AH23" s="487"/>
      <c r="AK23" s="487"/>
      <c r="AN23" s="487"/>
      <c r="AO23" s="660">
        <f>AO24/AVERAGE(AC22:AN22)</f>
        <v>4.4759235362396357E-2</v>
      </c>
      <c r="AP23" s="661">
        <f>AP24/AVERAGE(AP22:AQ22)</f>
        <v>4.5407075615886222E-2</v>
      </c>
      <c r="AQ23" s="661">
        <f t="shared" ref="AQ23:BF23" si="23">AQ24/AVERAGE(AQ22:AR22)</f>
        <v>4.613205156408072E-2</v>
      </c>
      <c r="AR23" s="661">
        <f t="shared" si="23"/>
        <v>4.661351572432746E-2</v>
      </c>
      <c r="AS23" s="661">
        <f t="shared" si="23"/>
        <v>4.7221022364915301E-2</v>
      </c>
      <c r="AT23" s="661">
        <f t="shared" si="23"/>
        <v>4.7791274736051506E-2</v>
      </c>
      <c r="AU23" s="661">
        <f t="shared" si="23"/>
        <v>4.8484139704339756E-2</v>
      </c>
      <c r="AV23" s="661">
        <f t="shared" si="23"/>
        <v>4.8904883957843114E-2</v>
      </c>
      <c r="AW23" s="661">
        <f t="shared" si="23"/>
        <v>4.9425747058165208E-2</v>
      </c>
      <c r="AX23" s="661">
        <f t="shared" si="23"/>
        <v>4.9965932378145811E-2</v>
      </c>
      <c r="AY23" s="661">
        <f t="shared" si="23"/>
        <v>5.071522807436904E-2</v>
      </c>
      <c r="AZ23" s="661">
        <f t="shared" si="23"/>
        <v>5.1259288781015384E-2</v>
      </c>
      <c r="BA23" s="661">
        <f t="shared" si="23"/>
        <v>5.2079914482346806E-2</v>
      </c>
      <c r="BB23" s="661">
        <f t="shared" si="23"/>
        <v>5.2979155536488298E-2</v>
      </c>
      <c r="BC23" s="661">
        <f t="shared" si="23"/>
        <v>5.3529112088492835E-2</v>
      </c>
      <c r="BD23" s="661">
        <f t="shared" si="23"/>
        <v>5.3706255823441365E-2</v>
      </c>
      <c r="BE23" s="661">
        <f t="shared" si="23"/>
        <v>5.4294118227440603E-2</v>
      </c>
      <c r="BF23" s="661">
        <f t="shared" si="23"/>
        <v>5.5656482971720218E-2</v>
      </c>
      <c r="BG23" s="661"/>
      <c r="BH23" s="661"/>
      <c r="BI23" s="487"/>
      <c r="BJ23" s="487"/>
      <c r="BK23" s="487"/>
      <c r="BL23" s="487"/>
      <c r="BM23" s="487"/>
    </row>
    <row r="24" spans="1:69" s="80" customFormat="1">
      <c r="B24" s="80" t="s">
        <v>306</v>
      </c>
      <c r="G24" s="659"/>
      <c r="H24" s="627"/>
      <c r="I24" s="627"/>
      <c r="J24" s="627"/>
      <c r="K24" s="627"/>
      <c r="L24" s="627"/>
      <c r="M24" s="627"/>
      <c r="N24" s="735"/>
      <c r="O24" s="615"/>
      <c r="P24" s="735">
        <v>1.1138313999999998</v>
      </c>
      <c r="Q24" s="735">
        <v>1.0077762699999999</v>
      </c>
      <c r="R24" s="735">
        <v>1.1049013299999999</v>
      </c>
      <c r="S24" s="735">
        <v>1.06954963</v>
      </c>
      <c r="T24" s="735">
        <v>1.1049013299999999</v>
      </c>
      <c r="U24" s="735">
        <v>1.0609354000000002</v>
      </c>
      <c r="V24" s="735">
        <v>1.0953656899999999</v>
      </c>
      <c r="W24" s="735">
        <v>1.0953656899999999</v>
      </c>
      <c r="X24" s="735">
        <v>1.0540097200000003</v>
      </c>
      <c r="Y24" s="735">
        <v>1.0884400099999998</v>
      </c>
      <c r="Z24" s="735">
        <v>1.0540097200000003</v>
      </c>
      <c r="AA24" s="735">
        <v>1.08146067</v>
      </c>
      <c r="AB24" s="615">
        <f>SUM(P24:AA24)</f>
        <v>12.930546859999998</v>
      </c>
      <c r="AC24" s="735">
        <v>1.08146067</v>
      </c>
      <c r="AD24" s="735">
        <v>0.97816977999999999</v>
      </c>
      <c r="AE24" s="735">
        <v>1.07442723</v>
      </c>
      <c r="AF24" s="735">
        <v>1.0399969400000002</v>
      </c>
      <c r="AG24" s="735">
        <v>1.07442723</v>
      </c>
      <c r="AH24" s="735">
        <v>1.0333043500000001</v>
      </c>
      <c r="AI24" s="735">
        <v>1.0667857999999999</v>
      </c>
      <c r="AJ24" s="735">
        <v>1.0667858099999998</v>
      </c>
      <c r="AK24" s="735">
        <v>1.0261726400000002</v>
      </c>
      <c r="AL24" s="735">
        <v>1.0596540999999999</v>
      </c>
      <c r="AM24" s="735">
        <v>1.0261726400000002</v>
      </c>
      <c r="AN24" s="735">
        <v>1.05246712</v>
      </c>
      <c r="AO24" s="615">
        <f>SUM(AC24:AN24)</f>
        <v>12.579824309999999</v>
      </c>
      <c r="AP24" s="736">
        <v>12.232673790000002</v>
      </c>
      <c r="AQ24" s="736">
        <v>11.897176679999999</v>
      </c>
      <c r="AR24" s="736">
        <v>11.468519070000003</v>
      </c>
      <c r="AS24" s="736">
        <v>11.040067340000002</v>
      </c>
      <c r="AT24" s="736">
        <v>10.568816229999998</v>
      </c>
      <c r="AU24" s="736">
        <v>10.086957570000001</v>
      </c>
      <c r="AV24" s="736">
        <v>9.5100454400000007</v>
      </c>
      <c r="AW24" s="736">
        <v>8.913502440000002</v>
      </c>
      <c r="AX24" s="736">
        <v>8.27672791</v>
      </c>
      <c r="AY24" s="736">
        <v>7.6246211500000003</v>
      </c>
      <c r="AZ24" s="736">
        <v>6.8886112100000014</v>
      </c>
      <c r="BA24" s="736">
        <v>6.1320510700000002</v>
      </c>
      <c r="BB24" s="736">
        <v>5.3175001700000006</v>
      </c>
      <c r="BC24" s="736">
        <v>4.3998651100000004</v>
      </c>
      <c r="BD24" s="736">
        <v>3.3901660299999992</v>
      </c>
      <c r="BE24" s="736">
        <v>2.3392472200000007</v>
      </c>
      <c r="BF24" s="736">
        <v>1.2254832799999997</v>
      </c>
      <c r="BG24" s="736">
        <v>0.17559702999999999</v>
      </c>
      <c r="BH24" s="662"/>
      <c r="BI24" s="487"/>
      <c r="BJ24" s="487"/>
      <c r="BK24" s="487"/>
      <c r="BL24" s="487"/>
      <c r="BM24" s="487"/>
    </row>
    <row r="25" spans="1:69" s="80" customFormat="1">
      <c r="B25" s="80" t="s">
        <v>305</v>
      </c>
      <c r="G25" s="659"/>
      <c r="H25" s="627"/>
      <c r="I25" s="627"/>
      <c r="J25" s="627"/>
      <c r="K25" s="627"/>
      <c r="L25" s="627"/>
      <c r="M25" s="627"/>
      <c r="N25" s="734"/>
      <c r="O25" s="618"/>
      <c r="P25" s="734"/>
      <c r="Q25" s="734">
        <v>3.5134700900000011</v>
      </c>
      <c r="R25" s="734"/>
      <c r="S25" s="734"/>
      <c r="T25" s="734">
        <v>3.5402603000000004</v>
      </c>
      <c r="U25" s="734"/>
      <c r="V25" s="734"/>
      <c r="W25" s="734">
        <v>2.6809046300000006</v>
      </c>
      <c r="X25" s="734"/>
      <c r="Y25" s="734"/>
      <c r="Z25" s="734">
        <v>2.7016816699999993</v>
      </c>
      <c r="AA25" s="734"/>
      <c r="AB25" s="618">
        <f t="shared" ref="AB25:AB26" si="24">SUM(P25:AA25)</f>
        <v>12.436316690000002</v>
      </c>
      <c r="AC25" s="734"/>
      <c r="AD25" s="734">
        <v>2.7226196899999993</v>
      </c>
      <c r="AE25" s="734"/>
      <c r="AF25" s="734"/>
      <c r="AG25" s="734">
        <v>2.7437200100000001</v>
      </c>
      <c r="AH25" s="734"/>
      <c r="AI25" s="734"/>
      <c r="AJ25" s="734">
        <v>2.7606614300000007</v>
      </c>
      <c r="AK25" s="734"/>
      <c r="AL25" s="734"/>
      <c r="AM25" s="734">
        <v>2.7820565500000001</v>
      </c>
      <c r="AN25" s="734"/>
      <c r="AO25" s="618">
        <f t="shared" ref="AO25:AO26" si="25">SUM(AC25:AN25)</f>
        <v>11.00905768</v>
      </c>
      <c r="AP25" s="734">
        <v>11.335150430000002</v>
      </c>
      <c r="AQ25" s="734">
        <v>11.67729901</v>
      </c>
      <c r="AR25" s="734">
        <v>12.042186300000003</v>
      </c>
      <c r="AS25" s="734">
        <v>12.435010999999999</v>
      </c>
      <c r="AT25" s="734">
        <v>12.865574080000002</v>
      </c>
      <c r="AU25" s="734">
        <v>13.331961920000001</v>
      </c>
      <c r="AV25" s="734">
        <v>13.841050790000001</v>
      </c>
      <c r="AW25" s="734">
        <v>14.396460960000001</v>
      </c>
      <c r="AX25" s="734">
        <v>14.991252090000003</v>
      </c>
      <c r="AY25" s="734">
        <v>15.619895300000003</v>
      </c>
      <c r="AZ25" s="734">
        <v>16.288664180000005</v>
      </c>
      <c r="BA25" s="734">
        <v>17.000255040000003</v>
      </c>
      <c r="BB25" s="734">
        <v>17.746630920000001</v>
      </c>
      <c r="BC25" s="734">
        <v>18.60121711</v>
      </c>
      <c r="BD25" s="734">
        <v>19.541808320000001</v>
      </c>
      <c r="BE25" s="734">
        <v>20.537198649999997</v>
      </c>
      <c r="BF25" s="734">
        <v>21.594858189999997</v>
      </c>
      <c r="BG25" s="734">
        <v>11.22126873</v>
      </c>
      <c r="BH25" s="625"/>
      <c r="BI25" s="625"/>
      <c r="BJ25" s="625"/>
      <c r="BK25" s="625"/>
      <c r="BL25" s="625"/>
      <c r="BM25" s="625"/>
      <c r="BN25" s="617"/>
      <c r="BO25" s="617"/>
      <c r="BP25" s="617"/>
      <c r="BQ25" s="617"/>
    </row>
    <row r="26" spans="1:69" s="80" customFormat="1">
      <c r="B26" s="80" t="s">
        <v>335</v>
      </c>
      <c r="G26" s="659"/>
      <c r="H26" s="627"/>
      <c r="I26" s="627"/>
      <c r="J26" s="627"/>
      <c r="K26" s="627"/>
      <c r="L26" s="627"/>
      <c r="M26" s="627"/>
      <c r="N26" s="735"/>
      <c r="O26" s="615"/>
      <c r="P26" s="735"/>
      <c r="Q26" s="735">
        <v>6.7489091600000011</v>
      </c>
      <c r="R26" s="735"/>
      <c r="S26" s="735"/>
      <c r="T26" s="735">
        <v>6.8196125900000011</v>
      </c>
      <c r="U26" s="735"/>
      <c r="V26" s="735"/>
      <c r="W26" s="735">
        <v>5.9325714100000004</v>
      </c>
      <c r="X26" s="735"/>
      <c r="Y26" s="735"/>
      <c r="Z26" s="735">
        <v>5.89814112</v>
      </c>
      <c r="AA26" s="735"/>
      <c r="AB26" s="615">
        <f t="shared" si="24"/>
        <v>25.399234280000002</v>
      </c>
      <c r="AC26" s="735"/>
      <c r="AD26" s="735">
        <v>5.8637108099999997</v>
      </c>
      <c r="AE26" s="735"/>
      <c r="AF26" s="735"/>
      <c r="AG26" s="735">
        <v>5.9325714100000004</v>
      </c>
      <c r="AH26" s="735"/>
      <c r="AI26" s="735"/>
      <c r="AJ26" s="735">
        <v>5.9275373900000004</v>
      </c>
      <c r="AK26" s="735"/>
      <c r="AL26" s="735"/>
      <c r="AM26" s="735">
        <v>5.8940559300000004</v>
      </c>
      <c r="AN26" s="735"/>
      <c r="AO26" s="615">
        <f t="shared" si="25"/>
        <v>23.61787554</v>
      </c>
      <c r="AP26" s="736">
        <v>23.598170540000002</v>
      </c>
      <c r="AQ26" s="736">
        <v>23.60698494</v>
      </c>
      <c r="AR26" s="736">
        <v>23.545765449999998</v>
      </c>
      <c r="AS26" s="736">
        <v>23.51341021</v>
      </c>
      <c r="AT26" s="736">
        <v>23.476221670000001</v>
      </c>
      <c r="AU26" s="736">
        <v>23.463967630000003</v>
      </c>
      <c r="AV26" s="736">
        <v>23.39993213</v>
      </c>
      <c r="AW26" s="736">
        <v>23.362577460000001</v>
      </c>
      <c r="AX26" s="736">
        <v>23.323714640000006</v>
      </c>
      <c r="AY26" s="736">
        <v>23.303593490000004</v>
      </c>
      <c r="AZ26" s="736">
        <v>23.239910480000002</v>
      </c>
      <c r="BA26" s="736">
        <v>23.198772190000007</v>
      </c>
      <c r="BB26" s="736">
        <v>23.138513979999999</v>
      </c>
      <c r="BC26" s="736">
        <v>23.083679060000001</v>
      </c>
      <c r="BD26" s="736">
        <v>23.019150530000005</v>
      </c>
      <c r="BE26" s="736">
        <v>22.968512780000001</v>
      </c>
      <c r="BF26" s="736">
        <v>22.918067780000001</v>
      </c>
      <c r="BG26" s="736">
        <v>11.446893919999999</v>
      </c>
      <c r="BH26" s="639">
        <f>SUM(BH24:BH25)</f>
        <v>0</v>
      </c>
      <c r="BI26" s="487"/>
      <c r="BJ26" s="487"/>
      <c r="BK26" s="487"/>
      <c r="BL26" s="487"/>
      <c r="BM26" s="487"/>
    </row>
    <row r="27" spans="1:69">
      <c r="A27" s="79"/>
      <c r="N27" s="520"/>
    </row>
    <row r="28" spans="1:69">
      <c r="A28" s="79"/>
      <c r="B28" s="34" t="s">
        <v>1005</v>
      </c>
      <c r="E28" s="4"/>
      <c r="N28" s="520"/>
    </row>
    <row r="29" spans="1:69" s="80" customFormat="1">
      <c r="B29" s="80" t="s">
        <v>367</v>
      </c>
      <c r="G29" s="623"/>
      <c r="N29" s="735">
        <v>80.018677839999995</v>
      </c>
      <c r="O29" s="615"/>
      <c r="P29" s="80">
        <f>N29-N32</f>
        <v>80.018677839999995</v>
      </c>
      <c r="Q29" s="80">
        <f>P29-P32+P34</f>
        <v>80.029716780000228</v>
      </c>
      <c r="R29" s="80">
        <f t="shared" ref="R29:AA29" si="26">Q29-Q32</f>
        <v>80.029716780000228</v>
      </c>
      <c r="S29" s="80">
        <f t="shared" si="26"/>
        <v>80.029716780000228</v>
      </c>
      <c r="T29" s="80">
        <f>S29-S32+S34</f>
        <v>80.040466330000228</v>
      </c>
      <c r="U29" s="80">
        <f t="shared" si="26"/>
        <v>80.040466330000228</v>
      </c>
      <c r="V29" s="80">
        <f>U29-U32</f>
        <v>80.040466330000228</v>
      </c>
      <c r="W29" s="80">
        <f>V29-V32+V34</f>
        <v>80.051613840000229</v>
      </c>
      <c r="X29" s="80">
        <f t="shared" si="26"/>
        <v>80.051613840000229</v>
      </c>
      <c r="Y29" s="80">
        <f t="shared" si="26"/>
        <v>80.051613840000229</v>
      </c>
      <c r="Z29" s="80">
        <f>Y29-Y32+Y34</f>
        <v>80.063047810000228</v>
      </c>
      <c r="AA29" s="80">
        <f t="shared" si="26"/>
        <v>80.063047810000228</v>
      </c>
      <c r="AB29" s="615"/>
      <c r="AC29" s="80">
        <f>AA29-AA32</f>
        <v>80.063047810000228</v>
      </c>
      <c r="AD29" s="80">
        <f>AC29-AC32+AC34</f>
        <v>80.074776080000234</v>
      </c>
      <c r="AE29" s="80">
        <f t="shared" ref="AE29:AN29" si="27">AD29-AD32+AD34</f>
        <v>80.074776080000234</v>
      </c>
      <c r="AF29" s="80">
        <f t="shared" si="27"/>
        <v>80.074776080000234</v>
      </c>
      <c r="AG29" s="80">
        <f t="shared" si="27"/>
        <v>80.086166800000228</v>
      </c>
      <c r="AH29" s="80">
        <f t="shared" si="27"/>
        <v>80.086166800000228</v>
      </c>
      <c r="AI29" s="80">
        <f t="shared" si="27"/>
        <v>80.086166800000228</v>
      </c>
      <c r="AJ29" s="80">
        <f t="shared" si="27"/>
        <v>80.097979200000225</v>
      </c>
      <c r="AK29" s="80">
        <f t="shared" si="27"/>
        <v>80.097979200000225</v>
      </c>
      <c r="AL29" s="80">
        <f t="shared" si="27"/>
        <v>80.097979200000225</v>
      </c>
      <c r="AM29" s="80">
        <f>AL29-AL32+AL34</f>
        <v>80.110095160000228</v>
      </c>
      <c r="AN29" s="80">
        <f t="shared" si="27"/>
        <v>80.110095160000228</v>
      </c>
      <c r="AO29" s="615"/>
      <c r="AP29" s="80">
        <f>AN29-AN32</f>
        <v>80.110095160000228</v>
      </c>
      <c r="AQ29" s="80">
        <f>AP29-AP32+AP34</f>
        <v>80.159948740000232</v>
      </c>
      <c r="AR29" s="80">
        <f t="shared" ref="AR29:BQ29" si="28">AQ29-AQ32+AQ34</f>
        <v>80.213107480000232</v>
      </c>
      <c r="AS29" s="80">
        <f t="shared" si="28"/>
        <v>80.268910630000235</v>
      </c>
      <c r="AT29" s="80">
        <f t="shared" si="28"/>
        <v>80.328071020000237</v>
      </c>
      <c r="AU29" s="80">
        <f t="shared" si="28"/>
        <v>77.987926110000444</v>
      </c>
      <c r="AV29" s="80">
        <f t="shared" si="28"/>
        <v>34.394504410000472</v>
      </c>
      <c r="AW29" s="80">
        <f t="shared" si="28"/>
        <v>4.8316906031686813E-13</v>
      </c>
      <c r="AX29" s="80">
        <f t="shared" si="28"/>
        <v>4.8316906031686813E-13</v>
      </c>
      <c r="AY29" s="80">
        <f t="shared" si="28"/>
        <v>4.8316906031686813E-13</v>
      </c>
      <c r="AZ29" s="80">
        <f t="shared" si="28"/>
        <v>4.8316906031686813E-13</v>
      </c>
      <c r="BA29" s="80">
        <f t="shared" si="28"/>
        <v>4.8316906031686813E-13</v>
      </c>
      <c r="BB29" s="80">
        <f t="shared" si="28"/>
        <v>4.8316906031686813E-13</v>
      </c>
      <c r="BC29" s="80">
        <f t="shared" si="28"/>
        <v>4.8316906031686813E-13</v>
      </c>
      <c r="BD29" s="80">
        <f t="shared" si="28"/>
        <v>4.8316906031686813E-13</v>
      </c>
      <c r="BE29" s="80">
        <f t="shared" si="28"/>
        <v>4.8316906031686813E-13</v>
      </c>
      <c r="BF29" s="80">
        <f t="shared" si="28"/>
        <v>4.8316906031686813E-13</v>
      </c>
      <c r="BG29" s="80">
        <f t="shared" si="28"/>
        <v>4.8316906031686813E-13</v>
      </c>
      <c r="BH29" s="80">
        <f t="shared" si="28"/>
        <v>4.8316906031686813E-13</v>
      </c>
      <c r="BI29" s="80">
        <f t="shared" si="28"/>
        <v>4.8316906031686813E-13</v>
      </c>
      <c r="BJ29" s="80">
        <f t="shared" si="28"/>
        <v>4.8316906031686813E-13</v>
      </c>
      <c r="BK29" s="80">
        <f t="shared" si="28"/>
        <v>4.8316906031686813E-13</v>
      </c>
      <c r="BL29" s="80">
        <f t="shared" si="28"/>
        <v>4.8316906031686813E-13</v>
      </c>
      <c r="BM29" s="80">
        <f t="shared" si="28"/>
        <v>4.8316906031686813E-13</v>
      </c>
      <c r="BN29" s="80">
        <f t="shared" si="28"/>
        <v>4.8316906031686813E-13</v>
      </c>
      <c r="BO29" s="80">
        <f t="shared" si="28"/>
        <v>4.8316906031686813E-13</v>
      </c>
      <c r="BP29" s="80">
        <f t="shared" si="28"/>
        <v>4.8316906031686813E-13</v>
      </c>
      <c r="BQ29" s="80">
        <f t="shared" si="28"/>
        <v>4.8316906031686813E-13</v>
      </c>
    </row>
    <row r="30" spans="1:69">
      <c r="A30" s="79"/>
      <c r="B30" t="s">
        <v>377</v>
      </c>
      <c r="D30" s="102"/>
      <c r="E30" s="7"/>
      <c r="F30" s="93"/>
      <c r="G30" s="317"/>
      <c r="H30" s="90"/>
      <c r="I30" s="90"/>
      <c r="J30" s="90"/>
      <c r="K30" s="90"/>
      <c r="L30" s="90"/>
      <c r="M30" s="90"/>
      <c r="N30" s="733"/>
      <c r="O30" s="221"/>
      <c r="P30" s="737">
        <v>5.8357137799999903E-2</v>
      </c>
      <c r="Q30" s="90">
        <f>P30</f>
        <v>5.8357137799999903E-2</v>
      </c>
      <c r="R30" s="90">
        <f>Q30</f>
        <v>5.8357137799999903E-2</v>
      </c>
      <c r="S30" s="90">
        <f t="shared" ref="S30:AA30" si="29">R30</f>
        <v>5.8357137799999903E-2</v>
      </c>
      <c r="T30" s="90">
        <f t="shared" si="29"/>
        <v>5.8357137799999903E-2</v>
      </c>
      <c r="U30" s="90">
        <f t="shared" si="29"/>
        <v>5.8357137799999903E-2</v>
      </c>
      <c r="V30" s="90">
        <f t="shared" si="29"/>
        <v>5.8357137799999903E-2</v>
      </c>
      <c r="W30" s="90">
        <f t="shared" si="29"/>
        <v>5.8357137799999903E-2</v>
      </c>
      <c r="X30" s="90">
        <f t="shared" si="29"/>
        <v>5.8357137799999903E-2</v>
      </c>
      <c r="Y30" s="90">
        <f t="shared" si="29"/>
        <v>5.8357137799999903E-2</v>
      </c>
      <c r="Z30" s="90">
        <f t="shared" si="29"/>
        <v>5.8357137799999903E-2</v>
      </c>
      <c r="AA30" s="90">
        <f t="shared" si="29"/>
        <v>5.8357137799999903E-2</v>
      </c>
      <c r="AB30" s="221"/>
      <c r="AC30" s="90">
        <f>AA30</f>
        <v>5.8357137799999903E-2</v>
      </c>
      <c r="AD30" s="90">
        <f>AC30</f>
        <v>5.8357137799999903E-2</v>
      </c>
      <c r="AE30" s="90">
        <f t="shared" ref="AE30:AN30" si="30">AD30</f>
        <v>5.8357137799999903E-2</v>
      </c>
      <c r="AF30" s="90">
        <f t="shared" si="30"/>
        <v>5.8357137799999903E-2</v>
      </c>
      <c r="AG30" s="90">
        <f t="shared" si="30"/>
        <v>5.8357137799999903E-2</v>
      </c>
      <c r="AH30" s="90">
        <f t="shared" si="30"/>
        <v>5.8357137799999903E-2</v>
      </c>
      <c r="AI30" s="90">
        <f t="shared" si="30"/>
        <v>5.8357137799999903E-2</v>
      </c>
      <c r="AJ30" s="90">
        <f t="shared" si="30"/>
        <v>5.8357137799999903E-2</v>
      </c>
      <c r="AK30" s="90">
        <f t="shared" si="30"/>
        <v>5.8357137799999903E-2</v>
      </c>
      <c r="AL30" s="90">
        <f t="shared" si="30"/>
        <v>5.8357137799999903E-2</v>
      </c>
      <c r="AM30" s="90">
        <f t="shared" si="30"/>
        <v>5.8357137799999903E-2</v>
      </c>
      <c r="AN30" s="90">
        <f t="shared" si="30"/>
        <v>5.8357137799999903E-2</v>
      </c>
      <c r="AO30" s="221"/>
      <c r="AP30" s="90">
        <f>AN30</f>
        <v>5.8357137799999903E-2</v>
      </c>
      <c r="AQ30" s="90">
        <f>AP30</f>
        <v>5.8357137799999903E-2</v>
      </c>
      <c r="AR30" s="90">
        <f t="shared" ref="AR30:BQ30" si="31">AQ30</f>
        <v>5.8357137799999903E-2</v>
      </c>
      <c r="AS30" s="90">
        <f t="shared" si="31"/>
        <v>5.8357137799999903E-2</v>
      </c>
      <c r="AT30" s="90">
        <f t="shared" si="31"/>
        <v>5.8357137799999903E-2</v>
      </c>
      <c r="AU30" s="90">
        <f t="shared" si="31"/>
        <v>5.8357137799999903E-2</v>
      </c>
      <c r="AV30" s="90">
        <f t="shared" si="31"/>
        <v>5.8357137799999903E-2</v>
      </c>
      <c r="AW30" s="90">
        <f t="shared" si="31"/>
        <v>5.8357137799999903E-2</v>
      </c>
      <c r="AX30" s="90">
        <f t="shared" si="31"/>
        <v>5.8357137799999903E-2</v>
      </c>
      <c r="AY30" s="90">
        <f t="shared" si="31"/>
        <v>5.8357137799999903E-2</v>
      </c>
      <c r="AZ30" s="90">
        <f t="shared" si="31"/>
        <v>5.8357137799999903E-2</v>
      </c>
      <c r="BA30" s="90">
        <f t="shared" si="31"/>
        <v>5.8357137799999903E-2</v>
      </c>
      <c r="BB30" s="90">
        <f t="shared" si="31"/>
        <v>5.8357137799999903E-2</v>
      </c>
      <c r="BC30" s="90">
        <f t="shared" si="31"/>
        <v>5.8357137799999903E-2</v>
      </c>
      <c r="BD30" s="90">
        <f t="shared" si="31"/>
        <v>5.8357137799999903E-2</v>
      </c>
      <c r="BE30" s="90">
        <f t="shared" si="31"/>
        <v>5.8357137799999903E-2</v>
      </c>
      <c r="BF30" s="90">
        <f t="shared" si="31"/>
        <v>5.8357137799999903E-2</v>
      </c>
      <c r="BG30" s="90">
        <f t="shared" si="31"/>
        <v>5.8357137799999903E-2</v>
      </c>
      <c r="BH30" s="90">
        <f t="shared" si="31"/>
        <v>5.8357137799999903E-2</v>
      </c>
      <c r="BI30" s="90">
        <f t="shared" si="31"/>
        <v>5.8357137799999903E-2</v>
      </c>
      <c r="BJ30" s="90">
        <f t="shared" si="31"/>
        <v>5.8357137799999903E-2</v>
      </c>
      <c r="BK30" s="90">
        <f t="shared" si="31"/>
        <v>5.8357137799999903E-2</v>
      </c>
      <c r="BL30" s="90">
        <f t="shared" si="31"/>
        <v>5.8357137799999903E-2</v>
      </c>
      <c r="BM30" s="90">
        <f t="shared" si="31"/>
        <v>5.8357137799999903E-2</v>
      </c>
      <c r="BN30" s="90">
        <f t="shared" si="31"/>
        <v>5.8357137799999903E-2</v>
      </c>
      <c r="BO30" s="90">
        <f t="shared" si="31"/>
        <v>5.8357137799999903E-2</v>
      </c>
      <c r="BP30" s="90">
        <f t="shared" si="31"/>
        <v>5.8357137799999903E-2</v>
      </c>
      <c r="BQ30" s="90">
        <f t="shared" si="31"/>
        <v>5.8357137799999903E-2</v>
      </c>
    </row>
    <row r="31" spans="1:69" s="80" customFormat="1">
      <c r="B31" s="80" t="s">
        <v>306</v>
      </c>
      <c r="F31" s="94"/>
      <c r="G31" s="623"/>
      <c r="N31" s="735"/>
      <c r="O31" s="349"/>
      <c r="P31" s="738">
        <v>0.39665252999999995</v>
      </c>
      <c r="Q31" s="738">
        <v>0.35826998999999998</v>
      </c>
      <c r="R31" s="738">
        <v>0.39665605999999998</v>
      </c>
      <c r="S31" s="738">
        <v>0.38391054999999996</v>
      </c>
      <c r="T31" s="738">
        <v>0.39670933999999997</v>
      </c>
      <c r="U31" s="738">
        <v>0.38391226000000001</v>
      </c>
      <c r="V31" s="738">
        <v>0.39676281000000002</v>
      </c>
      <c r="W31" s="738">
        <v>0.39676458999999997</v>
      </c>
      <c r="X31" s="738">
        <v>0.38396573000000001</v>
      </c>
      <c r="Y31" s="738">
        <v>0.39681942999999997</v>
      </c>
      <c r="Z31" s="738">
        <v>0.38402058</v>
      </c>
      <c r="AA31" s="738">
        <v>0.39682126000000001</v>
      </c>
      <c r="AB31" s="349">
        <f>SUM(P31:AA31)</f>
        <v>4.6712651299999992</v>
      </c>
      <c r="AC31" s="738">
        <v>0.39687564000000003</v>
      </c>
      <c r="AD31" s="738">
        <v>0.35847171</v>
      </c>
      <c r="AE31" s="738">
        <v>0.39687939</v>
      </c>
      <c r="AF31" s="738">
        <v>0.38412963999999999</v>
      </c>
      <c r="AG31" s="738">
        <v>0.39693583999999998</v>
      </c>
      <c r="AH31" s="738">
        <v>0.38413146000000004</v>
      </c>
      <c r="AI31" s="738">
        <v>0.39699250000000003</v>
      </c>
      <c r="AJ31" s="738">
        <v>0.39699439000000003</v>
      </c>
      <c r="AK31" s="738">
        <v>0.38418812000000002</v>
      </c>
      <c r="AL31" s="738">
        <v>0.39705251000000003</v>
      </c>
      <c r="AM31" s="738">
        <v>0.38424622999999997</v>
      </c>
      <c r="AN31" s="738">
        <v>0.39705444000000001</v>
      </c>
      <c r="AO31" s="615">
        <f>SUM(AC31:AN31)</f>
        <v>4.6739518699999998</v>
      </c>
      <c r="AP31" s="735">
        <v>4.6767989400000003</v>
      </c>
      <c r="AQ31" s="735">
        <v>4.6798154599999986</v>
      </c>
      <c r="AR31" s="735">
        <v>4.6830127599999996</v>
      </c>
      <c r="AS31" s="735">
        <v>4.6864001599999989</v>
      </c>
      <c r="AT31" s="735">
        <v>4.6550275999999986</v>
      </c>
      <c r="AU31" s="735">
        <v>2.9781356499999996</v>
      </c>
      <c r="AV31" s="735">
        <v>1.01177005</v>
      </c>
      <c r="AW31" s="487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</row>
    <row r="32" spans="1:69" s="80" customFormat="1">
      <c r="B32" s="80" t="s">
        <v>305</v>
      </c>
      <c r="F32" s="637"/>
      <c r="G32" s="655"/>
      <c r="H32" s="637"/>
      <c r="I32" s="637"/>
      <c r="J32" s="637"/>
      <c r="K32" s="637"/>
      <c r="L32" s="637"/>
      <c r="M32" s="637"/>
      <c r="N32" s="734"/>
      <c r="O32" s="636"/>
      <c r="P32" s="734">
        <v>0</v>
      </c>
      <c r="Q32" s="734"/>
      <c r="R32" s="734"/>
      <c r="S32" s="734">
        <v>0</v>
      </c>
      <c r="T32" s="734"/>
      <c r="U32" s="734"/>
      <c r="V32" s="734">
        <v>0</v>
      </c>
      <c r="W32" s="734"/>
      <c r="X32" s="734"/>
      <c r="Y32" s="734">
        <v>0</v>
      </c>
      <c r="Z32" s="734"/>
      <c r="AA32" s="734"/>
      <c r="AB32" s="636">
        <f>SUM(P32:AA32)</f>
        <v>0</v>
      </c>
      <c r="AC32" s="734">
        <v>0</v>
      </c>
      <c r="AD32" s="734"/>
      <c r="AE32" s="734"/>
      <c r="AF32" s="734">
        <v>0</v>
      </c>
      <c r="AG32" s="734"/>
      <c r="AH32" s="734"/>
      <c r="AI32" s="734">
        <v>0</v>
      </c>
      <c r="AJ32" s="734"/>
      <c r="AK32" s="734"/>
      <c r="AL32" s="734">
        <v>0</v>
      </c>
      <c r="AM32" s="734"/>
      <c r="AN32" s="734"/>
      <c r="AO32" s="618">
        <f>SUM(AC32:AN32)</f>
        <v>0</v>
      </c>
      <c r="AP32" s="734">
        <v>0</v>
      </c>
      <c r="AQ32" s="734">
        <v>0</v>
      </c>
      <c r="AR32" s="734">
        <v>0</v>
      </c>
      <c r="AS32" s="734">
        <v>0</v>
      </c>
      <c r="AT32" s="734">
        <v>2.3868131199997915</v>
      </c>
      <c r="AU32" s="734">
        <v>43.593421699999972</v>
      </c>
      <c r="AV32" s="734">
        <v>34.394504409999989</v>
      </c>
      <c r="AW32" s="625"/>
      <c r="AX32" s="637"/>
      <c r="AY32" s="637"/>
      <c r="AZ32" s="637"/>
      <c r="BA32" s="637"/>
      <c r="BB32" s="637"/>
      <c r="BC32" s="637"/>
      <c r="BD32" s="637"/>
      <c r="BE32" s="637"/>
      <c r="BF32" s="637"/>
      <c r="BG32" s="637"/>
      <c r="BH32" s="637"/>
      <c r="BI32" s="637"/>
      <c r="BJ32" s="637"/>
      <c r="BK32" s="637"/>
      <c r="BL32" s="637"/>
      <c r="BM32" s="637"/>
      <c r="BN32" s="637"/>
      <c r="BO32" s="637"/>
      <c r="BP32" s="637"/>
      <c r="BQ32" s="637"/>
    </row>
    <row r="33" spans="1:70" s="80" customFormat="1">
      <c r="B33" s="80" t="s">
        <v>335</v>
      </c>
      <c r="G33" s="659"/>
      <c r="H33" s="627"/>
      <c r="I33" s="627"/>
      <c r="J33" s="627"/>
      <c r="K33" s="627"/>
      <c r="L33" s="94"/>
      <c r="M33" s="627"/>
      <c r="N33" s="735">
        <v>0</v>
      </c>
      <c r="O33" s="615"/>
      <c r="P33" s="735">
        <v>1.1755841799997615</v>
      </c>
      <c r="Q33" s="735"/>
      <c r="R33" s="735"/>
      <c r="S33" s="735">
        <v>1.1280372100000002</v>
      </c>
      <c r="T33" s="735"/>
      <c r="U33" s="735"/>
      <c r="V33" s="735">
        <v>1.1533863600000001</v>
      </c>
      <c r="W33" s="735"/>
      <c r="X33" s="735"/>
      <c r="Y33" s="735">
        <v>1.1660609399999999</v>
      </c>
      <c r="Z33" s="735"/>
      <c r="AA33" s="735"/>
      <c r="AB33" s="349">
        <f>SUM(P33:AA33)</f>
        <v>4.6230686899997622</v>
      </c>
      <c r="AC33" s="735">
        <v>1.1787355100000001</v>
      </c>
      <c r="AD33" s="735"/>
      <c r="AE33" s="735"/>
      <c r="AF33" s="735">
        <v>1.12803721</v>
      </c>
      <c r="AG33" s="735"/>
      <c r="AH33" s="735"/>
      <c r="AI33" s="735">
        <v>1.1533863600000001</v>
      </c>
      <c r="AJ33" s="735"/>
      <c r="AK33" s="735"/>
      <c r="AL33" s="735">
        <v>1.1660609399999999</v>
      </c>
      <c r="AM33" s="735"/>
      <c r="AN33" s="735"/>
      <c r="AO33" s="615">
        <f>SUM(AC33:AN33)</f>
        <v>4.6262200199999999</v>
      </c>
      <c r="AP33" s="735">
        <v>4.6262200099999999</v>
      </c>
      <c r="AQ33" s="735">
        <v>4.6546512400000006</v>
      </c>
      <c r="AR33" s="735">
        <v>4.6104633699999988</v>
      </c>
      <c r="AS33" s="735">
        <v>4.6135454299999994</v>
      </c>
      <c r="AT33" s="735">
        <v>7.0292200199997916</v>
      </c>
      <c r="AU33" s="735">
        <v>47.207178979999973</v>
      </c>
      <c r="AV33" s="735">
        <v>35.406274459999992</v>
      </c>
      <c r="AW33" s="616"/>
    </row>
    <row r="34" spans="1:70" s="80" customFormat="1">
      <c r="B34" s="80" t="s">
        <v>583</v>
      </c>
      <c r="G34" s="623"/>
      <c r="N34" s="735"/>
      <c r="O34" s="615"/>
      <c r="P34" s="738">
        <v>1.1038940000236034E-2</v>
      </c>
      <c r="Q34" s="738"/>
      <c r="R34" s="738"/>
      <c r="S34" s="738">
        <v>1.0749549999999886E-2</v>
      </c>
      <c r="T34" s="738"/>
      <c r="U34" s="738"/>
      <c r="V34" s="738">
        <v>1.1147510000000027E-2</v>
      </c>
      <c r="W34" s="735"/>
      <c r="X34" s="735"/>
      <c r="Y34" s="738">
        <v>1.1433969999999904E-2</v>
      </c>
      <c r="Z34" s="735"/>
      <c r="AA34" s="735"/>
      <c r="AB34" s="663"/>
      <c r="AC34" s="738">
        <v>1.1728270000000096E-2</v>
      </c>
      <c r="AD34" s="738"/>
      <c r="AE34" s="738"/>
      <c r="AF34" s="738">
        <v>1.1390720000000076E-2</v>
      </c>
      <c r="AG34" s="738"/>
      <c r="AH34" s="738"/>
      <c r="AI34" s="738">
        <v>1.1812399999999945E-2</v>
      </c>
      <c r="AJ34" s="735"/>
      <c r="AK34" s="735"/>
      <c r="AL34" s="738">
        <v>1.2115960000000037E-2</v>
      </c>
      <c r="AM34" s="735"/>
      <c r="AN34" s="735"/>
      <c r="AO34" s="663"/>
      <c r="AP34" s="735">
        <v>4.9853580000000619E-2</v>
      </c>
      <c r="AQ34" s="735">
        <v>5.315873999999976E-2</v>
      </c>
      <c r="AR34" s="735">
        <v>5.58031500000018E-2</v>
      </c>
      <c r="AS34" s="735">
        <v>5.916038999999973E-2</v>
      </c>
      <c r="AT34" s="735">
        <v>4.66682099999991E-2</v>
      </c>
      <c r="AU34" s="735"/>
      <c r="AV34" s="735"/>
    </row>
    <row r="35" spans="1:70">
      <c r="A35" s="79"/>
      <c r="F35" s="4"/>
      <c r="G35" s="191"/>
      <c r="H35" s="4"/>
      <c r="I35" s="4"/>
      <c r="J35" s="4"/>
      <c r="K35" s="4"/>
      <c r="L35" s="4"/>
      <c r="M35" s="4"/>
      <c r="N35" s="744"/>
      <c r="O35" s="89"/>
      <c r="P35" s="4"/>
      <c r="Q35" s="4"/>
      <c r="R35" s="4"/>
      <c r="S35" s="4"/>
      <c r="T35" s="4"/>
      <c r="U35" s="23"/>
      <c r="V35" s="23"/>
      <c r="W35" s="23"/>
      <c r="X35" s="23"/>
      <c r="Y35" s="23"/>
      <c r="Z35" s="23"/>
      <c r="AA35" s="23"/>
      <c r="AB35" s="89"/>
      <c r="AC35" s="13"/>
      <c r="AD35" s="13"/>
      <c r="AE35" s="13"/>
      <c r="AF35" s="13"/>
      <c r="AG35" s="13"/>
      <c r="AH35" s="13"/>
      <c r="AI35" s="23"/>
      <c r="AO35" s="170"/>
      <c r="AP35" s="16"/>
      <c r="AR35" s="16"/>
    </row>
    <row r="36" spans="1:70">
      <c r="A36" s="79"/>
      <c r="B36" s="34" t="s">
        <v>307</v>
      </c>
      <c r="E36" s="92"/>
      <c r="F36" s="4"/>
      <c r="G36" s="191"/>
      <c r="H36" s="4"/>
      <c r="I36" s="4"/>
      <c r="J36" s="4"/>
      <c r="K36" s="4"/>
      <c r="L36" s="4"/>
      <c r="M36" s="4"/>
      <c r="N36" s="744"/>
      <c r="O36" s="89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89"/>
    </row>
    <row r="37" spans="1:70" s="80" customFormat="1">
      <c r="B37" s="80" t="s">
        <v>367</v>
      </c>
      <c r="G37" s="623"/>
      <c r="N37" s="735">
        <v>0</v>
      </c>
      <c r="O37" s="615"/>
      <c r="P37" s="80">
        <f>N37-N41</f>
        <v>0</v>
      </c>
      <c r="Q37" s="80">
        <f>P37-P41</f>
        <v>0</v>
      </c>
      <c r="R37" s="80">
        <f>Q37-Q41</f>
        <v>0</v>
      </c>
      <c r="S37" s="80">
        <f>R37-R41</f>
        <v>0</v>
      </c>
      <c r="T37" s="80">
        <f t="shared" ref="T37:AA37" si="32">S37-S41</f>
        <v>0</v>
      </c>
      <c r="U37" s="80">
        <f t="shared" si="32"/>
        <v>0</v>
      </c>
      <c r="V37" s="80">
        <f t="shared" si="32"/>
        <v>0</v>
      </c>
      <c r="W37" s="80">
        <f t="shared" si="32"/>
        <v>0</v>
      </c>
      <c r="X37" s="80">
        <f t="shared" si="32"/>
        <v>0</v>
      </c>
      <c r="Y37" s="80">
        <f t="shared" si="32"/>
        <v>0</v>
      </c>
      <c r="Z37" s="80">
        <f t="shared" si="32"/>
        <v>0</v>
      </c>
      <c r="AA37" s="80">
        <f t="shared" si="32"/>
        <v>0</v>
      </c>
      <c r="AB37" s="615"/>
      <c r="AC37" s="80">
        <f>AA37-AA41</f>
        <v>0</v>
      </c>
      <c r="AD37" s="80">
        <f>AC37-AC41</f>
        <v>0</v>
      </c>
      <c r="AE37" s="80">
        <f t="shared" ref="AE37:AN37" si="33">AD37-AD41</f>
        <v>0</v>
      </c>
      <c r="AF37" s="80">
        <f t="shared" si="33"/>
        <v>0</v>
      </c>
      <c r="AG37" s="80">
        <f t="shared" si="33"/>
        <v>0</v>
      </c>
      <c r="AH37" s="80">
        <f t="shared" si="33"/>
        <v>0</v>
      </c>
      <c r="AI37" s="80">
        <f t="shared" si="33"/>
        <v>0</v>
      </c>
      <c r="AJ37" s="80">
        <f t="shared" si="33"/>
        <v>0</v>
      </c>
      <c r="AK37" s="80">
        <f t="shared" si="33"/>
        <v>0</v>
      </c>
      <c r="AL37" s="80">
        <f t="shared" si="33"/>
        <v>0</v>
      </c>
      <c r="AM37" s="80">
        <f t="shared" si="33"/>
        <v>0</v>
      </c>
      <c r="AN37" s="80">
        <f t="shared" si="33"/>
        <v>0</v>
      </c>
      <c r="AO37" s="615"/>
      <c r="AP37" s="80">
        <f>AN37-AN41</f>
        <v>0</v>
      </c>
      <c r="AQ37" s="80">
        <f>AP37-AP41</f>
        <v>0</v>
      </c>
      <c r="AR37" s="80">
        <f t="shared" ref="AR37:BQ37" si="34">AQ37-AQ41</f>
        <v>0</v>
      </c>
      <c r="AS37" s="80">
        <f t="shared" si="34"/>
        <v>0</v>
      </c>
      <c r="AT37" s="80">
        <f t="shared" si="34"/>
        <v>0</v>
      </c>
      <c r="AU37" s="80">
        <f t="shared" si="34"/>
        <v>0</v>
      </c>
      <c r="AV37" s="80">
        <f t="shared" si="34"/>
        <v>0</v>
      </c>
      <c r="AW37" s="80">
        <f>AV37-AV41</f>
        <v>0</v>
      </c>
      <c r="AX37" s="80">
        <f t="shared" si="34"/>
        <v>0</v>
      </c>
      <c r="AY37" s="80">
        <f t="shared" si="34"/>
        <v>0</v>
      </c>
      <c r="AZ37" s="80">
        <f t="shared" si="34"/>
        <v>0</v>
      </c>
      <c r="BA37" s="80">
        <f t="shared" si="34"/>
        <v>0</v>
      </c>
      <c r="BB37" s="80">
        <f t="shared" si="34"/>
        <v>0</v>
      </c>
      <c r="BC37" s="80">
        <f t="shared" si="34"/>
        <v>0</v>
      </c>
      <c r="BD37" s="80">
        <f t="shared" si="34"/>
        <v>0</v>
      </c>
      <c r="BE37" s="80">
        <f t="shared" si="34"/>
        <v>0</v>
      </c>
      <c r="BF37" s="80">
        <f t="shared" si="34"/>
        <v>0</v>
      </c>
      <c r="BG37" s="80">
        <f t="shared" si="34"/>
        <v>0</v>
      </c>
      <c r="BH37" s="80">
        <f t="shared" si="34"/>
        <v>0</v>
      </c>
      <c r="BI37" s="80">
        <f t="shared" si="34"/>
        <v>0</v>
      </c>
      <c r="BJ37" s="80">
        <f t="shared" si="34"/>
        <v>0</v>
      </c>
      <c r="BK37" s="80">
        <f t="shared" si="34"/>
        <v>0</v>
      </c>
      <c r="BL37" s="80">
        <f t="shared" si="34"/>
        <v>0</v>
      </c>
      <c r="BM37" s="80">
        <f t="shared" si="34"/>
        <v>0</v>
      </c>
      <c r="BN37" s="80">
        <f t="shared" si="34"/>
        <v>0</v>
      </c>
      <c r="BO37" s="80">
        <f t="shared" si="34"/>
        <v>0</v>
      </c>
      <c r="BP37" s="80">
        <f t="shared" si="34"/>
        <v>0</v>
      </c>
      <c r="BQ37" s="80">
        <f t="shared" si="34"/>
        <v>0</v>
      </c>
    </row>
    <row r="38" spans="1:70">
      <c r="A38" s="79"/>
      <c r="B38" t="s">
        <v>377</v>
      </c>
      <c r="E38" s="7"/>
      <c r="F38" s="93"/>
      <c r="G38" s="318"/>
      <c r="H38" s="93"/>
      <c r="I38" s="93"/>
      <c r="J38" s="93"/>
      <c r="K38" s="93"/>
      <c r="L38" s="93"/>
      <c r="M38" s="93"/>
      <c r="N38" s="733"/>
      <c r="O38" s="217"/>
      <c r="P38" s="733">
        <v>2.75E-2</v>
      </c>
      <c r="Q38" s="733">
        <v>2.75E-2</v>
      </c>
      <c r="R38" s="733">
        <v>2.75E-2</v>
      </c>
      <c r="S38" s="733">
        <v>2.75E-2</v>
      </c>
      <c r="T38" s="733">
        <v>2.75E-2</v>
      </c>
      <c r="U38" s="733">
        <v>2.75E-2</v>
      </c>
      <c r="V38" s="733">
        <v>2.75E-2</v>
      </c>
      <c r="W38" s="733">
        <v>2.75E-2</v>
      </c>
      <c r="X38" s="733">
        <v>2.75E-2</v>
      </c>
      <c r="Y38" s="733">
        <v>2.75E-2</v>
      </c>
      <c r="Z38" s="733">
        <v>2.75E-2</v>
      </c>
      <c r="AA38" s="733">
        <v>2.75E-2</v>
      </c>
      <c r="AB38" s="739"/>
      <c r="AC38" s="733">
        <v>2.75E-2</v>
      </c>
      <c r="AD38" s="733">
        <v>2.75E-2</v>
      </c>
      <c r="AE38" s="733">
        <v>2.75E-2</v>
      </c>
      <c r="AF38" s="733">
        <v>2.75E-2</v>
      </c>
      <c r="AG38" s="733">
        <v>2.75E-2</v>
      </c>
      <c r="AH38" s="733">
        <v>2.75E-2</v>
      </c>
      <c r="AI38" s="733">
        <v>2.75E-2</v>
      </c>
      <c r="AJ38" s="733">
        <v>2.75E-2</v>
      </c>
      <c r="AK38" s="733">
        <v>2.75E-2</v>
      </c>
      <c r="AL38" s="733">
        <v>2.75E-2</v>
      </c>
      <c r="AM38" s="733">
        <v>2.75E-2</v>
      </c>
      <c r="AN38" s="733">
        <v>2.75E-2</v>
      </c>
      <c r="AO38" s="739"/>
      <c r="AP38" s="733">
        <v>2.75E-2</v>
      </c>
      <c r="AQ38" s="733">
        <v>2.75E-2</v>
      </c>
      <c r="AR38" s="733">
        <v>2.75E-2</v>
      </c>
      <c r="AS38" s="733">
        <v>2.75E-2</v>
      </c>
      <c r="AT38" s="733">
        <v>2.75E-2</v>
      </c>
      <c r="AU38" s="733">
        <v>2.75E-2</v>
      </c>
      <c r="AV38" s="733">
        <v>2.75E-2</v>
      </c>
      <c r="AW38" s="733">
        <v>2.75E-2</v>
      </c>
      <c r="AX38" s="733">
        <v>2.75E-2</v>
      </c>
      <c r="AY38" s="733">
        <v>2.75E-2</v>
      </c>
      <c r="AZ38" s="733">
        <v>2.75E-2</v>
      </c>
      <c r="BA38" s="733">
        <v>2.75E-2</v>
      </c>
      <c r="BB38" s="733">
        <v>2.75E-2</v>
      </c>
      <c r="BC38" s="733">
        <v>2.75E-2</v>
      </c>
      <c r="BD38" s="733">
        <v>2.75E-2</v>
      </c>
      <c r="BE38" s="733">
        <v>2.75E-2</v>
      </c>
      <c r="BF38" s="733">
        <v>2.75E-2</v>
      </c>
      <c r="BG38" s="733">
        <v>2.75E-2</v>
      </c>
      <c r="BH38" s="733">
        <v>2.75E-2</v>
      </c>
      <c r="BI38" s="733">
        <v>2.75E-2</v>
      </c>
      <c r="BJ38" s="733">
        <v>2.75E-2</v>
      </c>
      <c r="BK38" s="733">
        <v>2.75E-2</v>
      </c>
      <c r="BL38" s="733">
        <v>2.75E-2</v>
      </c>
      <c r="BM38" s="733">
        <v>2.75E-2</v>
      </c>
      <c r="BN38" s="733">
        <v>2.75E-2</v>
      </c>
      <c r="BO38" s="733">
        <v>2.75E-2</v>
      </c>
      <c r="BP38" s="733">
        <v>2.75E-2</v>
      </c>
      <c r="BQ38" s="733">
        <v>2.75E-2</v>
      </c>
    </row>
    <row r="39" spans="1:70">
      <c r="A39" s="79"/>
      <c r="B39" t="s">
        <v>378</v>
      </c>
      <c r="D39" s="7"/>
      <c r="E39" s="7"/>
      <c r="F39" s="93"/>
      <c r="G39" s="318"/>
      <c r="H39" s="93"/>
      <c r="I39" s="93"/>
      <c r="J39" s="93"/>
      <c r="K39" s="93"/>
      <c r="L39" s="93"/>
      <c r="M39" s="93"/>
      <c r="N39" s="733"/>
      <c r="O39" s="217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217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21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70" s="80" customFormat="1">
      <c r="B40" s="80" t="s">
        <v>390</v>
      </c>
      <c r="G40" s="623"/>
      <c r="N40" s="735"/>
      <c r="O40" s="615"/>
      <c r="P40" s="80">
        <f t="shared" ref="P40:AA40" si="35">P37*P38*P5/$AB5</f>
        <v>0</v>
      </c>
      <c r="Q40" s="80">
        <f t="shared" si="35"/>
        <v>0</v>
      </c>
      <c r="R40" s="80">
        <f t="shared" si="35"/>
        <v>0</v>
      </c>
      <c r="S40" s="80">
        <f t="shared" si="35"/>
        <v>0</v>
      </c>
      <c r="T40" s="80">
        <f t="shared" si="35"/>
        <v>0</v>
      </c>
      <c r="U40" s="80">
        <f t="shared" si="35"/>
        <v>0</v>
      </c>
      <c r="V40" s="80">
        <f t="shared" si="35"/>
        <v>0</v>
      </c>
      <c r="W40" s="80">
        <f t="shared" si="35"/>
        <v>0</v>
      </c>
      <c r="X40" s="80">
        <f t="shared" si="35"/>
        <v>0</v>
      </c>
      <c r="Y40" s="80">
        <f t="shared" si="35"/>
        <v>0</v>
      </c>
      <c r="Z40" s="80">
        <f t="shared" si="35"/>
        <v>0</v>
      </c>
      <c r="AA40" s="80">
        <f t="shared" si="35"/>
        <v>0</v>
      </c>
      <c r="AB40" s="615"/>
      <c r="AC40" s="80">
        <f t="shared" ref="AC40:AN40" si="36">AC37*AC38*AC5/$AO5</f>
        <v>0</v>
      </c>
      <c r="AD40" s="80">
        <f t="shared" si="36"/>
        <v>0</v>
      </c>
      <c r="AE40" s="80">
        <f t="shared" si="36"/>
        <v>0</v>
      </c>
      <c r="AF40" s="80">
        <f t="shared" si="36"/>
        <v>0</v>
      </c>
      <c r="AG40" s="80">
        <f t="shared" si="36"/>
        <v>0</v>
      </c>
      <c r="AH40" s="80">
        <f t="shared" si="36"/>
        <v>0</v>
      </c>
      <c r="AI40" s="80">
        <f t="shared" si="36"/>
        <v>0</v>
      </c>
      <c r="AJ40" s="80">
        <f t="shared" si="36"/>
        <v>0</v>
      </c>
      <c r="AK40" s="80">
        <f t="shared" si="36"/>
        <v>0</v>
      </c>
      <c r="AL40" s="80">
        <f t="shared" si="36"/>
        <v>0</v>
      </c>
      <c r="AM40" s="80">
        <f t="shared" si="36"/>
        <v>0</v>
      </c>
      <c r="AN40" s="80">
        <f t="shared" si="36"/>
        <v>0</v>
      </c>
      <c r="AO40" s="615">
        <f>SUM(AC40:AN40)</f>
        <v>0</v>
      </c>
      <c r="AP40" s="465">
        <f>-AP41*AP38/2</f>
        <v>0</v>
      </c>
      <c r="AQ40" s="465">
        <f>(AQ37*AQ38)+-AQ41*AQ38/2</f>
        <v>0</v>
      </c>
      <c r="AR40" s="465">
        <f>(AR37*AR38)+-AR41*AR38/2</f>
        <v>0</v>
      </c>
      <c r="AS40" s="465">
        <f t="shared" ref="AS40:BQ40" si="37">(AS37*AS38)+-AS41*AS38/2</f>
        <v>0</v>
      </c>
      <c r="AT40" s="465">
        <f t="shared" si="37"/>
        <v>0</v>
      </c>
      <c r="AU40" s="465">
        <f t="shared" si="37"/>
        <v>0</v>
      </c>
      <c r="AV40" s="465">
        <f t="shared" si="37"/>
        <v>0</v>
      </c>
      <c r="AW40" s="465">
        <f t="shared" si="37"/>
        <v>0</v>
      </c>
      <c r="AX40" s="465">
        <f t="shared" si="37"/>
        <v>0</v>
      </c>
      <c r="AY40" s="465">
        <f t="shared" si="37"/>
        <v>0</v>
      </c>
      <c r="AZ40" s="465">
        <f t="shared" si="37"/>
        <v>0</v>
      </c>
      <c r="BA40" s="465">
        <f t="shared" si="37"/>
        <v>0</v>
      </c>
      <c r="BB40" s="465">
        <f t="shared" si="37"/>
        <v>0</v>
      </c>
      <c r="BC40" s="465">
        <f t="shared" si="37"/>
        <v>0</v>
      </c>
      <c r="BD40" s="465">
        <f t="shared" si="37"/>
        <v>0</v>
      </c>
      <c r="BE40" s="465">
        <f t="shared" si="37"/>
        <v>0</v>
      </c>
      <c r="BF40" s="465">
        <f t="shared" si="37"/>
        <v>0</v>
      </c>
      <c r="BG40" s="465">
        <f t="shared" si="37"/>
        <v>0</v>
      </c>
      <c r="BH40" s="465">
        <f t="shared" si="37"/>
        <v>0</v>
      </c>
      <c r="BI40" s="465">
        <f t="shared" si="37"/>
        <v>0</v>
      </c>
      <c r="BJ40" s="465">
        <f t="shared" si="37"/>
        <v>0</v>
      </c>
      <c r="BK40" s="465">
        <f t="shared" si="37"/>
        <v>0</v>
      </c>
      <c r="BL40" s="465">
        <f t="shared" si="37"/>
        <v>0</v>
      </c>
      <c r="BM40" s="465">
        <f t="shared" si="37"/>
        <v>0</v>
      </c>
      <c r="BN40" s="465">
        <f t="shared" si="37"/>
        <v>0</v>
      </c>
      <c r="BO40" s="465">
        <f t="shared" si="37"/>
        <v>0</v>
      </c>
      <c r="BP40" s="465">
        <f t="shared" si="37"/>
        <v>0</v>
      </c>
      <c r="BQ40" s="465">
        <f t="shared" si="37"/>
        <v>0</v>
      </c>
    </row>
    <row r="41" spans="1:70" s="80" customFormat="1">
      <c r="B41" s="80" t="s">
        <v>305</v>
      </c>
      <c r="F41" s="617"/>
      <c r="G41" s="624"/>
      <c r="H41" s="617"/>
      <c r="I41" s="617"/>
      <c r="J41" s="617"/>
      <c r="K41" s="617"/>
      <c r="L41" s="617"/>
      <c r="M41" s="617"/>
      <c r="N41" s="734"/>
      <c r="O41" s="618"/>
      <c r="P41" s="617"/>
      <c r="Q41" s="617"/>
      <c r="R41" s="617"/>
      <c r="S41" s="617"/>
      <c r="T41" s="617"/>
      <c r="U41" s="617"/>
      <c r="V41" s="664"/>
      <c r="W41" s="617"/>
      <c r="X41" s="617"/>
      <c r="Y41" s="617">
        <v>0</v>
      </c>
      <c r="Z41" s="617"/>
      <c r="AA41" s="617"/>
      <c r="AB41" s="618"/>
      <c r="AC41" s="664">
        <v>0</v>
      </c>
      <c r="AD41" s="617"/>
      <c r="AE41" s="617"/>
      <c r="AF41" s="664"/>
      <c r="AG41" s="617"/>
      <c r="AH41" s="617"/>
      <c r="AI41" s="664"/>
      <c r="AJ41" s="617"/>
      <c r="AK41" s="664"/>
      <c r="AL41" s="617"/>
      <c r="AM41" s="617"/>
      <c r="AN41" s="617"/>
      <c r="AO41" s="618"/>
      <c r="AP41" s="630">
        <v>0</v>
      </c>
      <c r="AQ41" s="630"/>
      <c r="AR41" s="617"/>
      <c r="AS41" s="617">
        <v>0</v>
      </c>
      <c r="AT41" s="617"/>
      <c r="AU41" s="617">
        <v>0</v>
      </c>
      <c r="AV41" s="617"/>
      <c r="AW41" s="617"/>
      <c r="AX41" s="617"/>
      <c r="AY41" s="617"/>
      <c r="AZ41" s="617"/>
      <c r="BA41" s="617"/>
      <c r="BB41" s="617"/>
      <c r="BC41" s="617">
        <v>0</v>
      </c>
      <c r="BD41" s="617">
        <v>0</v>
      </c>
      <c r="BE41" s="617">
        <v>0</v>
      </c>
      <c r="BF41" s="617">
        <v>0</v>
      </c>
      <c r="BG41" s="617">
        <v>0</v>
      </c>
      <c r="BH41" s="617">
        <v>0</v>
      </c>
      <c r="BI41" s="617">
        <v>0</v>
      </c>
      <c r="BJ41" s="617">
        <v>0</v>
      </c>
      <c r="BK41" s="617">
        <v>0</v>
      </c>
      <c r="BL41" s="617">
        <v>0</v>
      </c>
      <c r="BM41" s="617">
        <v>0</v>
      </c>
      <c r="BN41" s="617">
        <v>0</v>
      </c>
      <c r="BO41" s="617">
        <v>0</v>
      </c>
      <c r="BP41" s="617">
        <v>0</v>
      </c>
      <c r="BQ41" s="617">
        <v>0</v>
      </c>
    </row>
    <row r="42" spans="1:70" s="80" customFormat="1">
      <c r="B42" s="80" t="s">
        <v>335</v>
      </c>
      <c r="G42" s="623"/>
      <c r="N42" s="735"/>
      <c r="O42" s="615"/>
      <c r="R42" s="80">
        <f>R41+R40</f>
        <v>0</v>
      </c>
      <c r="S42" s="80">
        <f t="shared" ref="S42:Z42" si="38">S41+S40</f>
        <v>0</v>
      </c>
      <c r="T42" s="80">
        <f t="shared" si="38"/>
        <v>0</v>
      </c>
      <c r="U42" s="80">
        <f t="shared" si="38"/>
        <v>0</v>
      </c>
      <c r="V42" s="80">
        <f t="shared" si="38"/>
        <v>0</v>
      </c>
      <c r="W42" s="80">
        <f t="shared" si="38"/>
        <v>0</v>
      </c>
      <c r="X42" s="80">
        <f t="shared" si="38"/>
        <v>0</v>
      </c>
      <c r="Y42" s="80">
        <f t="shared" si="38"/>
        <v>0</v>
      </c>
      <c r="Z42" s="80">
        <f t="shared" si="38"/>
        <v>0</v>
      </c>
      <c r="AA42" s="80">
        <f>AA41+AA40</f>
        <v>0</v>
      </c>
      <c r="AB42" s="615"/>
      <c r="AC42" s="80">
        <f>AC41+AC40</f>
        <v>0</v>
      </c>
      <c r="AD42" s="80">
        <f t="shared" ref="AD42:AM42" si="39">AD41+AD40</f>
        <v>0</v>
      </c>
      <c r="AE42" s="80">
        <f t="shared" si="39"/>
        <v>0</v>
      </c>
      <c r="AF42" s="80">
        <f t="shared" si="39"/>
        <v>0</v>
      </c>
      <c r="AG42" s="80">
        <f t="shared" si="39"/>
        <v>0</v>
      </c>
      <c r="AH42" s="80">
        <f t="shared" si="39"/>
        <v>0</v>
      </c>
      <c r="AI42" s="80">
        <f t="shared" si="39"/>
        <v>0</v>
      </c>
      <c r="AJ42" s="80">
        <f t="shared" si="39"/>
        <v>0</v>
      </c>
      <c r="AK42" s="80">
        <f t="shared" si="39"/>
        <v>0</v>
      </c>
      <c r="AL42" s="80">
        <f t="shared" si="39"/>
        <v>0</v>
      </c>
      <c r="AM42" s="80">
        <f t="shared" si="39"/>
        <v>0</v>
      </c>
      <c r="AN42" s="80">
        <f>AN41+AN40</f>
        <v>0</v>
      </c>
      <c r="AO42" s="615">
        <f>SUM(AC42:AN42)</f>
        <v>0</v>
      </c>
      <c r="AP42" s="80">
        <f>AP41+AP40</f>
        <v>0</v>
      </c>
      <c r="AQ42" s="80">
        <f>AQ41+AQ40</f>
        <v>0</v>
      </c>
      <c r="AR42" s="80">
        <f t="shared" ref="AR42:BQ42" si="40">AR41+AR40</f>
        <v>0</v>
      </c>
      <c r="AS42" s="80">
        <f t="shared" si="40"/>
        <v>0</v>
      </c>
      <c r="AT42" s="80">
        <f t="shared" si="40"/>
        <v>0</v>
      </c>
      <c r="AU42" s="80">
        <f t="shared" si="40"/>
        <v>0</v>
      </c>
      <c r="AV42" s="80">
        <f t="shared" si="40"/>
        <v>0</v>
      </c>
      <c r="AW42" s="80">
        <f t="shared" si="40"/>
        <v>0</v>
      </c>
      <c r="AX42" s="80">
        <f t="shared" si="40"/>
        <v>0</v>
      </c>
      <c r="AY42" s="80">
        <f t="shared" si="40"/>
        <v>0</v>
      </c>
      <c r="AZ42" s="80">
        <f t="shared" si="40"/>
        <v>0</v>
      </c>
      <c r="BA42" s="80">
        <f t="shared" si="40"/>
        <v>0</v>
      </c>
      <c r="BB42" s="80">
        <f t="shared" si="40"/>
        <v>0</v>
      </c>
      <c r="BC42" s="80">
        <f t="shared" si="40"/>
        <v>0</v>
      </c>
      <c r="BD42" s="80">
        <f t="shared" si="40"/>
        <v>0</v>
      </c>
      <c r="BE42" s="80">
        <f t="shared" si="40"/>
        <v>0</v>
      </c>
      <c r="BF42" s="80">
        <f t="shared" si="40"/>
        <v>0</v>
      </c>
      <c r="BG42" s="80">
        <f t="shared" si="40"/>
        <v>0</v>
      </c>
      <c r="BH42" s="80">
        <f t="shared" si="40"/>
        <v>0</v>
      </c>
      <c r="BI42" s="80">
        <f t="shared" si="40"/>
        <v>0</v>
      </c>
      <c r="BJ42" s="80">
        <f t="shared" si="40"/>
        <v>0</v>
      </c>
      <c r="BK42" s="80">
        <f t="shared" si="40"/>
        <v>0</v>
      </c>
      <c r="BL42" s="80">
        <f t="shared" si="40"/>
        <v>0</v>
      </c>
      <c r="BM42" s="80">
        <f t="shared" si="40"/>
        <v>0</v>
      </c>
      <c r="BN42" s="80">
        <f t="shared" si="40"/>
        <v>0</v>
      </c>
      <c r="BO42" s="80">
        <f t="shared" si="40"/>
        <v>0</v>
      </c>
      <c r="BP42" s="80">
        <f t="shared" si="40"/>
        <v>0</v>
      </c>
      <c r="BQ42" s="80">
        <f t="shared" si="40"/>
        <v>0</v>
      </c>
    </row>
    <row r="43" spans="1:70">
      <c r="A43" s="79"/>
      <c r="D43" s="92"/>
      <c r="E43" s="92"/>
      <c r="F43" s="92"/>
      <c r="G43" s="316"/>
      <c r="H43" s="92"/>
      <c r="I43" s="92"/>
      <c r="J43" s="92"/>
      <c r="K43" s="92"/>
      <c r="L43" s="92"/>
      <c r="M43" s="92"/>
      <c r="N43" s="745"/>
      <c r="O43" s="22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220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220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</row>
    <row r="44" spans="1:70">
      <c r="A44" s="79"/>
      <c r="B44" s="34" t="s">
        <v>337</v>
      </c>
      <c r="N44" s="520"/>
    </row>
    <row r="45" spans="1:70" s="80" customFormat="1">
      <c r="B45" s="80" t="s">
        <v>367</v>
      </c>
      <c r="F45" s="665"/>
      <c r="G45" s="666"/>
      <c r="H45" s="639"/>
      <c r="I45" s="639"/>
      <c r="J45" s="639"/>
      <c r="K45" s="639"/>
      <c r="L45" s="639"/>
      <c r="M45" s="639"/>
      <c r="N45" s="735">
        <v>142.1</v>
      </c>
      <c r="O45" s="667"/>
      <c r="P45" s="80">
        <f>N45-N49</f>
        <v>142.1</v>
      </c>
      <c r="Q45" s="80">
        <f>P45-P49</f>
        <v>142.1</v>
      </c>
      <c r="R45" s="80">
        <f t="shared" ref="R45:AA45" si="41">Q45-Q49</f>
        <v>142.1</v>
      </c>
      <c r="S45" s="80">
        <f t="shared" si="41"/>
        <v>142.1</v>
      </c>
      <c r="T45" s="80">
        <f t="shared" si="41"/>
        <v>142.1</v>
      </c>
      <c r="U45" s="80">
        <f t="shared" si="41"/>
        <v>142.1</v>
      </c>
      <c r="V45" s="80">
        <f t="shared" si="41"/>
        <v>141.63499999999999</v>
      </c>
      <c r="W45" s="80">
        <f t="shared" si="41"/>
        <v>141.63499999999999</v>
      </c>
      <c r="X45" s="80">
        <f t="shared" si="41"/>
        <v>141.63499999999999</v>
      </c>
      <c r="Y45" s="80">
        <f t="shared" si="41"/>
        <v>141.63499999999999</v>
      </c>
      <c r="Z45" s="80">
        <f t="shared" si="41"/>
        <v>141.63499999999999</v>
      </c>
      <c r="AA45" s="80">
        <f t="shared" si="41"/>
        <v>141.63499999999999</v>
      </c>
      <c r="AB45" s="615"/>
      <c r="AC45" s="80">
        <f>AA45-AA49</f>
        <v>141.63499999999999</v>
      </c>
      <c r="AD45" s="80">
        <f>AC45-AC49</f>
        <v>141.63499999999999</v>
      </c>
      <c r="AE45" s="80">
        <f t="shared" ref="AE45:AN45" si="42">AD45-AD49</f>
        <v>141.63499999999999</v>
      </c>
      <c r="AF45" s="80">
        <f t="shared" si="42"/>
        <v>141.63499999999999</v>
      </c>
      <c r="AG45" s="80">
        <f t="shared" si="42"/>
        <v>141.63499999999999</v>
      </c>
      <c r="AH45" s="80">
        <f t="shared" si="42"/>
        <v>141.63499999999999</v>
      </c>
      <c r="AI45" s="80">
        <f t="shared" si="42"/>
        <v>139.75</v>
      </c>
      <c r="AJ45" s="80">
        <f t="shared" si="42"/>
        <v>139.75</v>
      </c>
      <c r="AK45" s="80">
        <f t="shared" si="42"/>
        <v>139.75</v>
      </c>
      <c r="AL45" s="80">
        <f t="shared" si="42"/>
        <v>139.75</v>
      </c>
      <c r="AM45" s="80">
        <f t="shared" si="42"/>
        <v>139.75</v>
      </c>
      <c r="AN45" s="80">
        <f t="shared" si="42"/>
        <v>139.75</v>
      </c>
      <c r="AO45" s="615"/>
      <c r="AP45" s="80">
        <f>AN45-AN49</f>
        <v>139.75</v>
      </c>
      <c r="AQ45" s="80">
        <f t="shared" ref="AQ45:BN45" si="43">AP45-AP49</f>
        <v>137.75</v>
      </c>
      <c r="AR45" s="80">
        <f t="shared" si="43"/>
        <v>135.63</v>
      </c>
      <c r="AS45" s="80">
        <f t="shared" si="43"/>
        <v>133.38</v>
      </c>
      <c r="AT45" s="80">
        <f t="shared" si="43"/>
        <v>130.995</v>
      </c>
      <c r="AU45" s="80">
        <f t="shared" si="43"/>
        <v>128.47</v>
      </c>
      <c r="AV45" s="80">
        <f t="shared" si="43"/>
        <v>125.795</v>
      </c>
      <c r="AW45" s="80">
        <f t="shared" si="43"/>
        <v>122.955</v>
      </c>
      <c r="AX45" s="80">
        <f t="shared" si="43"/>
        <v>119.94499999999999</v>
      </c>
      <c r="AY45" s="80">
        <f t="shared" si="43"/>
        <v>116.755</v>
      </c>
      <c r="AZ45" s="80">
        <f t="shared" si="43"/>
        <v>113.375</v>
      </c>
      <c r="BA45" s="80">
        <f t="shared" si="43"/>
        <v>109.79</v>
      </c>
      <c r="BB45" s="80">
        <f t="shared" si="43"/>
        <v>105.99000000000001</v>
      </c>
      <c r="BC45" s="80">
        <f t="shared" si="43"/>
        <v>101.965</v>
      </c>
      <c r="BD45" s="80">
        <f t="shared" si="43"/>
        <v>97.7</v>
      </c>
      <c r="BE45" s="80">
        <f t="shared" si="43"/>
        <v>93.174999999999997</v>
      </c>
      <c r="BF45" s="80">
        <f t="shared" si="43"/>
        <v>88.38</v>
      </c>
      <c r="BG45" s="80">
        <f t="shared" si="43"/>
        <v>83.3</v>
      </c>
      <c r="BH45" s="80">
        <f t="shared" si="43"/>
        <v>68.988</v>
      </c>
      <c r="BI45" s="80">
        <f t="shared" si="43"/>
        <v>53.817279999999997</v>
      </c>
      <c r="BJ45" s="80">
        <f t="shared" si="43"/>
        <v>37.736316799999997</v>
      </c>
      <c r="BK45" s="80">
        <f t="shared" si="43"/>
        <v>20.690495807999998</v>
      </c>
      <c r="BL45" s="80">
        <f t="shared" si="43"/>
        <v>2.6219255564799973</v>
      </c>
      <c r="BM45" s="80">
        <f t="shared" si="43"/>
        <v>-16.530758910131201</v>
      </c>
      <c r="BN45" s="80">
        <f t="shared" si="43"/>
        <v>-36.832604444739076</v>
      </c>
      <c r="BO45" s="80">
        <f>ROUND(BN45-BN49,10)</f>
        <v>-58.352560711400002</v>
      </c>
      <c r="BP45" s="80">
        <f>ROUND(BO45-BO49,10)</f>
        <v>-81.163714354099994</v>
      </c>
      <c r="BQ45" s="80">
        <f>ROUND(BP45-BP49,10)</f>
        <v>0</v>
      </c>
    </row>
    <row r="46" spans="1:70">
      <c r="A46" s="79"/>
      <c r="B46" t="s">
        <v>377</v>
      </c>
      <c r="D46" s="102"/>
      <c r="E46" s="7"/>
      <c r="F46" s="93"/>
      <c r="G46" s="317"/>
      <c r="H46" s="90"/>
      <c r="I46" s="90"/>
      <c r="J46" s="90"/>
      <c r="K46" s="90"/>
      <c r="L46" s="90"/>
      <c r="M46" s="90"/>
      <c r="N46" s="733"/>
      <c r="O46" s="217"/>
      <c r="P46" s="468">
        <f t="shared" ref="P46:T46" si="44">P48/(P45-P49)*$AB5/P5</f>
        <v>4.8372636046854781E-2</v>
      </c>
      <c r="Q46" s="468">
        <f t="shared" si="44"/>
        <v>5.2070196591937255E-2</v>
      </c>
      <c r="R46" s="468">
        <f t="shared" si="44"/>
        <v>5.9751947220267415E-2</v>
      </c>
      <c r="S46" s="468">
        <f t="shared" si="44"/>
        <v>6.0902299132066615E-2</v>
      </c>
      <c r="T46" s="468">
        <f t="shared" si="44"/>
        <v>5.9751947220267415E-2</v>
      </c>
      <c r="U46" s="468">
        <f>U48/(U45-U49)*$AB5/U5</f>
        <v>6.049010955390028E-2</v>
      </c>
      <c r="V46" s="468">
        <f t="shared" ref="V46:AC46" si="45">V48/(V45-V49)*$AB5/V5</f>
        <v>5.9335980604393157E-2</v>
      </c>
      <c r="W46" s="468">
        <f t="shared" si="45"/>
        <v>5.9335980604393157E-2</v>
      </c>
      <c r="X46" s="468">
        <f t="shared" si="45"/>
        <v>6.049010955390028E-2</v>
      </c>
      <c r="Y46" s="468">
        <f t="shared" si="45"/>
        <v>5.9335980604393157E-2</v>
      </c>
      <c r="Z46" s="468">
        <f t="shared" si="45"/>
        <v>6.049010955390028E-2</v>
      </c>
      <c r="AA46" s="468">
        <f t="shared" si="45"/>
        <v>5.9335980604393157E-2</v>
      </c>
      <c r="AB46" s="217"/>
      <c r="AC46" s="468">
        <f t="shared" si="45"/>
        <v>5.9335980604393157E-2</v>
      </c>
      <c r="AD46" s="468">
        <f t="shared" ref="AD46" si="46">AD48/(AD45-AD49)*$AB5/AD5</f>
        <v>6.3045680799237475E-2</v>
      </c>
      <c r="AE46" s="468">
        <f t="shared" ref="AE46" si="47">AE48/(AE45-AE49)*$AB5/AE5</f>
        <v>5.9335980604393157E-2</v>
      </c>
      <c r="AF46" s="468">
        <f t="shared" ref="AF46" si="48">AF48/(AF45-AF49)*$AB5/AF5</f>
        <v>6.049010955390028E-2</v>
      </c>
      <c r="AG46" s="468">
        <f t="shared" ref="AG46" si="49">AG48/(AG45-AG49)*$AB5/AG5</f>
        <v>5.9335980604393157E-2</v>
      </c>
      <c r="AH46" s="468">
        <f t="shared" ref="AH46" si="50">AH48/(AH45-AH49)*$AB5/AH5</f>
        <v>6.0496720333929624E-2</v>
      </c>
      <c r="AI46" s="468">
        <f t="shared" ref="AI46" si="51">AI48/(AI45-AI49)*$AB5/AI5</f>
        <v>5.9327024063708232E-2</v>
      </c>
      <c r="AJ46" s="468">
        <f t="shared" ref="AJ46" si="52">AJ48/(AJ45-AJ49)*$AB5/AJ5</f>
        <v>5.9327024063708232E-2</v>
      </c>
      <c r="AK46" s="468">
        <f t="shared" ref="AK46" si="53">AK48/(AK45-AK49)*$AB5/AK5</f>
        <v>6.0496720333929624E-2</v>
      </c>
      <c r="AL46" s="468">
        <f t="shared" ref="AL46" si="54">AL48/(AL45-AL49)*$AB5/AL5</f>
        <v>5.9327024063708232E-2</v>
      </c>
      <c r="AM46" s="468">
        <f t="shared" ref="AM46" si="55">AM48/(AM45-AM49)*$AB5/AM5</f>
        <v>6.0496720333929624E-2</v>
      </c>
      <c r="AN46" s="468">
        <f t="shared" ref="AN46" si="56">AN48/(AN45-AN49)*$AB5/AN5</f>
        <v>5.9327024063708232E-2</v>
      </c>
      <c r="AO46" s="217"/>
      <c r="AP46" s="740">
        <v>0.06</v>
      </c>
      <c r="AQ46" s="740">
        <v>0.06</v>
      </c>
      <c r="AR46" s="740">
        <v>0.06</v>
      </c>
      <c r="AS46" s="740">
        <v>0.06</v>
      </c>
      <c r="AT46" s="740">
        <v>0.06</v>
      </c>
      <c r="AU46" s="740">
        <v>0.06</v>
      </c>
      <c r="AV46" s="740">
        <v>0.06</v>
      </c>
      <c r="AW46" s="740">
        <v>0.06</v>
      </c>
      <c r="AX46" s="740">
        <v>0.06</v>
      </c>
      <c r="AY46" s="740">
        <v>0.06</v>
      </c>
      <c r="AZ46" s="740">
        <v>0.06</v>
      </c>
      <c r="BA46" s="740">
        <v>0.06</v>
      </c>
      <c r="BB46" s="740">
        <v>0.06</v>
      </c>
      <c r="BC46" s="740">
        <v>0.06</v>
      </c>
      <c r="BD46" s="740">
        <v>0.06</v>
      </c>
      <c r="BE46" s="740">
        <v>0.06</v>
      </c>
      <c r="BF46" s="740">
        <v>0.06</v>
      </c>
      <c r="BG46" s="740">
        <v>0.06</v>
      </c>
      <c r="BH46" s="740">
        <v>0.06</v>
      </c>
      <c r="BI46" s="740">
        <v>0.06</v>
      </c>
      <c r="BJ46" s="740">
        <v>0.06</v>
      </c>
      <c r="BK46" s="740">
        <v>0.06</v>
      </c>
      <c r="BL46" s="740">
        <v>0.06</v>
      </c>
      <c r="BM46" s="740">
        <v>0.06</v>
      </c>
      <c r="BN46" s="740">
        <v>0.06</v>
      </c>
      <c r="BO46" s="740">
        <v>0.06</v>
      </c>
      <c r="BP46" s="740">
        <v>0.06</v>
      </c>
      <c r="BQ46" s="740">
        <v>0.06</v>
      </c>
      <c r="BR46" s="493"/>
    </row>
    <row r="47" spans="1:70">
      <c r="A47" s="79"/>
      <c r="B47" t="s">
        <v>378</v>
      </c>
      <c r="D47" s="7"/>
      <c r="E47" s="7"/>
      <c r="F47" s="93"/>
      <c r="G47" s="318"/>
      <c r="H47" s="93"/>
      <c r="I47" s="399"/>
      <c r="J47" s="399"/>
      <c r="K47" s="399"/>
      <c r="L47" s="399"/>
      <c r="M47" s="399"/>
      <c r="N47" s="746"/>
      <c r="O47" s="217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217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217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</row>
    <row r="48" spans="1:70" s="80" customFormat="1">
      <c r="B48" s="80" t="s">
        <v>306</v>
      </c>
      <c r="G48" s="623"/>
      <c r="I48" s="668"/>
      <c r="J48" s="668"/>
      <c r="K48" s="668"/>
      <c r="L48" s="668"/>
      <c r="M48" s="668"/>
      <c r="N48" s="747"/>
      <c r="O48" s="615"/>
      <c r="P48" s="735">
        <f>(58.8*0.0325*P5/$AB5)+0.4165+0.00499397</f>
        <v>0.58379807958904106</v>
      </c>
      <c r="Q48" s="735">
        <f>(58.8*0.0325*Q5/$AB5)+0.4165+0.00451068</f>
        <v>0.56760794027397254</v>
      </c>
      <c r="R48" s="735">
        <f>(58.8*0.06*R5/$AB5)+0.4165+0.00499398</f>
        <v>0.72113233616438344</v>
      </c>
      <c r="S48" s="735">
        <f>(58.8*0.06*S5/$AO5)+0.4165+0.00483288</f>
        <v>0.71130548273972594</v>
      </c>
      <c r="T48" s="735">
        <f>(58.8*0.06*T5/$AB5)+0.4165+0.00499398</f>
        <v>0.72113233616438344</v>
      </c>
      <c r="U48" s="735">
        <f>(58.8-$U$49)*0.06*U5/$AB5+0.4165</f>
        <v>0.70417945205479449</v>
      </c>
      <c r="V48" s="735">
        <f t="shared" ref="V48:AA48" si="57">(58.8-$U$49)*0.06*V5/$AB5+0.4165</f>
        <v>0.71376876712328752</v>
      </c>
      <c r="W48" s="735">
        <f t="shared" si="57"/>
        <v>0.71376876712328752</v>
      </c>
      <c r="X48" s="735">
        <f t="shared" si="57"/>
        <v>0.70417945205479449</v>
      </c>
      <c r="Y48" s="735">
        <f t="shared" si="57"/>
        <v>0.71376876712328752</v>
      </c>
      <c r="Z48" s="735">
        <f t="shared" si="57"/>
        <v>0.70417945205479449</v>
      </c>
      <c r="AA48" s="735">
        <f t="shared" si="57"/>
        <v>0.71376876712328752</v>
      </c>
      <c r="AB48" s="349">
        <f>SUM(P48:AA48)</f>
        <v>8.2725895995890397</v>
      </c>
      <c r="AC48" s="735">
        <f>(58.8-$U$49)*0.06*AC5/$AO5+0.4165</f>
        <v>0.71376876712328752</v>
      </c>
      <c r="AD48" s="735">
        <f t="shared" ref="AD48:AG48" si="58">(58.8-$U$49)*0.06*AD5/$AO5+0.4165</f>
        <v>0.68500082191780809</v>
      </c>
      <c r="AE48" s="735">
        <f t="shared" si="58"/>
        <v>0.71376876712328752</v>
      </c>
      <c r="AF48" s="735">
        <f t="shared" si="58"/>
        <v>0.70417945205479449</v>
      </c>
      <c r="AG48" s="735">
        <f t="shared" si="58"/>
        <v>0.71376876712328752</v>
      </c>
      <c r="AH48" s="735">
        <f>(58.8-$U$49-$AH$49)*0.06*AH5/$AO5+0.4165</f>
        <v>0.69488356164383558</v>
      </c>
      <c r="AI48" s="735">
        <f>(58.8-$U$49-$AH$49)*0.06*AI5/$AO5+0.4165</f>
        <v>0.7041630136986301</v>
      </c>
      <c r="AJ48" s="735">
        <f t="shared" ref="AJ48:AN48" si="59">(58.8-$U$49-$AH$49)*0.06*AJ5/$AO5+0.4165</f>
        <v>0.7041630136986301</v>
      </c>
      <c r="AK48" s="735">
        <f t="shared" si="59"/>
        <v>0.69488356164383558</v>
      </c>
      <c r="AL48" s="735">
        <f t="shared" si="59"/>
        <v>0.7041630136986301</v>
      </c>
      <c r="AM48" s="735">
        <f t="shared" si="59"/>
        <v>0.69488356164383558</v>
      </c>
      <c r="AN48" s="735">
        <f t="shared" si="59"/>
        <v>0.7041630136986301</v>
      </c>
      <c r="AO48" s="615">
        <f>SUM(AC48:AN48)</f>
        <v>8.4317893150684924</v>
      </c>
      <c r="AP48" s="80">
        <f>(AP46*AP45)-(AP49*AP46)*(7/12)</f>
        <v>8.3149999999999995</v>
      </c>
      <c r="AQ48" s="80">
        <f t="shared" ref="AQ48:BF48" si="60">(AQ46*AQ45)-(AQ49*AQ46)*(7/12)</f>
        <v>8.1908000000000012</v>
      </c>
      <c r="AR48" s="80">
        <f t="shared" si="60"/>
        <v>8.0590499999999992</v>
      </c>
      <c r="AS48" s="80">
        <f t="shared" si="60"/>
        <v>7.9193249999999988</v>
      </c>
      <c r="AT48" s="80">
        <f t="shared" si="60"/>
        <v>7.771325</v>
      </c>
      <c r="AU48" s="80">
        <f t="shared" si="60"/>
        <v>7.6145749999999994</v>
      </c>
      <c r="AV48" s="80">
        <f t="shared" si="60"/>
        <v>7.4482999999999997</v>
      </c>
      <c r="AW48" s="80">
        <f t="shared" si="60"/>
        <v>7.2719500000000004</v>
      </c>
      <c r="AX48" s="80">
        <f t="shared" si="60"/>
        <v>7.085049999999999</v>
      </c>
      <c r="AY48" s="80">
        <f t="shared" si="60"/>
        <v>6.8869999999999996</v>
      </c>
      <c r="AZ48" s="80">
        <f t="shared" si="60"/>
        <v>6.6770249999999995</v>
      </c>
      <c r="BA48" s="80">
        <f t="shared" si="60"/>
        <v>6.4543999999999997</v>
      </c>
      <c r="BB48" s="80">
        <f t="shared" si="60"/>
        <v>6.2185249999999996</v>
      </c>
      <c r="BC48" s="80">
        <f t="shared" si="60"/>
        <v>5.9686249999999994</v>
      </c>
      <c r="BD48" s="80">
        <f t="shared" si="60"/>
        <v>5.7036249999999997</v>
      </c>
      <c r="BE48" s="80">
        <f t="shared" si="60"/>
        <v>5.4226749999999999</v>
      </c>
      <c r="BF48" s="80">
        <f t="shared" si="60"/>
        <v>5.1249999999999991</v>
      </c>
      <c r="BG48" s="80">
        <f>BG46*BG45</f>
        <v>4.9979999999999993</v>
      </c>
      <c r="BH48" s="80">
        <f t="shared" ref="BH48:BQ48" si="61">BH46*BH45</f>
        <v>4.1392799999999994</v>
      </c>
      <c r="BI48" s="80">
        <f t="shared" si="61"/>
        <v>3.2290367999999998</v>
      </c>
      <c r="BJ48" s="80">
        <f t="shared" si="61"/>
        <v>2.2641790079999997</v>
      </c>
      <c r="BK48" s="80">
        <f t="shared" si="61"/>
        <v>1.2414297484799999</v>
      </c>
      <c r="BL48" s="80">
        <f t="shared" si="61"/>
        <v>0.15731553338879983</v>
      </c>
      <c r="BM48" s="80">
        <f t="shared" si="61"/>
        <v>-0.99184553460787206</v>
      </c>
      <c r="BN48" s="80">
        <f t="shared" si="61"/>
        <v>-2.2099562666843444</v>
      </c>
      <c r="BO48" s="80">
        <f t="shared" si="61"/>
        <v>-3.5011536426840002</v>
      </c>
      <c r="BP48" s="80">
        <f t="shared" si="61"/>
        <v>-4.8698228612459991</v>
      </c>
      <c r="BQ48" s="80">
        <f t="shared" si="61"/>
        <v>0</v>
      </c>
    </row>
    <row r="49" spans="1:69" s="80" customFormat="1">
      <c r="B49" s="80" t="s">
        <v>305</v>
      </c>
      <c r="F49" s="617"/>
      <c r="G49" s="624"/>
      <c r="H49" s="617"/>
      <c r="I49" s="630"/>
      <c r="J49" s="630"/>
      <c r="K49" s="630"/>
      <c r="L49" s="630"/>
      <c r="M49" s="630"/>
      <c r="N49" s="748"/>
      <c r="O49" s="618"/>
      <c r="P49" s="734"/>
      <c r="Q49" s="734"/>
      <c r="R49" s="734"/>
      <c r="S49" s="734"/>
      <c r="T49" s="734"/>
      <c r="U49" s="734">
        <v>0.46500000000000002</v>
      </c>
      <c r="V49" s="734"/>
      <c r="W49" s="734"/>
      <c r="X49" s="734"/>
      <c r="Y49" s="734"/>
      <c r="Z49" s="734"/>
      <c r="AA49" s="734"/>
      <c r="AB49" s="618"/>
      <c r="AC49" s="734"/>
      <c r="AD49" s="734"/>
      <c r="AE49" s="734"/>
      <c r="AF49" s="734"/>
      <c r="AG49" s="734"/>
      <c r="AH49" s="734">
        <v>1.885</v>
      </c>
      <c r="AI49" s="734"/>
      <c r="AJ49" s="734"/>
      <c r="AK49" s="734"/>
      <c r="AL49" s="734"/>
      <c r="AM49" s="734"/>
      <c r="AN49" s="734"/>
      <c r="AO49" s="618"/>
      <c r="AP49" s="819">
        <v>2</v>
      </c>
      <c r="AQ49" s="819">
        <v>2.12</v>
      </c>
      <c r="AR49" s="819">
        <v>2.25</v>
      </c>
      <c r="AS49" s="819">
        <v>2.3849999999999998</v>
      </c>
      <c r="AT49" s="819">
        <v>2.5249999999999999</v>
      </c>
      <c r="AU49" s="819">
        <v>2.6749999999999998</v>
      </c>
      <c r="AV49" s="819">
        <v>2.84</v>
      </c>
      <c r="AW49" s="819">
        <v>3.01</v>
      </c>
      <c r="AX49" s="819">
        <v>3.19</v>
      </c>
      <c r="AY49" s="819">
        <v>3.38</v>
      </c>
      <c r="AZ49" s="819">
        <v>3.585</v>
      </c>
      <c r="BA49" s="819">
        <v>3.8</v>
      </c>
      <c r="BB49" s="819">
        <v>4.0250000000000004</v>
      </c>
      <c r="BC49" s="819">
        <v>4.2649999999999997</v>
      </c>
      <c r="BD49" s="819">
        <v>4.5250000000000004</v>
      </c>
      <c r="BE49" s="819">
        <v>4.7949999999999999</v>
      </c>
      <c r="BF49" s="819">
        <v>5.08</v>
      </c>
      <c r="BG49" s="617">
        <f>BG50-BG48</f>
        <v>14.311999999999999</v>
      </c>
      <c r="BH49" s="617">
        <f>BH50-BH48</f>
        <v>15.170719999999999</v>
      </c>
      <c r="BI49" s="617">
        <f t="shared" ref="BI49:BQ49" si="62">BI50-BI48</f>
        <v>16.080963199999999</v>
      </c>
      <c r="BJ49" s="617">
        <f t="shared" si="62"/>
        <v>17.045820991999999</v>
      </c>
      <c r="BK49" s="617">
        <f t="shared" si="62"/>
        <v>18.068570251520001</v>
      </c>
      <c r="BL49" s="617">
        <f t="shared" si="62"/>
        <v>19.152684466611198</v>
      </c>
      <c r="BM49" s="617">
        <f t="shared" si="62"/>
        <v>20.301845534607871</v>
      </c>
      <c r="BN49" s="617">
        <f t="shared" si="62"/>
        <v>21.519956266684343</v>
      </c>
      <c r="BO49" s="617">
        <f t="shared" si="62"/>
        <v>22.811153642683998</v>
      </c>
      <c r="BP49" s="617">
        <f>BP45</f>
        <v>-81.163714354099994</v>
      </c>
      <c r="BQ49" s="617">
        <f t="shared" si="62"/>
        <v>0</v>
      </c>
    </row>
    <row r="50" spans="1:69" s="80" customFormat="1">
      <c r="B50" s="80" t="s">
        <v>335</v>
      </c>
      <c r="G50" s="623"/>
      <c r="I50" s="668"/>
      <c r="J50" s="668"/>
      <c r="K50" s="668"/>
      <c r="L50" s="668"/>
      <c r="M50" s="668"/>
      <c r="N50" s="747"/>
      <c r="O50" s="615"/>
      <c r="P50" s="735">
        <v>2.5</v>
      </c>
      <c r="Q50" s="735"/>
      <c r="R50" s="735"/>
      <c r="S50" s="735"/>
      <c r="T50" s="735"/>
      <c r="U50" s="735">
        <f>58.8*0.0325*2/12+58.8*0.06*4/12+U49</f>
        <v>1.9595</v>
      </c>
      <c r="V50" s="735">
        <v>2.5</v>
      </c>
      <c r="W50" s="735"/>
      <c r="X50" s="735"/>
      <c r="Y50" s="735"/>
      <c r="Z50" s="735"/>
      <c r="AA50" s="735">
        <f>58.8*0.06/2+AA49</f>
        <v>1.7639999999999998</v>
      </c>
      <c r="AB50" s="349">
        <f>SUM(P50:AA50)</f>
        <v>8.7234999999999996</v>
      </c>
      <c r="AC50" s="735">
        <v>2.5</v>
      </c>
      <c r="AD50" s="735"/>
      <c r="AE50" s="735"/>
      <c r="AF50" s="735"/>
      <c r="AG50" s="735"/>
      <c r="AH50" s="735">
        <f>58.8*0.06/2+AH49</f>
        <v>3.649</v>
      </c>
      <c r="AI50" s="735">
        <v>2.5</v>
      </c>
      <c r="AJ50" s="735"/>
      <c r="AK50" s="735"/>
      <c r="AL50" s="735"/>
      <c r="AM50" s="735"/>
      <c r="AN50" s="735">
        <f>58.8*0.06/2+AN49</f>
        <v>1.7639999999999998</v>
      </c>
      <c r="AO50" s="615">
        <f>SUM(AC50:AN50)</f>
        <v>10.413</v>
      </c>
      <c r="AP50" s="80">
        <f t="shared" ref="AP50:BF50" si="63">SUM(AP48:AP49)</f>
        <v>10.315</v>
      </c>
      <c r="AQ50" s="80">
        <f t="shared" si="63"/>
        <v>10.3108</v>
      </c>
      <c r="AR50" s="80">
        <f t="shared" si="63"/>
        <v>10.309049999999999</v>
      </c>
      <c r="AS50" s="80">
        <f t="shared" si="63"/>
        <v>10.304324999999999</v>
      </c>
      <c r="AT50" s="80">
        <f t="shared" si="63"/>
        <v>10.296325</v>
      </c>
      <c r="AU50" s="80">
        <f t="shared" si="63"/>
        <v>10.289574999999999</v>
      </c>
      <c r="AV50" s="80">
        <f t="shared" si="63"/>
        <v>10.2883</v>
      </c>
      <c r="AW50" s="80">
        <f t="shared" si="63"/>
        <v>10.28195</v>
      </c>
      <c r="AX50" s="80">
        <f t="shared" si="63"/>
        <v>10.275049999999998</v>
      </c>
      <c r="AY50" s="80">
        <f t="shared" si="63"/>
        <v>10.266999999999999</v>
      </c>
      <c r="AZ50" s="80">
        <f t="shared" si="63"/>
        <v>10.262025</v>
      </c>
      <c r="BA50" s="80">
        <f t="shared" si="63"/>
        <v>10.2544</v>
      </c>
      <c r="BB50" s="80">
        <f t="shared" si="63"/>
        <v>10.243525</v>
      </c>
      <c r="BC50" s="80">
        <f t="shared" si="63"/>
        <v>10.233625</v>
      </c>
      <c r="BD50" s="80">
        <f t="shared" si="63"/>
        <v>10.228625000000001</v>
      </c>
      <c r="BE50" s="80">
        <f t="shared" si="63"/>
        <v>10.217675</v>
      </c>
      <c r="BF50" s="80">
        <f t="shared" si="63"/>
        <v>10.204999999999998</v>
      </c>
      <c r="BG50" s="487">
        <v>19.309999999999999</v>
      </c>
      <c r="BH50" s="487">
        <v>19.309999999999999</v>
      </c>
      <c r="BI50" s="487">
        <v>19.309999999999999</v>
      </c>
      <c r="BJ50" s="487">
        <v>19.309999999999999</v>
      </c>
      <c r="BK50" s="487">
        <v>19.309999999999999</v>
      </c>
      <c r="BL50" s="487">
        <v>19.309999999999999</v>
      </c>
      <c r="BM50" s="487">
        <v>19.309999999999999</v>
      </c>
      <c r="BN50" s="487">
        <v>19.309999999999999</v>
      </c>
      <c r="BO50" s="487">
        <v>19.309999999999999</v>
      </c>
      <c r="BP50" s="487">
        <v>19.309999999999999</v>
      </c>
      <c r="BQ50" s="487"/>
    </row>
    <row r="51" spans="1:69">
      <c r="A51" s="79"/>
      <c r="D51" s="92"/>
      <c r="E51" s="92"/>
      <c r="F51" s="92"/>
      <c r="G51" s="316"/>
      <c r="H51" s="92"/>
      <c r="I51" s="92"/>
      <c r="J51" s="92"/>
      <c r="K51" s="92"/>
      <c r="L51" s="92"/>
      <c r="M51" s="92"/>
      <c r="N51" s="745"/>
      <c r="O51" s="22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220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220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</row>
    <row r="52" spans="1:69">
      <c r="A52" s="79"/>
      <c r="B52" s="34" t="s">
        <v>1006</v>
      </c>
      <c r="N52" s="520"/>
    </row>
    <row r="53" spans="1:69" s="80" customFormat="1">
      <c r="B53" s="80" t="s">
        <v>367</v>
      </c>
      <c r="G53" s="623"/>
      <c r="N53" s="735">
        <v>130.34037253</v>
      </c>
      <c r="O53" s="615"/>
      <c r="P53" s="80">
        <f>N53</f>
        <v>130.34037253</v>
      </c>
      <c r="Q53" s="80">
        <f>P53-P60+P58</f>
        <v>130.34037253</v>
      </c>
      <c r="R53" s="80">
        <f t="shared" ref="R53:AA53" si="64">Q53-Q60+Q58</f>
        <v>130.34037253</v>
      </c>
      <c r="S53" s="80">
        <f t="shared" si="64"/>
        <v>132.20398122</v>
      </c>
      <c r="T53" s="80">
        <f t="shared" si="64"/>
        <v>132.20398122</v>
      </c>
      <c r="U53" s="80">
        <f t="shared" si="64"/>
        <v>132.20398122</v>
      </c>
      <c r="V53" s="80">
        <f t="shared" si="64"/>
        <v>134.11523865000001</v>
      </c>
      <c r="W53" s="80">
        <f t="shared" si="64"/>
        <v>134.11523865000001</v>
      </c>
      <c r="X53" s="80">
        <f t="shared" si="64"/>
        <v>134.11523865000001</v>
      </c>
      <c r="Y53" s="80">
        <f t="shared" si="64"/>
        <v>136.07543336000001</v>
      </c>
      <c r="Z53" s="80">
        <f t="shared" si="64"/>
        <v>136.07543336000001</v>
      </c>
      <c r="AA53" s="80">
        <f t="shared" si="64"/>
        <v>136.07543336000001</v>
      </c>
      <c r="AB53" s="615"/>
      <c r="AC53" s="80">
        <f>AA53-AA60+AA58</f>
        <v>138.06427778</v>
      </c>
      <c r="AD53" s="80">
        <f>AC53-AC60+AC58</f>
        <v>138.06427778</v>
      </c>
      <c r="AE53" s="80">
        <f t="shared" ref="AE53:AN53" si="65">AD53-AD60+AD58</f>
        <v>138.06427778</v>
      </c>
      <c r="AF53" s="80">
        <f t="shared" si="65"/>
        <v>140.03832298</v>
      </c>
      <c r="AG53" s="80">
        <f t="shared" si="65"/>
        <v>140.03832298</v>
      </c>
      <c r="AH53" s="80">
        <f t="shared" si="65"/>
        <v>140.03832298</v>
      </c>
      <c r="AI53" s="80">
        <f t="shared" si="65"/>
        <v>142.06284056999999</v>
      </c>
      <c r="AJ53" s="80">
        <f t="shared" si="65"/>
        <v>142.06284056999999</v>
      </c>
      <c r="AK53" s="80">
        <f t="shared" si="65"/>
        <v>142.06284056999999</v>
      </c>
      <c r="AL53" s="80">
        <f t="shared" si="65"/>
        <v>144.13919543999998</v>
      </c>
      <c r="AM53" s="80">
        <f t="shared" si="65"/>
        <v>144.13919543999998</v>
      </c>
      <c r="AN53" s="80">
        <f t="shared" si="65"/>
        <v>144.13919543999998</v>
      </c>
      <c r="AO53" s="615"/>
      <c r="AP53" s="80">
        <f>AN53+AN58</f>
        <v>146.24589779999997</v>
      </c>
      <c r="AQ53" s="80">
        <f>AP53+AP58</f>
        <v>154.91235652999995</v>
      </c>
      <c r="AR53" s="80">
        <f>AQ53+AQ58</f>
        <v>164.09238880999996</v>
      </c>
      <c r="AS53" s="80">
        <f t="shared" ref="AS53:AX53" si="66">AR53+AR58</f>
        <v>173.81642163999996</v>
      </c>
      <c r="AT53" s="80">
        <f t="shared" si="66"/>
        <v>184.11669579999995</v>
      </c>
      <c r="AU53" s="80">
        <f t="shared" si="66"/>
        <v>195.02735905999995</v>
      </c>
      <c r="AV53" s="80">
        <f t="shared" si="66"/>
        <v>206.58458720999997</v>
      </c>
      <c r="AW53" s="80">
        <f t="shared" si="66"/>
        <v>218.82668646999997</v>
      </c>
      <c r="AX53" s="80">
        <f t="shared" si="66"/>
        <v>231.79424640999997</v>
      </c>
      <c r="AY53" s="80">
        <f>AX53+AX58-AX60</f>
        <v>445.53025729999996</v>
      </c>
      <c r="AZ53" s="80">
        <f>AY53+AY58-AY60</f>
        <v>445.53025729999996</v>
      </c>
      <c r="BA53" s="80">
        <f>AZ53+AZ58-AZ60</f>
        <v>445.53025729999996</v>
      </c>
      <c r="BB53" s="80">
        <f>BA53+BA58-BA60</f>
        <v>445.53025729999996</v>
      </c>
      <c r="BC53" s="80">
        <f>BB53+BB58-BB60</f>
        <v>445.53025729999996</v>
      </c>
      <c r="BD53" s="80">
        <f>BC53+BC57-BC60</f>
        <v>445.53025729999996</v>
      </c>
      <c r="BE53" s="80">
        <f t="shared" ref="BE53:BQ53" si="67">BD53-BD60</f>
        <v>445.53025729999996</v>
      </c>
      <c r="BF53" s="80">
        <f t="shared" si="67"/>
        <v>445.53025729999996</v>
      </c>
      <c r="BG53" s="80">
        <f t="shared" si="67"/>
        <v>445.53025729999996</v>
      </c>
      <c r="BH53" s="80">
        <f t="shared" si="67"/>
        <v>445.53025729999996</v>
      </c>
      <c r="BI53" s="80">
        <f>BH53-BH60</f>
        <v>420.19551275706726</v>
      </c>
      <c r="BJ53" s="80">
        <f t="shared" si="67"/>
        <v>393.34068354155863</v>
      </c>
      <c r="BK53" s="80">
        <f t="shared" si="67"/>
        <v>364.87456457311947</v>
      </c>
      <c r="BL53" s="80">
        <f t="shared" si="67"/>
        <v>334.70047846657394</v>
      </c>
      <c r="BM53" s="80">
        <f t="shared" si="67"/>
        <v>302.71594719363571</v>
      </c>
      <c r="BN53" s="80">
        <f t="shared" si="67"/>
        <v>268.81234404432121</v>
      </c>
      <c r="BO53" s="80">
        <f t="shared" si="67"/>
        <v>232.87452470604779</v>
      </c>
      <c r="BP53" s="80">
        <f t="shared" si="67"/>
        <v>194.7745247060478</v>
      </c>
      <c r="BQ53" s="80">
        <f t="shared" si="67"/>
        <v>154.47452470604782</v>
      </c>
    </row>
    <row r="54" spans="1:69">
      <c r="A54" s="79"/>
      <c r="B54" t="s">
        <v>336</v>
      </c>
      <c r="D54" s="841"/>
      <c r="E54" s="7"/>
      <c r="F54" s="90"/>
      <c r="G54" s="318"/>
      <c r="H54" s="90"/>
      <c r="I54" s="90"/>
      <c r="J54" s="90"/>
      <c r="K54" s="90"/>
      <c r="L54" s="90"/>
      <c r="M54" s="90"/>
      <c r="N54" s="733"/>
      <c r="O54" s="221"/>
      <c r="P54" s="467">
        <f t="shared" ref="P54:AA54" si="68">P57/P53*$AB5/P5</f>
        <v>5.7986396929161479E-2</v>
      </c>
      <c r="Q54" s="467">
        <f t="shared" si="68"/>
        <v>5.7986396896899266E-2</v>
      </c>
      <c r="R54" s="467">
        <f t="shared" si="68"/>
        <v>5.7986396929161479E-2</v>
      </c>
      <c r="S54" s="467">
        <f t="shared" si="68"/>
        <v>5.7986397340356897E-2</v>
      </c>
      <c r="T54" s="467">
        <f t="shared" si="68"/>
        <v>5.7986396538809604E-2</v>
      </c>
      <c r="U54" s="467">
        <f t="shared" si="68"/>
        <v>5.7986397340356897E-2</v>
      </c>
      <c r="V54" s="467">
        <f t="shared" si="68"/>
        <v>5.7986396690836904E-2</v>
      </c>
      <c r="W54" s="467">
        <f t="shared" si="68"/>
        <v>5.7986396690836904E-2</v>
      </c>
      <c r="X54" s="467">
        <f t="shared" si="68"/>
        <v>5.798639707126723E-2</v>
      </c>
      <c r="Y54" s="467">
        <f t="shared" si="68"/>
        <v>5.7986396852178733E-2</v>
      </c>
      <c r="Z54" s="467">
        <f t="shared" si="68"/>
        <v>5.7986396333016971E-2</v>
      </c>
      <c r="AA54" s="467">
        <f t="shared" si="68"/>
        <v>5.7986396852178733E-2</v>
      </c>
      <c r="AB54" s="221"/>
      <c r="AC54" s="467">
        <f t="shared" ref="AC54:AN54" si="69">AC57/AC53*$AO5/AC5</f>
        <v>5.7986396483889278E-2</v>
      </c>
      <c r="AD54" s="467">
        <f t="shared" si="69"/>
        <v>5.7986397093035859E-2</v>
      </c>
      <c r="AE54" s="467">
        <f t="shared" si="69"/>
        <v>5.7986396483889278E-2</v>
      </c>
      <c r="AF54" s="467">
        <f t="shared" si="69"/>
        <v>5.7986396989056541E-2</v>
      </c>
      <c r="AG54" s="467">
        <f t="shared" si="69"/>
        <v>5.7986397325370018E-2</v>
      </c>
      <c r="AH54" s="467">
        <f t="shared" si="69"/>
        <v>5.7986396989056541E-2</v>
      </c>
      <c r="AI54" s="467">
        <f t="shared" si="69"/>
        <v>5.7986397308942901E-2</v>
      </c>
      <c r="AJ54" s="467">
        <f t="shared" si="69"/>
        <v>5.7986396480141131E-2</v>
      </c>
      <c r="AK54" s="467">
        <f t="shared" si="69"/>
        <v>5.7986396866915285E-2</v>
      </c>
      <c r="AL54" s="467">
        <f t="shared" si="69"/>
        <v>5.7986397131732585E-2</v>
      </c>
      <c r="AM54" s="467">
        <f t="shared" si="69"/>
        <v>5.7986397022817569E-2</v>
      </c>
      <c r="AN54" s="467">
        <f t="shared" si="69"/>
        <v>5.7986397131732585E-2</v>
      </c>
      <c r="AO54" s="221"/>
      <c r="AP54" s="90">
        <f>AN54</f>
        <v>5.7986397131732585E-2</v>
      </c>
      <c r="AQ54" s="90">
        <f>AP54</f>
        <v>5.7986397131732585E-2</v>
      </c>
      <c r="AR54" s="90">
        <f t="shared" ref="AR54:AY54" si="70">AQ54</f>
        <v>5.7986397131732585E-2</v>
      </c>
      <c r="AS54" s="90">
        <f t="shared" si="70"/>
        <v>5.7986397131732585E-2</v>
      </c>
      <c r="AT54" s="90">
        <f t="shared" si="70"/>
        <v>5.7986397131732585E-2</v>
      </c>
      <c r="AU54" s="90">
        <f t="shared" si="70"/>
        <v>5.7986397131732585E-2</v>
      </c>
      <c r="AV54" s="90">
        <f t="shared" si="70"/>
        <v>5.7986397131732585E-2</v>
      </c>
      <c r="AW54" s="90">
        <f t="shared" si="70"/>
        <v>5.7986397131732585E-2</v>
      </c>
      <c r="AX54" s="90">
        <f t="shared" si="70"/>
        <v>5.7986397131732585E-2</v>
      </c>
      <c r="AY54" s="90">
        <f t="shared" si="70"/>
        <v>5.7986397131732585E-2</v>
      </c>
      <c r="AZ54" s="90">
        <v>0</v>
      </c>
      <c r="BA54" s="90">
        <v>0</v>
      </c>
      <c r="BB54" s="90">
        <v>0</v>
      </c>
      <c r="BC54" s="90">
        <v>0</v>
      </c>
      <c r="BD54" s="90">
        <v>0</v>
      </c>
      <c r="BE54" s="90">
        <v>0</v>
      </c>
      <c r="BF54" s="90"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</row>
    <row r="55" spans="1:69">
      <c r="A55" s="79"/>
      <c r="B55" t="s">
        <v>192</v>
      </c>
      <c r="C55" s="7"/>
      <c r="D55" s="101">
        <v>0.06</v>
      </c>
      <c r="E55" s="7"/>
      <c r="F55" s="90"/>
      <c r="G55" s="317"/>
      <c r="H55" s="90"/>
      <c r="I55" s="90"/>
      <c r="J55" s="90"/>
      <c r="K55" s="90"/>
      <c r="L55" s="90"/>
      <c r="M55" s="90"/>
      <c r="N55" s="733"/>
      <c r="O55" s="221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221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221"/>
      <c r="AP55" s="90">
        <v>0</v>
      </c>
      <c r="AQ55" s="90">
        <v>0</v>
      </c>
      <c r="AR55" s="90">
        <v>0</v>
      </c>
      <c r="AS55" s="90">
        <v>0</v>
      </c>
      <c r="AT55" s="90">
        <v>0</v>
      </c>
      <c r="AU55" s="90">
        <v>0</v>
      </c>
      <c r="AV55" s="90">
        <v>0</v>
      </c>
      <c r="AW55" s="90">
        <v>0</v>
      </c>
      <c r="AX55" s="90">
        <v>0</v>
      </c>
      <c r="AY55" s="90">
        <f>$D$55</f>
        <v>0.06</v>
      </c>
      <c r="AZ55" s="90">
        <f>$D$55</f>
        <v>0.06</v>
      </c>
      <c r="BA55" s="90">
        <f>$D$55</f>
        <v>0.06</v>
      </c>
      <c r="BB55" s="90">
        <f>$D$55</f>
        <v>0.06</v>
      </c>
      <c r="BC55" s="90">
        <f>$D$55</f>
        <v>0.06</v>
      </c>
      <c r="BD55" s="90">
        <f t="shared" ref="BD55:BQ55" si="71">$D$55</f>
        <v>0.06</v>
      </c>
      <c r="BE55" s="90">
        <f t="shared" si="71"/>
        <v>0.06</v>
      </c>
      <c r="BF55" s="90">
        <f t="shared" si="71"/>
        <v>0.06</v>
      </c>
      <c r="BG55" s="90">
        <f t="shared" si="71"/>
        <v>0.06</v>
      </c>
      <c r="BH55" s="90">
        <f t="shared" si="71"/>
        <v>0.06</v>
      </c>
      <c r="BI55" s="90">
        <f t="shared" si="71"/>
        <v>0.06</v>
      </c>
      <c r="BJ55" s="90">
        <f t="shared" si="71"/>
        <v>0.06</v>
      </c>
      <c r="BK55" s="90">
        <f t="shared" si="71"/>
        <v>0.06</v>
      </c>
      <c r="BL55" s="90">
        <f t="shared" si="71"/>
        <v>0.06</v>
      </c>
      <c r="BM55" s="90">
        <f t="shared" si="71"/>
        <v>0.06</v>
      </c>
      <c r="BN55" s="90">
        <f t="shared" si="71"/>
        <v>0.06</v>
      </c>
      <c r="BO55" s="90">
        <f t="shared" si="71"/>
        <v>0.06</v>
      </c>
      <c r="BP55" s="90">
        <f t="shared" si="71"/>
        <v>0.06</v>
      </c>
      <c r="BQ55" s="90">
        <f t="shared" si="71"/>
        <v>0.06</v>
      </c>
    </row>
    <row r="56" spans="1:69">
      <c r="A56" s="79"/>
      <c r="B56" t="s">
        <v>378</v>
      </c>
      <c r="D56" s="7"/>
      <c r="E56" s="7"/>
      <c r="F56" s="93"/>
      <c r="G56" s="319"/>
      <c r="H56" s="16"/>
      <c r="I56" s="16"/>
      <c r="J56" s="16"/>
      <c r="K56" s="16"/>
      <c r="L56" s="16"/>
      <c r="M56" s="16"/>
      <c r="N56" s="743"/>
      <c r="O56" s="217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217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217"/>
      <c r="AP56" s="466"/>
      <c r="AQ56" s="466"/>
      <c r="AR56" s="466"/>
      <c r="AS56" s="466"/>
      <c r="AT56" s="466"/>
      <c r="AU56" s="466"/>
      <c r="AV56" s="466"/>
      <c r="AW56" s="466"/>
      <c r="AX56" s="466"/>
      <c r="AY56" s="466"/>
      <c r="AZ56" s="466"/>
      <c r="BA56" s="466"/>
      <c r="BB56" s="466"/>
      <c r="BC56" s="466"/>
      <c r="BD56" s="466"/>
      <c r="BE56" s="466"/>
      <c r="BF56" s="466"/>
      <c r="BG56" s="466"/>
      <c r="BH56" s="466"/>
      <c r="BI56" s="466"/>
      <c r="BJ56" s="466"/>
      <c r="BK56" s="466"/>
      <c r="BL56" s="466"/>
      <c r="BM56" s="466"/>
      <c r="BN56" s="466"/>
      <c r="BO56" s="466"/>
      <c r="BP56" s="466"/>
      <c r="BQ56" s="466"/>
    </row>
    <row r="57" spans="1:69" s="80" customFormat="1">
      <c r="B57" s="80" t="s">
        <v>391</v>
      </c>
      <c r="G57" s="623"/>
      <c r="O57" s="615"/>
      <c r="P57" s="735">
        <v>0.64190966000000005</v>
      </c>
      <c r="Q57" s="735">
        <v>0.57978936999999997</v>
      </c>
      <c r="R57" s="735">
        <v>0.64190966000000005</v>
      </c>
      <c r="S57" s="735">
        <v>0.63008487000000002</v>
      </c>
      <c r="T57" s="735">
        <v>0.65108769</v>
      </c>
      <c r="U57" s="735">
        <v>0.63008487000000002</v>
      </c>
      <c r="V57" s="735">
        <v>0.66050039000000005</v>
      </c>
      <c r="W57" s="735">
        <v>0.66050039000000005</v>
      </c>
      <c r="X57" s="735">
        <v>0.63919393000000002</v>
      </c>
      <c r="Y57" s="735">
        <v>0.67015409999999997</v>
      </c>
      <c r="Z57" s="735">
        <v>0.64853622</v>
      </c>
      <c r="AA57" s="735">
        <v>0.67015409999999997</v>
      </c>
      <c r="AB57" s="615">
        <f>SUM(P57:AA57)</f>
        <v>7.7239052500000014</v>
      </c>
      <c r="AC57" s="735">
        <v>0.67994890000000008</v>
      </c>
      <c r="AD57" s="735">
        <v>0.61414740000000001</v>
      </c>
      <c r="AE57" s="735">
        <v>0.67994890000000008</v>
      </c>
      <c r="AF57" s="735">
        <v>0.66742338000000001</v>
      </c>
      <c r="AG57" s="735">
        <v>0.68967083000000007</v>
      </c>
      <c r="AH57" s="735">
        <v>0.66742338000000001</v>
      </c>
      <c r="AI57" s="735">
        <v>0.6996413199999999</v>
      </c>
      <c r="AJ57" s="735">
        <v>0.69964131000000007</v>
      </c>
      <c r="AK57" s="735">
        <v>0.67707223999999999</v>
      </c>
      <c r="AL57" s="735">
        <v>0.70986709999999997</v>
      </c>
      <c r="AM57" s="735">
        <v>0.68696816000000005</v>
      </c>
      <c r="AN57" s="735">
        <v>0.70986709999999997</v>
      </c>
      <c r="AO57" s="615">
        <f>SUM(AC57:AN57)</f>
        <v>8.1816200200000004</v>
      </c>
      <c r="AP57" s="735">
        <v>8.6664587300000022</v>
      </c>
      <c r="AQ57" s="735">
        <v>9.1800322800000007</v>
      </c>
      <c r="AR57" s="735">
        <v>9.7240328299999987</v>
      </c>
      <c r="AS57" s="735">
        <v>10.300274159999999</v>
      </c>
      <c r="AT57" s="735">
        <v>10.910663260000002</v>
      </c>
      <c r="AU57" s="735">
        <v>11.557228150000002</v>
      </c>
      <c r="AV57" s="735">
        <v>12.242099259999998</v>
      </c>
      <c r="AW57" s="735">
        <v>12.967559940000001</v>
      </c>
      <c r="AX57" s="735">
        <v>13.736010889999999</v>
      </c>
      <c r="AY57" s="487"/>
      <c r="AZ57" s="80">
        <f>AZ54*AZ53</f>
        <v>0</v>
      </c>
      <c r="BA57" s="80">
        <f>BA54*BA53</f>
        <v>0</v>
      </c>
      <c r="BB57" s="80">
        <f t="shared" ref="BB57:BQ57" si="72">BB54*BB53</f>
        <v>0</v>
      </c>
      <c r="BC57" s="80">
        <f t="shared" si="72"/>
        <v>0</v>
      </c>
      <c r="BD57" s="80">
        <f t="shared" si="72"/>
        <v>0</v>
      </c>
      <c r="BE57" s="80">
        <f t="shared" si="72"/>
        <v>0</v>
      </c>
      <c r="BF57" s="80">
        <f t="shared" si="72"/>
        <v>0</v>
      </c>
      <c r="BG57" s="80">
        <f t="shared" si="72"/>
        <v>0</v>
      </c>
      <c r="BH57" s="80">
        <f t="shared" si="72"/>
        <v>0</v>
      </c>
      <c r="BI57" s="80">
        <f t="shared" si="72"/>
        <v>0</v>
      </c>
      <c r="BJ57" s="80">
        <f t="shared" si="72"/>
        <v>0</v>
      </c>
      <c r="BK57" s="80">
        <f t="shared" si="72"/>
        <v>0</v>
      </c>
      <c r="BL57" s="80">
        <f t="shared" si="72"/>
        <v>0</v>
      </c>
      <c r="BM57" s="80">
        <f t="shared" si="72"/>
        <v>0</v>
      </c>
      <c r="BN57" s="80">
        <f t="shared" si="72"/>
        <v>0</v>
      </c>
      <c r="BO57" s="80">
        <f t="shared" si="72"/>
        <v>0</v>
      </c>
      <c r="BP57" s="80">
        <f t="shared" si="72"/>
        <v>0</v>
      </c>
      <c r="BQ57" s="80">
        <f t="shared" si="72"/>
        <v>0</v>
      </c>
    </row>
    <row r="58" spans="1:69" s="80" customFormat="1">
      <c r="B58" s="80" t="s">
        <v>583</v>
      </c>
      <c r="G58" s="623"/>
      <c r="O58" s="615"/>
      <c r="R58" s="80">
        <f>SUM(P57:R57)</f>
        <v>1.86360869</v>
      </c>
      <c r="U58" s="80">
        <f>SUM(S57:U57)</f>
        <v>1.91125743</v>
      </c>
      <c r="X58" s="80">
        <f>SUM(V57:X57)</f>
        <v>1.9601947100000001</v>
      </c>
      <c r="AA58" s="80">
        <f>SUM(Y57:AA57)</f>
        <v>1.9888444199999999</v>
      </c>
      <c r="AB58" s="615">
        <f>SUM(P58:AA58)</f>
        <v>7.7239052499999996</v>
      </c>
      <c r="AE58" s="80">
        <f>SUM(AC57:AE57)</f>
        <v>1.9740452000000002</v>
      </c>
      <c r="AH58" s="80">
        <f>SUM(AF57:AH57)</f>
        <v>2.0245175900000003</v>
      </c>
      <c r="AK58" s="80">
        <f>SUM(AI57:AK57)</f>
        <v>2.0763548700000003</v>
      </c>
      <c r="AN58" s="80">
        <f>SUM(AL57:AN57)</f>
        <v>2.1067023599999999</v>
      </c>
      <c r="AO58" s="615">
        <f>SUM(AC58:AN58)</f>
        <v>8.1816200200000004</v>
      </c>
      <c r="AP58" s="80">
        <f>AP57</f>
        <v>8.6664587300000022</v>
      </c>
      <c r="AQ58" s="80">
        <f t="shared" ref="AQ58:BB58" si="73">AQ57</f>
        <v>9.1800322800000007</v>
      </c>
      <c r="AR58" s="80">
        <f t="shared" si="73"/>
        <v>9.7240328299999987</v>
      </c>
      <c r="AS58" s="80">
        <f t="shared" si="73"/>
        <v>10.300274159999999</v>
      </c>
      <c r="AT58" s="80">
        <f t="shared" si="73"/>
        <v>10.910663260000002</v>
      </c>
      <c r="AU58" s="80">
        <f t="shared" si="73"/>
        <v>11.557228150000002</v>
      </c>
      <c r="AV58" s="80">
        <f t="shared" si="73"/>
        <v>12.242099259999998</v>
      </c>
      <c r="AW58" s="80">
        <f t="shared" si="73"/>
        <v>12.967559940000001</v>
      </c>
      <c r="AX58" s="80">
        <f t="shared" si="73"/>
        <v>13.736010889999999</v>
      </c>
      <c r="AY58" s="80">
        <f t="shared" si="73"/>
        <v>0</v>
      </c>
      <c r="AZ58" s="80">
        <f t="shared" si="73"/>
        <v>0</v>
      </c>
      <c r="BA58" s="80">
        <f t="shared" si="73"/>
        <v>0</v>
      </c>
      <c r="BB58" s="80">
        <f t="shared" si="73"/>
        <v>0</v>
      </c>
    </row>
    <row r="59" spans="1:69" s="80" customFormat="1">
      <c r="B59" s="80" t="s">
        <v>306</v>
      </c>
      <c r="G59" s="623"/>
      <c r="O59" s="615"/>
      <c r="AB59" s="615"/>
      <c r="AO59" s="615"/>
      <c r="AP59" s="80">
        <v>0</v>
      </c>
      <c r="AQ59" s="80">
        <v>0</v>
      </c>
      <c r="AR59" s="80">
        <v>0</v>
      </c>
      <c r="AS59" s="80">
        <v>0</v>
      </c>
      <c r="AT59" s="80">
        <v>0</v>
      </c>
      <c r="AU59" s="80">
        <v>0</v>
      </c>
      <c r="AV59" s="80">
        <v>0</v>
      </c>
      <c r="AW59" s="80">
        <v>0</v>
      </c>
      <c r="AX59" s="80">
        <v>0</v>
      </c>
      <c r="AY59" s="80">
        <f t="shared" ref="AY59:BD59" si="74">AY55*AY53</f>
        <v>26.731815437999998</v>
      </c>
      <c r="AZ59" s="80">
        <f t="shared" si="74"/>
        <v>26.731815437999998</v>
      </c>
      <c r="BA59" s="80">
        <f t="shared" si="74"/>
        <v>26.731815437999998</v>
      </c>
      <c r="BB59" s="80">
        <f t="shared" si="74"/>
        <v>26.731815437999998</v>
      </c>
      <c r="BC59" s="80">
        <f t="shared" si="74"/>
        <v>26.731815437999998</v>
      </c>
      <c r="BD59" s="80">
        <f t="shared" si="74"/>
        <v>26.731815437999998</v>
      </c>
      <c r="BE59" s="80">
        <f t="shared" ref="BE59:BP59" si="75">BE55*BE53</f>
        <v>26.731815437999998</v>
      </c>
      <c r="BF59" s="80">
        <f t="shared" si="75"/>
        <v>26.731815437999998</v>
      </c>
      <c r="BG59" s="80">
        <f t="shared" si="75"/>
        <v>26.731815437999998</v>
      </c>
      <c r="BH59" s="80">
        <f>BH55*BH53</f>
        <v>26.731815437999998</v>
      </c>
      <c r="BI59" s="80">
        <f t="shared" si="75"/>
        <v>25.211730765424036</v>
      </c>
      <c r="BJ59" s="80">
        <f t="shared" si="75"/>
        <v>23.600441012493516</v>
      </c>
      <c r="BK59" s="80">
        <f t="shared" si="75"/>
        <v>21.892473874387168</v>
      </c>
      <c r="BL59" s="80">
        <f t="shared" si="75"/>
        <v>20.082028707994436</v>
      </c>
      <c r="BM59" s="80">
        <f t="shared" si="75"/>
        <v>18.162956831618143</v>
      </c>
      <c r="BN59" s="80">
        <f t="shared" si="75"/>
        <v>16.12874064265927</v>
      </c>
      <c r="BO59" s="80">
        <f t="shared" si="75"/>
        <v>13.972471482362867</v>
      </c>
      <c r="BP59" s="80">
        <f t="shared" si="75"/>
        <v>11.686471482362867</v>
      </c>
      <c r="BQ59" s="80">
        <f>BQ55*BQ53</f>
        <v>9.2684714823628678</v>
      </c>
    </row>
    <row r="60" spans="1:69" s="80" customFormat="1">
      <c r="B60" s="80" t="s">
        <v>305</v>
      </c>
      <c r="F60" s="617"/>
      <c r="G60" s="624"/>
      <c r="H60" s="617"/>
      <c r="I60" s="617"/>
      <c r="J60" s="617"/>
      <c r="K60" s="617"/>
      <c r="L60" s="617"/>
      <c r="M60" s="617"/>
      <c r="N60" s="617"/>
      <c r="O60" s="618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8"/>
      <c r="AC60" s="617"/>
      <c r="AD60" s="617"/>
      <c r="AE60" s="617"/>
      <c r="AF60" s="617"/>
      <c r="AG60" s="617"/>
      <c r="AH60" s="617"/>
      <c r="AI60" s="617"/>
      <c r="AJ60" s="617"/>
      <c r="AK60" s="617"/>
      <c r="AL60" s="617"/>
      <c r="AM60" s="617"/>
      <c r="AN60" s="617"/>
      <c r="AO60" s="618"/>
      <c r="AP60" s="617">
        <v>0</v>
      </c>
      <c r="AQ60" s="617">
        <v>0</v>
      </c>
      <c r="AR60" s="617">
        <v>0</v>
      </c>
      <c r="AS60" s="617">
        <v>0</v>
      </c>
      <c r="AT60" s="617">
        <v>0</v>
      </c>
      <c r="AU60" s="617">
        <v>0</v>
      </c>
      <c r="AV60" s="617">
        <v>0</v>
      </c>
      <c r="AW60" s="617">
        <v>0</v>
      </c>
      <c r="AX60" s="734">
        <v>-200</v>
      </c>
      <c r="AY60" s="625"/>
      <c r="AZ60" s="625"/>
      <c r="BA60" s="625">
        <v>0</v>
      </c>
      <c r="BB60" s="625">
        <v>0</v>
      </c>
      <c r="BC60" s="625">
        <v>0</v>
      </c>
      <c r="BD60" s="625">
        <v>0</v>
      </c>
      <c r="BE60" s="625">
        <v>0</v>
      </c>
      <c r="BF60" s="625">
        <v>0</v>
      </c>
      <c r="BG60" s="625">
        <v>0</v>
      </c>
      <c r="BH60" s="625">
        <v>25.334744542932683</v>
      </c>
      <c r="BI60" s="625">
        <v>26.854829215508644</v>
      </c>
      <c r="BJ60" s="625">
        <v>28.466118968439162</v>
      </c>
      <c r="BK60" s="625">
        <v>30.174086106545509</v>
      </c>
      <c r="BL60" s="625">
        <v>31.984531272938241</v>
      </c>
      <c r="BM60" s="625">
        <v>33.903603149314534</v>
      </c>
      <c r="BN60" s="625">
        <v>35.937819338273407</v>
      </c>
      <c r="BO60" s="626">
        <v>38.1</v>
      </c>
      <c r="BP60" s="625">
        <v>40.299999999999997</v>
      </c>
      <c r="BQ60" s="625">
        <f>BQ53</f>
        <v>154.47452470604782</v>
      </c>
    </row>
    <row r="61" spans="1:69" s="80" customFormat="1">
      <c r="B61" s="80" t="s">
        <v>335</v>
      </c>
      <c r="G61" s="623"/>
      <c r="N61" s="80">
        <v>0</v>
      </c>
      <c r="O61" s="615"/>
      <c r="AB61" s="615"/>
      <c r="AO61" s="615"/>
      <c r="AP61" s="627">
        <f>AP59+AP60</f>
        <v>0</v>
      </c>
      <c r="AQ61" s="627">
        <f t="shared" ref="AQ61:AV61" si="76">AQ59+AQ60</f>
        <v>0</v>
      </c>
      <c r="AR61" s="627">
        <f t="shared" si="76"/>
        <v>0</v>
      </c>
      <c r="AS61" s="627">
        <f t="shared" si="76"/>
        <v>0</v>
      </c>
      <c r="AT61" s="627">
        <f t="shared" si="76"/>
        <v>0</v>
      </c>
      <c r="AU61" s="627">
        <f t="shared" si="76"/>
        <v>0</v>
      </c>
      <c r="AV61" s="627">
        <f t="shared" si="76"/>
        <v>0</v>
      </c>
      <c r="AW61" s="627">
        <f>AW59+AW60</f>
        <v>0</v>
      </c>
      <c r="AX61" s="627">
        <f>AX59+AX60</f>
        <v>-200</v>
      </c>
      <c r="AY61" s="627">
        <f>AY59+AY60</f>
        <v>26.731815437999998</v>
      </c>
      <c r="AZ61" s="627">
        <f t="shared" ref="AZ61:BG61" si="77">AZ59+AZ60</f>
        <v>26.731815437999998</v>
      </c>
      <c r="BA61" s="627">
        <f t="shared" si="77"/>
        <v>26.731815437999998</v>
      </c>
      <c r="BB61" s="627">
        <f t="shared" si="77"/>
        <v>26.731815437999998</v>
      </c>
      <c r="BC61" s="627">
        <f t="shared" si="77"/>
        <v>26.731815437999998</v>
      </c>
      <c r="BD61" s="627">
        <f t="shared" si="77"/>
        <v>26.731815437999998</v>
      </c>
      <c r="BE61" s="627">
        <f t="shared" si="77"/>
        <v>26.731815437999998</v>
      </c>
      <c r="BF61" s="627">
        <f t="shared" si="77"/>
        <v>26.731815437999998</v>
      </c>
      <c r="BG61" s="627">
        <f t="shared" si="77"/>
        <v>26.731815437999998</v>
      </c>
      <c r="BH61" s="80">
        <f>BH60+BH59</f>
        <v>52.066559980932681</v>
      </c>
      <c r="BI61" s="80">
        <f t="shared" ref="BI61:BQ61" si="78">BI60+BI59</f>
        <v>52.066559980932681</v>
      </c>
      <c r="BJ61" s="80">
        <f t="shared" si="78"/>
        <v>52.066559980932681</v>
      </c>
      <c r="BK61" s="80">
        <f t="shared" si="78"/>
        <v>52.066559980932681</v>
      </c>
      <c r="BL61" s="80">
        <f t="shared" si="78"/>
        <v>52.066559980932681</v>
      </c>
      <c r="BM61" s="80">
        <f t="shared" si="78"/>
        <v>52.066559980932681</v>
      </c>
      <c r="BN61" s="80">
        <f t="shared" si="78"/>
        <v>52.066559980932681</v>
      </c>
      <c r="BO61" s="80">
        <f t="shared" si="78"/>
        <v>52.072471482362872</v>
      </c>
      <c r="BP61" s="80">
        <f t="shared" si="78"/>
        <v>51.986471482362866</v>
      </c>
      <c r="BQ61" s="80">
        <f t="shared" si="78"/>
        <v>163.74299618841067</v>
      </c>
    </row>
    <row r="62" spans="1:69" s="80" customFormat="1">
      <c r="G62" s="623"/>
      <c r="O62" s="615"/>
      <c r="AB62" s="615"/>
      <c r="AO62" s="615"/>
    </row>
    <row r="63" spans="1:69" s="80" customFormat="1">
      <c r="B63" s="628" t="s">
        <v>131</v>
      </c>
      <c r="G63" s="623"/>
      <c r="O63" s="615"/>
      <c r="AB63" s="615"/>
      <c r="AO63" s="615"/>
    </row>
    <row r="64" spans="1:69" s="80" customFormat="1">
      <c r="B64" s="80" t="s">
        <v>392</v>
      </c>
      <c r="G64" s="623"/>
      <c r="N64" s="80">
        <f>N8+N15+N22+N29+N37+N45+N53</f>
        <v>882.39903575000005</v>
      </c>
      <c r="O64" s="615"/>
      <c r="P64" s="80">
        <f>P8+P15+P22+P29+P37+P45+P53</f>
        <v>882.39903575000005</v>
      </c>
      <c r="Q64" s="80">
        <f t="shared" ref="Q64:BP64" si="79">Q8+Q15+Q22+Q29+Q37+Q45+Q53</f>
        <v>882.41007469000022</v>
      </c>
      <c r="R64" s="80">
        <f t="shared" si="79"/>
        <v>878.89660460000016</v>
      </c>
      <c r="S64" s="80">
        <f t="shared" si="79"/>
        <v>883.95176129000015</v>
      </c>
      <c r="T64" s="80">
        <f t="shared" si="79"/>
        <v>883.96251084000028</v>
      </c>
      <c r="U64" s="80">
        <f t="shared" si="79"/>
        <v>880.42225054000028</v>
      </c>
      <c r="V64" s="80">
        <f t="shared" si="79"/>
        <v>890.02846197000019</v>
      </c>
      <c r="W64" s="80">
        <f t="shared" si="79"/>
        <v>890.03960948000019</v>
      </c>
      <c r="X64" s="80">
        <f t="shared" si="79"/>
        <v>887.35870485000021</v>
      </c>
      <c r="Y64" s="80">
        <f t="shared" si="79"/>
        <v>904.25700356000027</v>
      </c>
      <c r="Z64" s="80">
        <f t="shared" si="79"/>
        <v>904.26843753000026</v>
      </c>
      <c r="AA64" s="80">
        <f t="shared" si="79"/>
        <v>901.56675586000028</v>
      </c>
      <c r="AB64" s="615"/>
      <c r="AC64" s="80">
        <f t="shared" si="79"/>
        <v>901.67159428000025</v>
      </c>
      <c r="AD64" s="80">
        <f t="shared" si="79"/>
        <v>910.6833225500003</v>
      </c>
      <c r="AE64" s="80">
        <f t="shared" si="79"/>
        <v>907.9607028600002</v>
      </c>
      <c r="AF64" s="80">
        <f t="shared" si="79"/>
        <v>917.02836906000027</v>
      </c>
      <c r="AG64" s="80">
        <f t="shared" si="79"/>
        <v>917.03975978000028</v>
      </c>
      <c r="AH64" s="80">
        <f t="shared" si="79"/>
        <v>914.29603977000033</v>
      </c>
      <c r="AI64" s="80">
        <f t="shared" si="79"/>
        <v>918.50654036000014</v>
      </c>
      <c r="AJ64" s="80">
        <f t="shared" si="79"/>
        <v>918.5183527600002</v>
      </c>
      <c r="AK64" s="80">
        <f t="shared" si="79"/>
        <v>915.75769133000017</v>
      </c>
      <c r="AL64" s="80">
        <f t="shared" si="79"/>
        <v>919.52212220000035</v>
      </c>
      <c r="AM64" s="80">
        <f t="shared" si="79"/>
        <v>919.53423816000031</v>
      </c>
      <c r="AN64" s="80">
        <f t="shared" si="79"/>
        <v>916.75218161000021</v>
      </c>
      <c r="AO64" s="615"/>
      <c r="AP64" s="80">
        <f t="shared" si="79"/>
        <v>916.8837809700002</v>
      </c>
      <c r="AQ64" s="80">
        <f t="shared" si="79"/>
        <v>904.12718385000039</v>
      </c>
      <c r="AR64" s="80">
        <f t="shared" si="79"/>
        <v>889.64705013221317</v>
      </c>
      <c r="AS64" s="80">
        <f t="shared" si="79"/>
        <v>874.76462160259234</v>
      </c>
      <c r="AT64" s="80">
        <f t="shared" si="79"/>
        <v>859.45872215668305</v>
      </c>
      <c r="AU64" s="80">
        <f t="shared" si="79"/>
        <v>841.29590295089656</v>
      </c>
      <c r="AV64" s="80">
        <f t="shared" si="79"/>
        <v>781.38930032083636</v>
      </c>
      <c r="AW64" s="80">
        <f t="shared" si="79"/>
        <v>730.14737266597422</v>
      </c>
      <c r="AX64" s="80">
        <f t="shared" si="79"/>
        <v>712.72947664966637</v>
      </c>
      <c r="AY64" s="80">
        <f t="shared" si="79"/>
        <v>894.70801636346914</v>
      </c>
      <c r="AZ64" s="80">
        <f t="shared" si="79"/>
        <v>861.50670873468607</v>
      </c>
      <c r="BA64" s="80">
        <f t="shared" si="79"/>
        <v>826.77715118603953</v>
      </c>
      <c r="BB64" s="80">
        <f t="shared" si="79"/>
        <v>790.43583795633344</v>
      </c>
      <c r="BC64" s="80">
        <f t="shared" si="79"/>
        <v>752.40584988093633</v>
      </c>
      <c r="BD64" s="80">
        <f t="shared" si="79"/>
        <v>712.5303187208774</v>
      </c>
      <c r="BE64" s="80">
        <f t="shared" si="79"/>
        <v>670.66798427931644</v>
      </c>
      <c r="BF64" s="80">
        <f t="shared" si="79"/>
        <v>626.71711650410884</v>
      </c>
      <c r="BG64" s="80">
        <f t="shared" si="79"/>
        <v>580.56176594514488</v>
      </c>
      <c r="BH64" s="80">
        <f t="shared" si="79"/>
        <v>543.83318645752047</v>
      </c>
      <c r="BI64" s="80">
        <f t="shared" si="79"/>
        <v>501.03888706177617</v>
      </c>
      <c r="BJ64" s="80">
        <f t="shared" si="79"/>
        <v>455.74559474786753</v>
      </c>
      <c r="BK64" s="80">
        <f t="shared" si="79"/>
        <v>407.80542989202837</v>
      </c>
      <c r="BL64" s="80">
        <f t="shared" si="79"/>
        <v>357.06170189176282</v>
      </c>
      <c r="BM64" s="80">
        <f t="shared" si="79"/>
        <v>303.3483823607134</v>
      </c>
      <c r="BN64" s="80">
        <f t="shared" si="79"/>
        <v>246.48954677159102</v>
      </c>
      <c r="BO64" s="80">
        <f t="shared" si="79"/>
        <v>186.29878265425668</v>
      </c>
      <c r="BP64" s="80">
        <f t="shared" si="79"/>
        <v>122.5726508437567</v>
      </c>
      <c r="BQ64" s="80">
        <f>BQ8+BQ15+BQ22+BQ29+BQ37+BQ45+BQ53</f>
        <v>160.53693768505673</v>
      </c>
    </row>
    <row r="65" spans="1:69" s="80" customFormat="1">
      <c r="B65" s="80" t="s">
        <v>391</v>
      </c>
      <c r="G65" s="623"/>
      <c r="H65" s="465"/>
      <c r="I65" s="465"/>
      <c r="J65" s="465"/>
      <c r="K65" s="465"/>
      <c r="L65" s="465"/>
      <c r="M65" s="465"/>
      <c r="N65" s="465"/>
      <c r="O65" s="629"/>
      <c r="P65" s="465">
        <f t="shared" ref="P65:AA66" si="80">P57</f>
        <v>0.64190966000000005</v>
      </c>
      <c r="Q65" s="465">
        <f t="shared" si="80"/>
        <v>0.57978936999999997</v>
      </c>
      <c r="R65" s="465">
        <f t="shared" ref="R65:AA65" si="81">R57</f>
        <v>0.64190966000000005</v>
      </c>
      <c r="S65" s="465">
        <f t="shared" si="81"/>
        <v>0.63008487000000002</v>
      </c>
      <c r="T65" s="465">
        <f t="shared" si="81"/>
        <v>0.65108769</v>
      </c>
      <c r="U65" s="465">
        <f t="shared" si="81"/>
        <v>0.63008487000000002</v>
      </c>
      <c r="V65" s="465">
        <f t="shared" si="81"/>
        <v>0.66050039000000005</v>
      </c>
      <c r="W65" s="465">
        <f t="shared" si="81"/>
        <v>0.66050039000000005</v>
      </c>
      <c r="X65" s="465">
        <f t="shared" si="81"/>
        <v>0.63919393000000002</v>
      </c>
      <c r="Y65" s="465">
        <f t="shared" si="81"/>
        <v>0.67015409999999997</v>
      </c>
      <c r="Z65" s="465">
        <f t="shared" si="81"/>
        <v>0.64853622</v>
      </c>
      <c r="AA65" s="465">
        <f t="shared" si="81"/>
        <v>0.67015409999999997</v>
      </c>
      <c r="AB65" s="615">
        <f>SUM(P65:AA65)</f>
        <v>7.7239052500000014</v>
      </c>
      <c r="AC65" s="465">
        <f t="shared" ref="AC65:BO66" si="82">AC57</f>
        <v>0.67994890000000008</v>
      </c>
      <c r="AD65" s="465">
        <f t="shared" ref="AD65:AN65" si="83">AD57</f>
        <v>0.61414740000000001</v>
      </c>
      <c r="AE65" s="465">
        <f t="shared" si="83"/>
        <v>0.67994890000000008</v>
      </c>
      <c r="AF65" s="465">
        <f t="shared" si="83"/>
        <v>0.66742338000000001</v>
      </c>
      <c r="AG65" s="465">
        <f t="shared" si="83"/>
        <v>0.68967083000000007</v>
      </c>
      <c r="AH65" s="465">
        <f t="shared" si="83"/>
        <v>0.66742338000000001</v>
      </c>
      <c r="AI65" s="465">
        <f t="shared" si="83"/>
        <v>0.6996413199999999</v>
      </c>
      <c r="AJ65" s="465">
        <f t="shared" si="83"/>
        <v>0.69964131000000007</v>
      </c>
      <c r="AK65" s="465">
        <f t="shared" si="83"/>
        <v>0.67707223999999999</v>
      </c>
      <c r="AL65" s="465">
        <f t="shared" si="83"/>
        <v>0.70986709999999997</v>
      </c>
      <c r="AM65" s="465">
        <f t="shared" si="83"/>
        <v>0.68696816000000005</v>
      </c>
      <c r="AN65" s="465">
        <f t="shared" si="83"/>
        <v>0.70986709999999997</v>
      </c>
      <c r="AO65" s="615">
        <f>SUM(AC65:AN65)</f>
        <v>8.1816200200000004</v>
      </c>
      <c r="AP65" s="80">
        <f t="shared" si="82"/>
        <v>8.6664587300000022</v>
      </c>
      <c r="AQ65" s="80">
        <f t="shared" si="82"/>
        <v>9.1800322800000007</v>
      </c>
      <c r="AR65" s="80">
        <f t="shared" si="82"/>
        <v>9.7240328299999987</v>
      </c>
      <c r="AS65" s="80">
        <f t="shared" si="82"/>
        <v>10.300274159999999</v>
      </c>
      <c r="AT65" s="80">
        <f t="shared" si="82"/>
        <v>10.910663260000002</v>
      </c>
      <c r="AU65" s="80">
        <f t="shared" si="82"/>
        <v>11.557228150000002</v>
      </c>
      <c r="AV65" s="80">
        <f t="shared" si="82"/>
        <v>12.242099259999998</v>
      </c>
      <c r="AW65" s="80">
        <f t="shared" si="82"/>
        <v>12.967559940000001</v>
      </c>
      <c r="AX65" s="80">
        <f t="shared" si="82"/>
        <v>13.736010889999999</v>
      </c>
      <c r="AY65" s="80">
        <f t="shared" si="82"/>
        <v>0</v>
      </c>
      <c r="AZ65" s="80">
        <f t="shared" si="82"/>
        <v>0</v>
      </c>
      <c r="BA65" s="80">
        <f t="shared" si="82"/>
        <v>0</v>
      </c>
      <c r="BB65" s="80">
        <f t="shared" si="82"/>
        <v>0</v>
      </c>
      <c r="BC65" s="80">
        <f t="shared" si="82"/>
        <v>0</v>
      </c>
      <c r="BD65" s="80">
        <f t="shared" si="82"/>
        <v>0</v>
      </c>
      <c r="BE65" s="80">
        <f t="shared" si="82"/>
        <v>0</v>
      </c>
      <c r="BF65" s="80">
        <f t="shared" si="82"/>
        <v>0</v>
      </c>
      <c r="BG65" s="80">
        <f t="shared" si="82"/>
        <v>0</v>
      </c>
      <c r="BH65" s="80">
        <f t="shared" si="82"/>
        <v>0</v>
      </c>
      <c r="BI65" s="80">
        <f t="shared" si="82"/>
        <v>0</v>
      </c>
      <c r="BJ65" s="80">
        <f t="shared" si="82"/>
        <v>0</v>
      </c>
      <c r="BK65" s="80">
        <f t="shared" si="82"/>
        <v>0</v>
      </c>
      <c r="BL65" s="80">
        <f t="shared" si="82"/>
        <v>0</v>
      </c>
      <c r="BM65" s="80">
        <f t="shared" si="82"/>
        <v>0</v>
      </c>
      <c r="BN65" s="80">
        <f t="shared" si="82"/>
        <v>0</v>
      </c>
      <c r="BO65" s="80">
        <f t="shared" si="82"/>
        <v>0</v>
      </c>
      <c r="BP65" s="80">
        <f>BP57</f>
        <v>0</v>
      </c>
      <c r="BQ65" s="80">
        <f>BQ57</f>
        <v>0</v>
      </c>
    </row>
    <row r="66" spans="1:69" s="80" customFormat="1">
      <c r="B66" s="80" t="s">
        <v>583</v>
      </c>
      <c r="G66" s="623"/>
      <c r="H66" s="465"/>
      <c r="I66" s="465"/>
      <c r="J66" s="465"/>
      <c r="K66" s="465"/>
      <c r="L66" s="465"/>
      <c r="M66" s="465"/>
      <c r="N66" s="465"/>
      <c r="O66" s="629"/>
      <c r="P66" s="465">
        <f t="shared" si="80"/>
        <v>0</v>
      </c>
      <c r="Q66" s="465">
        <f t="shared" si="80"/>
        <v>0</v>
      </c>
      <c r="R66" s="465">
        <f t="shared" si="80"/>
        <v>1.86360869</v>
      </c>
      <c r="S66" s="465">
        <f t="shared" si="80"/>
        <v>0</v>
      </c>
      <c r="T66" s="465">
        <f t="shared" si="80"/>
        <v>0</v>
      </c>
      <c r="U66" s="465">
        <f t="shared" si="80"/>
        <v>1.91125743</v>
      </c>
      <c r="V66" s="465">
        <f t="shared" si="80"/>
        <v>0</v>
      </c>
      <c r="W66" s="465">
        <f t="shared" si="80"/>
        <v>0</v>
      </c>
      <c r="X66" s="465">
        <f t="shared" si="80"/>
        <v>1.9601947100000001</v>
      </c>
      <c r="Y66" s="465">
        <f t="shared" si="80"/>
        <v>0</v>
      </c>
      <c r="Z66" s="465">
        <f t="shared" si="80"/>
        <v>0</v>
      </c>
      <c r="AA66" s="465">
        <f t="shared" si="80"/>
        <v>1.9888444199999999</v>
      </c>
      <c r="AB66" s="615">
        <f>SUM(P66:AA66)</f>
        <v>7.7239052499999996</v>
      </c>
      <c r="AC66" s="465">
        <f t="shared" si="82"/>
        <v>0</v>
      </c>
      <c r="AD66" s="465">
        <f t="shared" si="82"/>
        <v>0</v>
      </c>
      <c r="AE66" s="465">
        <f t="shared" si="82"/>
        <v>1.9740452000000002</v>
      </c>
      <c r="AF66" s="465">
        <f t="shared" si="82"/>
        <v>0</v>
      </c>
      <c r="AG66" s="465">
        <f t="shared" si="82"/>
        <v>0</v>
      </c>
      <c r="AH66" s="465">
        <f t="shared" si="82"/>
        <v>2.0245175900000003</v>
      </c>
      <c r="AI66" s="465">
        <f t="shared" si="82"/>
        <v>0</v>
      </c>
      <c r="AJ66" s="465">
        <f t="shared" si="82"/>
        <v>0</v>
      </c>
      <c r="AK66" s="465">
        <f t="shared" si="82"/>
        <v>2.0763548700000003</v>
      </c>
      <c r="AL66" s="465">
        <f t="shared" si="82"/>
        <v>0</v>
      </c>
      <c r="AM66" s="465">
        <f t="shared" si="82"/>
        <v>0</v>
      </c>
      <c r="AN66" s="465">
        <f t="shared" si="82"/>
        <v>2.1067023599999999</v>
      </c>
      <c r="AO66" s="615"/>
      <c r="AP66" s="465">
        <f t="shared" si="82"/>
        <v>8.6664587300000022</v>
      </c>
      <c r="AQ66" s="465">
        <f t="shared" si="82"/>
        <v>9.1800322800000007</v>
      </c>
      <c r="AR66" s="465">
        <f t="shared" si="82"/>
        <v>9.7240328299999987</v>
      </c>
      <c r="AS66" s="465">
        <f t="shared" si="82"/>
        <v>10.300274159999999</v>
      </c>
      <c r="AT66" s="465">
        <f t="shared" si="82"/>
        <v>10.910663260000002</v>
      </c>
      <c r="AU66" s="465">
        <f t="shared" si="82"/>
        <v>11.557228150000002</v>
      </c>
      <c r="AV66" s="465">
        <f t="shared" si="82"/>
        <v>12.242099259999998</v>
      </c>
      <c r="AW66" s="465">
        <f t="shared" si="82"/>
        <v>12.967559940000001</v>
      </c>
      <c r="AX66" s="465">
        <f t="shared" si="82"/>
        <v>13.736010889999999</v>
      </c>
      <c r="AY66" s="465">
        <f t="shared" si="82"/>
        <v>0</v>
      </c>
      <c r="AZ66" s="465">
        <f t="shared" si="82"/>
        <v>0</v>
      </c>
      <c r="BA66" s="465">
        <f t="shared" si="82"/>
        <v>0</v>
      </c>
      <c r="BB66" s="465">
        <f t="shared" si="82"/>
        <v>0</v>
      </c>
      <c r="BC66" s="465">
        <f t="shared" si="82"/>
        <v>0</v>
      </c>
      <c r="BD66" s="465">
        <f t="shared" si="82"/>
        <v>0</v>
      </c>
      <c r="BE66" s="465">
        <f t="shared" si="82"/>
        <v>0</v>
      </c>
      <c r="BF66" s="465">
        <f t="shared" si="82"/>
        <v>0</v>
      </c>
      <c r="BG66" s="465">
        <f t="shared" si="82"/>
        <v>0</v>
      </c>
      <c r="BH66" s="465">
        <f t="shared" si="82"/>
        <v>0</v>
      </c>
      <c r="BI66" s="465">
        <f t="shared" si="82"/>
        <v>0</v>
      </c>
      <c r="BJ66" s="465">
        <f t="shared" si="82"/>
        <v>0</v>
      </c>
      <c r="BK66" s="465">
        <f t="shared" si="82"/>
        <v>0</v>
      </c>
      <c r="BL66" s="465">
        <f t="shared" si="82"/>
        <v>0</v>
      </c>
      <c r="BM66" s="465">
        <f t="shared" si="82"/>
        <v>0</v>
      </c>
      <c r="BN66" s="465">
        <f t="shared" si="82"/>
        <v>0</v>
      </c>
      <c r="BO66" s="465">
        <f t="shared" si="82"/>
        <v>0</v>
      </c>
      <c r="BP66" s="465">
        <f>BP58</f>
        <v>0</v>
      </c>
      <c r="BQ66" s="465">
        <f>BQ58</f>
        <v>0</v>
      </c>
    </row>
    <row r="67" spans="1:69" s="80" customFormat="1">
      <c r="B67" s="80" t="s">
        <v>305</v>
      </c>
      <c r="G67" s="623"/>
      <c r="O67" s="629"/>
      <c r="P67" s="80">
        <f>P11+P18+P25+P32+P41+P49+P60</f>
        <v>0</v>
      </c>
      <c r="Q67" s="80">
        <f t="shared" ref="Q67:BQ67" si="84">Q11+Q18+Q25+Q32+Q41+Q49+Q60</f>
        <v>3.5134700900000011</v>
      </c>
      <c r="R67" s="80">
        <f t="shared" si="84"/>
        <v>-3.1915480000000001</v>
      </c>
      <c r="S67" s="80">
        <f t="shared" si="84"/>
        <v>0</v>
      </c>
      <c r="T67" s="80">
        <f t="shared" si="84"/>
        <v>3.5402603000000004</v>
      </c>
      <c r="U67" s="80">
        <f t="shared" si="84"/>
        <v>-7.6949539999999992</v>
      </c>
      <c r="V67" s="80">
        <f t="shared" si="84"/>
        <v>0</v>
      </c>
      <c r="W67" s="80">
        <f t="shared" si="84"/>
        <v>2.6809046300000006</v>
      </c>
      <c r="X67" s="80">
        <f t="shared" si="84"/>
        <v>-14.938104000000001</v>
      </c>
      <c r="Y67" s="80">
        <f t="shared" si="84"/>
        <v>0</v>
      </c>
      <c r="Z67" s="80">
        <f t="shared" si="84"/>
        <v>2.7016816699999993</v>
      </c>
      <c r="AA67" s="80">
        <f t="shared" si="84"/>
        <v>1.8840060000000001</v>
      </c>
      <c r="AB67" s="615">
        <f>SUM(P67:AA67)</f>
        <v>-11.504283309999998</v>
      </c>
      <c r="AC67" s="80">
        <f t="shared" si="84"/>
        <v>-9</v>
      </c>
      <c r="AD67" s="80">
        <f t="shared" si="84"/>
        <v>2.7226196899999993</v>
      </c>
      <c r="AE67" s="80">
        <f t="shared" si="84"/>
        <v>-7.0936209999999997</v>
      </c>
      <c r="AF67" s="80">
        <f t="shared" si="84"/>
        <v>0</v>
      </c>
      <c r="AG67" s="80">
        <f t="shared" si="84"/>
        <v>2.7437200100000001</v>
      </c>
      <c r="AH67" s="80">
        <f t="shared" si="84"/>
        <v>-2.1859830000000002</v>
      </c>
      <c r="AI67" s="80">
        <f t="shared" si="84"/>
        <v>0</v>
      </c>
      <c r="AJ67" s="80">
        <f t="shared" si="84"/>
        <v>2.7606614300000007</v>
      </c>
      <c r="AK67" s="80">
        <f t="shared" si="84"/>
        <v>-1.6880760000000006</v>
      </c>
      <c r="AL67" s="80">
        <f t="shared" si="84"/>
        <v>0</v>
      </c>
      <c r="AM67" s="80">
        <f t="shared" si="84"/>
        <v>2.7820565500000001</v>
      </c>
      <c r="AN67" s="80">
        <f t="shared" si="84"/>
        <v>1.9751030000000001</v>
      </c>
      <c r="AO67" s="615">
        <f>SUM(AC67:AN67)</f>
        <v>-6.9835193200000001</v>
      </c>
      <c r="AP67" s="80">
        <f t="shared" si="84"/>
        <v>21.472909430000001</v>
      </c>
      <c r="AQ67" s="80">
        <f t="shared" si="84"/>
        <v>23.713324737787143</v>
      </c>
      <c r="AR67" s="80">
        <f t="shared" si="84"/>
        <v>24.662264509620762</v>
      </c>
      <c r="AS67" s="80">
        <f t="shared" si="84"/>
        <v>25.665333995909378</v>
      </c>
      <c r="AT67" s="80">
        <f t="shared" si="84"/>
        <v>29.120150675786455</v>
      </c>
      <c r="AU67" s="80">
        <f t="shared" si="84"/>
        <v>71.463830780060235</v>
      </c>
      <c r="AV67" s="80">
        <f t="shared" si="84"/>
        <v>63.484026914862056</v>
      </c>
      <c r="AW67" s="80">
        <f t="shared" si="84"/>
        <v>30.385455956307929</v>
      </c>
      <c r="AX67" s="80">
        <f t="shared" si="84"/>
        <v>-168.24252882380281</v>
      </c>
      <c r="AY67" s="80">
        <f t="shared" si="84"/>
        <v>33.201307628783091</v>
      </c>
      <c r="AZ67" s="80">
        <f t="shared" si="84"/>
        <v>34.729557548646582</v>
      </c>
      <c r="BA67" s="80">
        <f t="shared" si="84"/>
        <v>36.341313229705975</v>
      </c>
      <c r="BB67" s="80">
        <f t="shared" si="84"/>
        <v>38.029988075397149</v>
      </c>
      <c r="BC67" s="80">
        <f>BC11+BC18+BC25+BC32+BC41+BC49+BC60</f>
        <v>39.875531160059069</v>
      </c>
      <c r="BD67" s="80">
        <f t="shared" si="84"/>
        <v>41.86233444156084</v>
      </c>
      <c r="BE67" s="80">
        <f t="shared" si="84"/>
        <v>43.950867775207662</v>
      </c>
      <c r="BF67" s="80">
        <f t="shared" si="84"/>
        <v>46.155350558963889</v>
      </c>
      <c r="BG67" s="80">
        <f t="shared" si="84"/>
        <v>36.728579487624479</v>
      </c>
      <c r="BH67" s="80">
        <f t="shared" si="84"/>
        <v>42.794299395766473</v>
      </c>
      <c r="BI67" s="80">
        <f t="shared" si="84"/>
        <v>45.293292313926784</v>
      </c>
      <c r="BJ67" s="80">
        <f t="shared" si="84"/>
        <v>47.9401648558093</v>
      </c>
      <c r="BK67" s="80">
        <f t="shared" si="84"/>
        <v>50.743728000297651</v>
      </c>
      <c r="BL67" s="80">
        <f t="shared" si="84"/>
        <v>53.713319531047581</v>
      </c>
      <c r="BM67" s="80">
        <f t="shared" si="84"/>
        <v>56.858835589165551</v>
      </c>
      <c r="BN67" s="80">
        <f t="shared" si="84"/>
        <v>60.190764117356892</v>
      </c>
      <c r="BO67" s="80">
        <f t="shared" si="84"/>
        <v>63.726131810455144</v>
      </c>
      <c r="BP67" s="80">
        <f t="shared" si="84"/>
        <v>-37.96428684129485</v>
      </c>
      <c r="BQ67" s="80">
        <f t="shared" si="84"/>
        <v>157.46093504423695</v>
      </c>
    </row>
    <row r="68" spans="1:69" s="80" customFormat="1">
      <c r="B68" s="80" t="s">
        <v>306</v>
      </c>
      <c r="G68" s="623"/>
      <c r="H68" s="465"/>
      <c r="I68" s="465"/>
      <c r="J68" s="465"/>
      <c r="K68" s="465"/>
      <c r="L68" s="465"/>
      <c r="M68" s="465"/>
      <c r="N68" s="465"/>
      <c r="O68" s="629"/>
      <c r="P68" s="465">
        <f>P10+P17+P24+P31+P48+P59</f>
        <v>2.9512042695890406</v>
      </c>
      <c r="Q68" s="465">
        <f t="shared" ref="Q68:AN68" si="85">Q10+Q17+Q24+Q31+Q48+Q59</f>
        <v>2.7076485002739727</v>
      </c>
      <c r="R68" s="465">
        <f t="shared" si="85"/>
        <v>3.0796119861643829</v>
      </c>
      <c r="S68" s="465">
        <f t="shared" si="85"/>
        <v>2.9998825773972602</v>
      </c>
      <c r="T68" s="465">
        <f t="shared" si="85"/>
        <v>3.0856971516438354</v>
      </c>
      <c r="U68" s="465">
        <f t="shared" si="85"/>
        <v>2.9841440267123289</v>
      </c>
      <c r="V68" s="465">
        <f t="shared" si="85"/>
        <v>3.087517584657534</v>
      </c>
      <c r="W68" s="465">
        <f t="shared" si="85"/>
        <v>3.0875193646575343</v>
      </c>
      <c r="X68" s="465">
        <f t="shared" si="85"/>
        <v>2.9953358509589041</v>
      </c>
      <c r="Y68" s="465">
        <f t="shared" si="85"/>
        <v>3.1165598141095883</v>
      </c>
      <c r="Z68" s="465">
        <f t="shared" si="85"/>
        <v>3.0301435684931506</v>
      </c>
      <c r="AA68" s="465">
        <f t="shared" si="85"/>
        <v>3.1095823041095887</v>
      </c>
      <c r="AB68" s="615">
        <f>SUM(P68:AA68)</f>
        <v>36.234846998767118</v>
      </c>
      <c r="AC68" s="465">
        <f t="shared" si="85"/>
        <v>3.044542003972603</v>
      </c>
      <c r="AD68" s="465">
        <f t="shared" si="85"/>
        <v>2.8647919160273969</v>
      </c>
      <c r="AE68" s="465">
        <f t="shared" si="85"/>
        <v>3.1185624409589039</v>
      </c>
      <c r="AF68" s="465">
        <f t="shared" si="85"/>
        <v>3.0470412001369862</v>
      </c>
      <c r="AG68" s="465">
        <f t="shared" si="85"/>
        <v>3.1344915078082187</v>
      </c>
      <c r="AH68" s="465">
        <f t="shared" si="85"/>
        <v>3.0310545297260276</v>
      </c>
      <c r="AI68" s="465">
        <f t="shared" si="85"/>
        <v>3.1254459356164381</v>
      </c>
      <c r="AJ68" s="465">
        <f t="shared" si="85"/>
        <v>3.1254478356164381</v>
      </c>
      <c r="AK68" s="465">
        <f t="shared" si="85"/>
        <v>3.0318616902739732</v>
      </c>
      <c r="AL68" s="465">
        <f t="shared" si="85"/>
        <v>3.1204212261643836</v>
      </c>
      <c r="AM68" s="465">
        <f t="shared" si="85"/>
        <v>3.0339007527397266</v>
      </c>
      <c r="AN68" s="465">
        <f t="shared" si="85"/>
        <v>3.1132361661643833</v>
      </c>
      <c r="AO68" s="615">
        <f>SUM(AC68:AN68)</f>
        <v>36.790797205205479</v>
      </c>
      <c r="AP68" s="465">
        <f>AP10+AP17+AP24+AP31+AP48+AP59</f>
        <v>36.303730830000006</v>
      </c>
      <c r="AQ68" s="465">
        <f t="shared" ref="AQ68:BQ68" si="86">AQ10+AQ17+AQ24+AQ31+AQ48+AQ59</f>
        <v>35.510715010000006</v>
      </c>
      <c r="AR68" s="465">
        <f t="shared" si="86"/>
        <v>34.508443138166385</v>
      </c>
      <c r="AS68" s="465">
        <f t="shared" si="86"/>
        <v>33.503895781877766</v>
      </c>
      <c r="AT68" s="465">
        <f t="shared" si="86"/>
        <v>32.393035852000473</v>
      </c>
      <c r="AU68" s="465">
        <f t="shared" si="86"/>
        <v>29.616331887726883</v>
      </c>
      <c r="AV68" s="465">
        <f t="shared" si="86"/>
        <v>26.382162782925075</v>
      </c>
      <c r="AW68" s="465">
        <f t="shared" si="86"/>
        <v>24.069842791479214</v>
      </c>
      <c r="AX68" s="465">
        <f t="shared" si="86"/>
        <v>22.693881461589974</v>
      </c>
      <c r="AY68" s="465">
        <f t="shared" si="86"/>
        <v>48.012644617004057</v>
      </c>
      <c r="AZ68" s="465">
        <f t="shared" si="86"/>
        <v>46.446378957140567</v>
      </c>
      <c r="BA68" s="465">
        <f t="shared" si="86"/>
        <v>44.833806446081169</v>
      </c>
      <c r="BB68" s="465">
        <f t="shared" si="86"/>
        <v>43.120361900389987</v>
      </c>
      <c r="BC68" s="465">
        <f t="shared" si="86"/>
        <v>41.267567225728072</v>
      </c>
      <c r="BD68" s="465">
        <f t="shared" si="86"/>
        <v>39.257518204226301</v>
      </c>
      <c r="BE68" s="465">
        <f t="shared" si="86"/>
        <v>37.165048600579482</v>
      </c>
      <c r="BF68" s="465">
        <f t="shared" si="86"/>
        <v>34.957351346823245</v>
      </c>
      <c r="BG68" s="465">
        <f t="shared" si="86"/>
        <v>32.998112855754329</v>
      </c>
      <c r="BH68" s="465">
        <f t="shared" si="86"/>
        <v>31.750543312953347</v>
      </c>
      <c r="BI68" s="465">
        <f t="shared" si="86"/>
        <v>29.251550394793036</v>
      </c>
      <c r="BJ68" s="465">
        <f t="shared" si="86"/>
        <v>26.604677852910516</v>
      </c>
      <c r="BK68" s="465">
        <f t="shared" si="86"/>
        <v>23.801114708422169</v>
      </c>
      <c r="BL68" s="465">
        <f t="shared" si="86"/>
        <v>20.831523177672235</v>
      </c>
      <c r="BM68" s="465">
        <f t="shared" si="86"/>
        <v>17.686007119554272</v>
      </c>
      <c r="BN68" s="465">
        <f t="shared" si="86"/>
        <v>14.354078591362926</v>
      </c>
      <c r="BO68" s="465">
        <f t="shared" si="86"/>
        <v>10.824622399694867</v>
      </c>
      <c r="BP68" s="465">
        <f t="shared" si="86"/>
        <v>7.0855038360988676</v>
      </c>
      <c r="BQ68" s="465">
        <f t="shared" si="86"/>
        <v>9.4503438719608681</v>
      </c>
    </row>
    <row r="69" spans="1:69" s="80" customFormat="1">
      <c r="B69" s="80" t="s">
        <v>335</v>
      </c>
      <c r="F69" s="617"/>
      <c r="G69" s="624"/>
      <c r="H69" s="630"/>
      <c r="I69" s="630"/>
      <c r="J69" s="630"/>
      <c r="K69" s="630"/>
      <c r="L69" s="630"/>
      <c r="M69" s="630"/>
      <c r="N69" s="630"/>
      <c r="O69" s="618"/>
      <c r="P69" s="630">
        <f t="shared" ref="P69:AA69" si="87">P67+P68</f>
        <v>2.9512042695890406</v>
      </c>
      <c r="Q69" s="630">
        <f t="shared" si="87"/>
        <v>6.2211185902739743</v>
      </c>
      <c r="R69" s="630">
        <f t="shared" si="87"/>
        <v>-0.11193601383561713</v>
      </c>
      <c r="S69" s="630">
        <f t="shared" si="87"/>
        <v>2.9998825773972602</v>
      </c>
      <c r="T69" s="630">
        <f t="shared" si="87"/>
        <v>6.6259574516438358</v>
      </c>
      <c r="U69" s="630">
        <f t="shared" si="87"/>
        <v>-4.7108099732876703</v>
      </c>
      <c r="V69" s="630">
        <f t="shared" si="87"/>
        <v>3.087517584657534</v>
      </c>
      <c r="W69" s="630">
        <f t="shared" si="87"/>
        <v>5.7684239946575353</v>
      </c>
      <c r="X69" s="630">
        <f t="shared" si="87"/>
        <v>-11.942768149041097</v>
      </c>
      <c r="Y69" s="630">
        <f t="shared" si="87"/>
        <v>3.1165598141095883</v>
      </c>
      <c r="Z69" s="630">
        <f t="shared" si="87"/>
        <v>5.7318252384931494</v>
      </c>
      <c r="AA69" s="630">
        <f t="shared" si="87"/>
        <v>4.993588304109589</v>
      </c>
      <c r="AB69" s="618">
        <f>SUM(P69:AA69)</f>
        <v>24.730563688767123</v>
      </c>
      <c r="AC69" s="630">
        <f t="shared" ref="AC69:AN69" si="88">AC67+AC68</f>
        <v>-5.9554579960273966</v>
      </c>
      <c r="AD69" s="630">
        <f t="shared" si="88"/>
        <v>5.5874116060273966</v>
      </c>
      <c r="AE69" s="630">
        <f t="shared" si="88"/>
        <v>-3.9750585590410958</v>
      </c>
      <c r="AF69" s="630">
        <f t="shared" si="88"/>
        <v>3.0470412001369862</v>
      </c>
      <c r="AG69" s="630">
        <f t="shared" si="88"/>
        <v>5.8782115178082188</v>
      </c>
      <c r="AH69" s="630">
        <f t="shared" si="88"/>
        <v>0.84507152972602739</v>
      </c>
      <c r="AI69" s="630">
        <f t="shared" si="88"/>
        <v>3.1254459356164381</v>
      </c>
      <c r="AJ69" s="630">
        <f t="shared" si="88"/>
        <v>5.8861092656164384</v>
      </c>
      <c r="AK69" s="630">
        <f t="shared" si="88"/>
        <v>1.3437856902739727</v>
      </c>
      <c r="AL69" s="630">
        <f t="shared" si="88"/>
        <v>3.1204212261643836</v>
      </c>
      <c r="AM69" s="630">
        <f t="shared" si="88"/>
        <v>5.8159573027397267</v>
      </c>
      <c r="AN69" s="630">
        <f t="shared" si="88"/>
        <v>5.0883391661643831</v>
      </c>
      <c r="AO69" s="618">
        <f>SUM(AC69:AN69)</f>
        <v>29.80727788520548</v>
      </c>
      <c r="AP69" s="617">
        <f>AP67+AP68</f>
        <v>57.776640260000008</v>
      </c>
      <c r="AQ69" s="617">
        <f t="shared" ref="AQ69:BQ69" si="89">AQ67+AQ68</f>
        <v>59.224039747787145</v>
      </c>
      <c r="AR69" s="617">
        <f t="shared" si="89"/>
        <v>59.170707647787147</v>
      </c>
      <c r="AS69" s="617">
        <f t="shared" si="89"/>
        <v>59.169229777787145</v>
      </c>
      <c r="AT69" s="617">
        <f t="shared" si="89"/>
        <v>61.513186527786928</v>
      </c>
      <c r="AU69" s="617">
        <f t="shared" si="89"/>
        <v>101.08016266778712</v>
      </c>
      <c r="AV69" s="617">
        <f t="shared" si="89"/>
        <v>89.866189697787135</v>
      </c>
      <c r="AW69" s="617">
        <f t="shared" si="89"/>
        <v>54.45529874778714</v>
      </c>
      <c r="AX69" s="617">
        <f t="shared" si="89"/>
        <v>-145.54864736221285</v>
      </c>
      <c r="AY69" s="617">
        <f t="shared" si="89"/>
        <v>81.213952245787141</v>
      </c>
      <c r="AZ69" s="617">
        <f t="shared" si="89"/>
        <v>81.175936505787149</v>
      </c>
      <c r="BA69" s="617">
        <f>BA67+BA68</f>
        <v>81.175119675787144</v>
      </c>
      <c r="BB69" s="617">
        <f>BB67+BB68</f>
        <v>81.150349975787137</v>
      </c>
      <c r="BC69" s="617">
        <f>BC67+BC68</f>
        <v>81.143098385787141</v>
      </c>
      <c r="BD69" s="617">
        <f t="shared" si="89"/>
        <v>81.119852645787148</v>
      </c>
      <c r="BE69" s="617">
        <f t="shared" si="89"/>
        <v>81.115916375787151</v>
      </c>
      <c r="BF69" s="617">
        <f t="shared" si="89"/>
        <v>81.112701905787134</v>
      </c>
      <c r="BG69" s="617">
        <f t="shared" si="89"/>
        <v>69.726692343378801</v>
      </c>
      <c r="BH69" s="617">
        <f t="shared" si="89"/>
        <v>74.544842708719813</v>
      </c>
      <c r="BI69" s="617">
        <f t="shared" si="89"/>
        <v>74.544842708719813</v>
      </c>
      <c r="BJ69" s="617">
        <f t="shared" si="89"/>
        <v>74.544842708719813</v>
      </c>
      <c r="BK69" s="617">
        <f t="shared" si="89"/>
        <v>74.544842708719813</v>
      </c>
      <c r="BL69" s="617">
        <f t="shared" si="89"/>
        <v>74.544842708719813</v>
      </c>
      <c r="BM69" s="617">
        <f>BM67+BM68</f>
        <v>74.544842708719827</v>
      </c>
      <c r="BN69" s="617">
        <f t="shared" si="89"/>
        <v>74.544842708719813</v>
      </c>
      <c r="BO69" s="617">
        <f t="shared" si="89"/>
        <v>74.550754210150018</v>
      </c>
      <c r="BP69" s="617">
        <f t="shared" si="89"/>
        <v>-30.878783005195984</v>
      </c>
      <c r="BQ69" s="617">
        <f t="shared" si="89"/>
        <v>166.91127891619783</v>
      </c>
    </row>
    <row r="70" spans="1:69" s="80" customFormat="1">
      <c r="B70" s="80" t="s">
        <v>369</v>
      </c>
      <c r="G70" s="623"/>
      <c r="H70" s="465"/>
      <c r="I70" s="465"/>
      <c r="J70" s="465"/>
      <c r="K70" s="465"/>
      <c r="L70" s="465"/>
      <c r="M70" s="465"/>
      <c r="N70" s="465">
        <f>N64-N67+N66</f>
        <v>882.39903575000005</v>
      </c>
      <c r="O70" s="615"/>
      <c r="P70" s="465">
        <f>P64-P67+P66</f>
        <v>882.39903575000005</v>
      </c>
      <c r="Q70" s="465">
        <f t="shared" ref="Q70:AA70" si="90">Q64-Q67+Q66</f>
        <v>878.89660460000016</v>
      </c>
      <c r="R70" s="465">
        <f t="shared" si="90"/>
        <v>883.95176129000015</v>
      </c>
      <c r="S70" s="465">
        <f t="shared" si="90"/>
        <v>883.95176129000015</v>
      </c>
      <c r="T70" s="465">
        <f t="shared" si="90"/>
        <v>880.42225054000028</v>
      </c>
      <c r="U70" s="465">
        <f t="shared" si="90"/>
        <v>890.02846197000031</v>
      </c>
      <c r="V70" s="465">
        <f t="shared" si="90"/>
        <v>890.02846197000019</v>
      </c>
      <c r="W70" s="465">
        <f t="shared" si="90"/>
        <v>887.35870485000021</v>
      </c>
      <c r="X70" s="465">
        <f t="shared" si="90"/>
        <v>904.25700356000016</v>
      </c>
      <c r="Y70" s="465">
        <f t="shared" si="90"/>
        <v>904.25700356000027</v>
      </c>
      <c r="Z70" s="465">
        <f t="shared" si="90"/>
        <v>901.56675586000028</v>
      </c>
      <c r="AA70" s="465">
        <f t="shared" si="90"/>
        <v>901.67159428000025</v>
      </c>
      <c r="AB70" s="615"/>
      <c r="AC70" s="465">
        <f t="shared" ref="AC70:AN70" si="91">AC64-AC67+AC66</f>
        <v>910.67159428000025</v>
      </c>
      <c r="AD70" s="465">
        <f t="shared" si="91"/>
        <v>907.96070286000031</v>
      </c>
      <c r="AE70" s="465">
        <f t="shared" si="91"/>
        <v>917.02836906000016</v>
      </c>
      <c r="AF70" s="465">
        <f t="shared" si="91"/>
        <v>917.02836906000027</v>
      </c>
      <c r="AG70" s="465">
        <f t="shared" si="91"/>
        <v>914.29603977000033</v>
      </c>
      <c r="AH70" s="465">
        <f t="shared" si="91"/>
        <v>918.50654036000026</v>
      </c>
      <c r="AI70" s="465">
        <f t="shared" si="91"/>
        <v>918.50654036000014</v>
      </c>
      <c r="AJ70" s="465">
        <f t="shared" si="91"/>
        <v>915.75769133000017</v>
      </c>
      <c r="AK70" s="465">
        <f t="shared" si="91"/>
        <v>919.52212220000024</v>
      </c>
      <c r="AL70" s="465">
        <f t="shared" si="91"/>
        <v>919.52212220000035</v>
      </c>
      <c r="AM70" s="465">
        <f t="shared" si="91"/>
        <v>916.75218161000032</v>
      </c>
      <c r="AN70" s="465">
        <f t="shared" si="91"/>
        <v>916.8837809700002</v>
      </c>
      <c r="AO70" s="615"/>
      <c r="AP70" s="80">
        <f t="shared" ref="AP70:BO70" si="92">AP64-AP67+AP65</f>
        <v>904.07733027000029</v>
      </c>
      <c r="AQ70" s="80">
        <f t="shared" si="92"/>
        <v>889.59389139221321</v>
      </c>
      <c r="AR70" s="80">
        <f t="shared" si="92"/>
        <v>874.70881845259237</v>
      </c>
      <c r="AS70" s="80">
        <f t="shared" si="92"/>
        <v>859.39956176668295</v>
      </c>
      <c r="AT70" s="80">
        <f t="shared" si="92"/>
        <v>841.24923474089655</v>
      </c>
      <c r="AU70" s="80">
        <f t="shared" si="92"/>
        <v>781.38930032083636</v>
      </c>
      <c r="AV70" s="80">
        <f t="shared" si="92"/>
        <v>730.14737266597433</v>
      </c>
      <c r="AW70" s="80">
        <f t="shared" si="92"/>
        <v>712.72947664966625</v>
      </c>
      <c r="AX70" s="80">
        <f t="shared" si="92"/>
        <v>894.70801636346914</v>
      </c>
      <c r="AY70" s="80">
        <f t="shared" si="92"/>
        <v>861.50670873468607</v>
      </c>
      <c r="AZ70" s="80">
        <f t="shared" si="92"/>
        <v>826.77715118603953</v>
      </c>
      <c r="BA70" s="80">
        <f t="shared" si="92"/>
        <v>790.43583795633356</v>
      </c>
      <c r="BB70" s="80">
        <f t="shared" si="92"/>
        <v>752.40584988093633</v>
      </c>
      <c r="BC70" s="80">
        <f t="shared" si="92"/>
        <v>712.53031872087729</v>
      </c>
      <c r="BD70" s="80">
        <f t="shared" si="92"/>
        <v>670.66798427931656</v>
      </c>
      <c r="BE70" s="80">
        <f t="shared" si="92"/>
        <v>626.71711650410873</v>
      </c>
      <c r="BF70" s="80">
        <f t="shared" si="92"/>
        <v>580.561765945145</v>
      </c>
      <c r="BG70" s="80">
        <f t="shared" si="92"/>
        <v>543.83318645752036</v>
      </c>
      <c r="BH70" s="80">
        <f t="shared" si="92"/>
        <v>501.038887061754</v>
      </c>
      <c r="BI70" s="80">
        <f t="shared" si="92"/>
        <v>455.7455947478494</v>
      </c>
      <c r="BJ70" s="80">
        <f t="shared" si="92"/>
        <v>407.80542989205821</v>
      </c>
      <c r="BK70" s="80">
        <f t="shared" si="92"/>
        <v>357.06170189173071</v>
      </c>
      <c r="BL70" s="80">
        <f t="shared" si="92"/>
        <v>303.34838236071522</v>
      </c>
      <c r="BM70" s="80">
        <f t="shared" si="92"/>
        <v>246.48954677154785</v>
      </c>
      <c r="BN70" s="80">
        <f>BN64-BN67+BN65</f>
        <v>186.29878265423412</v>
      </c>
      <c r="BO70" s="80">
        <f t="shared" si="92"/>
        <v>122.57265084380154</v>
      </c>
      <c r="BP70" s="80">
        <f>BP64-BP67+BP65</f>
        <v>160.53693768505156</v>
      </c>
      <c r="BQ70" s="80">
        <f>BQ64-BQ67+BQ65</f>
        <v>3.0760026408197803</v>
      </c>
    </row>
    <row r="71" spans="1:69">
      <c r="A71" s="79"/>
      <c r="E71" s="5"/>
      <c r="F71" s="5"/>
      <c r="G71" s="291"/>
      <c r="H71" s="5"/>
      <c r="I71" s="5"/>
      <c r="J71" s="5"/>
      <c r="K71" s="5"/>
      <c r="L71" s="5"/>
      <c r="M71" s="5"/>
      <c r="N71" s="5"/>
      <c r="O71" s="171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171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71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78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:69" s="547" customFormat="1">
      <c r="A72" s="825"/>
      <c r="B72" s="826"/>
      <c r="G72" s="366"/>
      <c r="O72" s="827"/>
      <c r="AB72" s="827"/>
      <c r="AO72" s="827"/>
    </row>
    <row r="73" spans="1:69" s="547" customFormat="1" ht="10.5" customHeight="1">
      <c r="A73" s="825"/>
      <c r="B73" s="828"/>
      <c r="G73" s="366"/>
      <c r="O73" s="827"/>
      <c r="AB73" s="827"/>
      <c r="AO73" s="827"/>
    </row>
    <row r="74" spans="1:69" s="547" customFormat="1" hidden="1">
      <c r="A74" s="825"/>
      <c r="B74" s="450"/>
      <c r="G74" s="366"/>
      <c r="O74" s="827"/>
      <c r="AB74" s="827"/>
      <c r="AO74" s="827"/>
    </row>
    <row r="75" spans="1:69" s="547" customFormat="1" hidden="1">
      <c r="A75" s="825"/>
      <c r="B75" s="450"/>
      <c r="D75" s="829"/>
      <c r="E75" s="830"/>
      <c r="F75" s="831"/>
      <c r="G75" s="832"/>
      <c r="H75" s="831"/>
      <c r="I75" s="831"/>
      <c r="J75" s="831"/>
      <c r="K75" s="831"/>
      <c r="L75" s="831"/>
      <c r="M75" s="831"/>
      <c r="N75" s="831"/>
      <c r="O75" s="833"/>
      <c r="P75" s="834"/>
      <c r="Q75" s="834"/>
      <c r="R75" s="834"/>
      <c r="S75" s="834"/>
      <c r="T75" s="834"/>
      <c r="U75" s="834"/>
      <c r="V75" s="834"/>
      <c r="W75" s="834"/>
      <c r="X75" s="834"/>
      <c r="Y75" s="834"/>
      <c r="Z75" s="834"/>
      <c r="AA75" s="834"/>
      <c r="AB75" s="835"/>
      <c r="AC75" s="834"/>
      <c r="AD75" s="834"/>
      <c r="AE75" s="834"/>
      <c r="AF75" s="834"/>
      <c r="AG75" s="834"/>
      <c r="AH75" s="834"/>
      <c r="AI75" s="834"/>
      <c r="AJ75" s="834"/>
      <c r="AK75" s="834"/>
      <c r="AL75" s="834"/>
      <c r="AM75" s="834"/>
      <c r="AN75" s="834"/>
      <c r="AO75" s="835"/>
      <c r="AP75" s="834"/>
      <c r="AQ75" s="834"/>
      <c r="AR75" s="834"/>
      <c r="AS75" s="834"/>
      <c r="AT75" s="834"/>
      <c r="AU75" s="834"/>
      <c r="AV75" s="834"/>
      <c r="AW75" s="834"/>
      <c r="AX75" s="834"/>
      <c r="AY75" s="834"/>
      <c r="AZ75" s="834"/>
      <c r="BA75" s="834"/>
      <c r="BB75" s="834"/>
      <c r="BC75" s="834"/>
      <c r="BD75" s="834"/>
      <c r="BE75" s="834"/>
      <c r="BF75" s="834"/>
      <c r="BG75" s="834"/>
      <c r="BH75" s="834"/>
      <c r="BI75" s="834"/>
      <c r="BJ75" s="834"/>
      <c r="BK75" s="834"/>
      <c r="BL75" s="834"/>
      <c r="BM75" s="834"/>
      <c r="BN75" s="834"/>
      <c r="BO75" s="834"/>
      <c r="BP75" s="834"/>
      <c r="BQ75" s="834"/>
    </row>
    <row r="76" spans="1:69" s="547" customFormat="1" hidden="1">
      <c r="A76" s="825"/>
      <c r="B76" s="450"/>
      <c r="D76" s="829"/>
      <c r="E76" s="830"/>
      <c r="F76" s="834"/>
      <c r="G76" s="836"/>
      <c r="H76" s="834"/>
      <c r="I76" s="834"/>
      <c r="J76" s="834"/>
      <c r="K76" s="834"/>
      <c r="L76" s="834"/>
      <c r="M76" s="834"/>
      <c r="N76" s="834"/>
      <c r="O76" s="835"/>
      <c r="P76" s="834"/>
      <c r="Q76" s="834"/>
      <c r="R76" s="834"/>
      <c r="S76" s="834"/>
      <c r="T76" s="834"/>
      <c r="U76" s="834"/>
      <c r="V76" s="834"/>
      <c r="W76" s="834"/>
      <c r="X76" s="834"/>
      <c r="Y76" s="834"/>
      <c r="Z76" s="834"/>
      <c r="AA76" s="834"/>
      <c r="AB76" s="835"/>
      <c r="AC76" s="834"/>
      <c r="AD76" s="834"/>
      <c r="AE76" s="834"/>
      <c r="AF76" s="834"/>
      <c r="AG76" s="834"/>
      <c r="AH76" s="834"/>
      <c r="AI76" s="834"/>
      <c r="AJ76" s="834"/>
      <c r="AK76" s="834"/>
      <c r="AL76" s="834"/>
      <c r="AM76" s="834"/>
      <c r="AN76" s="834"/>
      <c r="AO76" s="835"/>
      <c r="AP76" s="834"/>
      <c r="AQ76" s="834"/>
      <c r="AR76" s="834"/>
      <c r="AS76" s="834"/>
      <c r="AT76" s="834"/>
      <c r="AU76" s="834"/>
      <c r="AV76" s="834"/>
      <c r="AW76" s="834"/>
      <c r="AX76" s="834"/>
      <c r="AY76" s="834"/>
      <c r="AZ76" s="834"/>
      <c r="BA76" s="834"/>
      <c r="BB76" s="834"/>
      <c r="BC76" s="834"/>
      <c r="BD76" s="834"/>
      <c r="BE76" s="834"/>
      <c r="BF76" s="834"/>
      <c r="BG76" s="834"/>
      <c r="BH76" s="834"/>
      <c r="BI76" s="834"/>
      <c r="BJ76" s="834"/>
      <c r="BK76" s="834"/>
      <c r="BL76" s="834"/>
      <c r="BM76" s="834"/>
      <c r="BN76" s="834"/>
      <c r="BO76" s="834"/>
      <c r="BP76" s="834"/>
      <c r="BQ76" s="834"/>
    </row>
    <row r="77" spans="1:69" s="547" customFormat="1" hidden="1">
      <c r="A77" s="825"/>
      <c r="B77" s="450"/>
      <c r="D77" s="829"/>
      <c r="E77" s="830"/>
      <c r="F77" s="834"/>
      <c r="G77" s="836"/>
      <c r="H77" s="834"/>
      <c r="I77" s="834"/>
      <c r="J77" s="834"/>
      <c r="K77" s="834"/>
      <c r="L77" s="834"/>
      <c r="M77" s="834"/>
      <c r="N77" s="834"/>
      <c r="O77" s="835"/>
      <c r="P77" s="834"/>
      <c r="Q77" s="834"/>
      <c r="R77" s="834"/>
      <c r="S77" s="834"/>
      <c r="T77" s="834"/>
      <c r="U77" s="834"/>
      <c r="V77" s="834"/>
      <c r="W77" s="834"/>
      <c r="X77" s="834"/>
      <c r="Y77" s="834"/>
      <c r="Z77" s="834"/>
      <c r="AA77" s="834"/>
      <c r="AB77" s="835"/>
      <c r="AC77" s="834"/>
      <c r="AD77" s="834"/>
      <c r="AE77" s="834"/>
      <c r="AF77" s="834"/>
      <c r="AG77" s="834"/>
      <c r="AH77" s="834"/>
      <c r="AI77" s="834"/>
      <c r="AJ77" s="834"/>
      <c r="AK77" s="834"/>
      <c r="AL77" s="834"/>
      <c r="AM77" s="834"/>
      <c r="AN77" s="834"/>
      <c r="AO77" s="835"/>
      <c r="AP77" s="834"/>
      <c r="AQ77" s="834"/>
      <c r="AR77" s="834"/>
      <c r="AS77" s="834"/>
      <c r="AT77" s="834"/>
      <c r="AU77" s="834"/>
      <c r="AV77" s="834"/>
      <c r="AW77" s="834"/>
      <c r="AX77" s="834"/>
      <c r="AY77" s="834"/>
      <c r="AZ77" s="834"/>
      <c r="BA77" s="834"/>
      <c r="BB77" s="834"/>
      <c r="BC77" s="834"/>
      <c r="BD77" s="834"/>
      <c r="BE77" s="834"/>
      <c r="BF77" s="834"/>
      <c r="BG77" s="834"/>
      <c r="BH77" s="834"/>
      <c r="BI77" s="834"/>
      <c r="BJ77" s="834"/>
      <c r="BK77" s="834"/>
      <c r="BL77" s="834"/>
      <c r="BM77" s="834"/>
      <c r="BN77" s="834"/>
      <c r="BO77" s="834"/>
      <c r="BP77" s="834"/>
      <c r="BQ77" s="834"/>
    </row>
    <row r="78" spans="1:69" s="547" customFormat="1" hidden="1">
      <c r="A78" s="825"/>
      <c r="B78" s="450"/>
      <c r="D78" s="829"/>
      <c r="E78" s="830"/>
      <c r="F78" s="834"/>
      <c r="G78" s="836"/>
      <c r="H78" s="834"/>
      <c r="I78" s="834"/>
      <c r="J78" s="834"/>
      <c r="K78" s="834"/>
      <c r="L78" s="834"/>
      <c r="M78" s="834"/>
      <c r="N78" s="834"/>
      <c r="O78" s="835"/>
      <c r="P78" s="834"/>
      <c r="Q78" s="834"/>
      <c r="R78" s="834"/>
      <c r="S78" s="834"/>
      <c r="T78" s="834"/>
      <c r="U78" s="834"/>
      <c r="V78" s="834"/>
      <c r="W78" s="834"/>
      <c r="X78" s="834"/>
      <c r="Y78" s="834"/>
      <c r="Z78" s="834"/>
      <c r="AA78" s="834"/>
      <c r="AB78" s="835"/>
      <c r="AC78" s="834"/>
      <c r="AD78" s="834"/>
      <c r="AE78" s="834"/>
      <c r="AF78" s="834"/>
      <c r="AG78" s="834"/>
      <c r="AH78" s="834"/>
      <c r="AI78" s="834"/>
      <c r="AJ78" s="834"/>
      <c r="AK78" s="834"/>
      <c r="AL78" s="834"/>
      <c r="AM78" s="834"/>
      <c r="AN78" s="834"/>
      <c r="AO78" s="835"/>
      <c r="AP78" s="834"/>
      <c r="AQ78" s="834"/>
      <c r="AR78" s="834"/>
      <c r="AS78" s="834"/>
      <c r="AT78" s="834"/>
      <c r="AU78" s="834"/>
      <c r="AV78" s="834"/>
      <c r="AW78" s="834"/>
      <c r="AX78" s="834"/>
      <c r="AY78" s="834"/>
      <c r="AZ78" s="834"/>
      <c r="BA78" s="834"/>
      <c r="BB78" s="834"/>
      <c r="BC78" s="834"/>
      <c r="BD78" s="834"/>
      <c r="BE78" s="834"/>
      <c r="BF78" s="834"/>
      <c r="BG78" s="834"/>
      <c r="BH78" s="834"/>
      <c r="BI78" s="834"/>
      <c r="BJ78" s="834"/>
      <c r="BK78" s="834"/>
      <c r="BL78" s="834"/>
      <c r="BM78" s="834"/>
      <c r="BN78" s="834"/>
      <c r="BO78" s="834"/>
      <c r="BP78" s="834"/>
      <c r="BQ78" s="834"/>
    </row>
    <row r="79" spans="1:69" s="547" customFormat="1" hidden="1">
      <c r="A79" s="825"/>
      <c r="B79" s="450"/>
      <c r="D79" s="829"/>
      <c r="E79" s="830"/>
      <c r="F79" s="834"/>
      <c r="G79" s="836"/>
      <c r="H79" s="834"/>
      <c r="I79" s="834"/>
      <c r="J79" s="834"/>
      <c r="K79" s="834"/>
      <c r="L79" s="834"/>
      <c r="M79" s="834"/>
      <c r="N79" s="834"/>
      <c r="O79" s="835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5"/>
      <c r="AC79" s="834"/>
      <c r="AD79" s="834"/>
      <c r="AE79" s="834"/>
      <c r="AF79" s="834"/>
      <c r="AG79" s="834"/>
      <c r="AH79" s="834"/>
      <c r="AI79" s="834"/>
      <c r="AJ79" s="834"/>
      <c r="AK79" s="834"/>
      <c r="AL79" s="834"/>
      <c r="AM79" s="834"/>
      <c r="AN79" s="834"/>
      <c r="AO79" s="835"/>
      <c r="AP79" s="834"/>
      <c r="AQ79" s="834"/>
      <c r="AR79" s="834"/>
      <c r="AS79" s="834"/>
      <c r="AT79" s="834"/>
      <c r="AU79" s="834"/>
      <c r="AV79" s="834"/>
      <c r="AW79" s="834"/>
      <c r="AX79" s="834"/>
      <c r="AY79" s="834"/>
      <c r="AZ79" s="834"/>
      <c r="BA79" s="834"/>
      <c r="BB79" s="834"/>
      <c r="BC79" s="834"/>
      <c r="BD79" s="834"/>
      <c r="BE79" s="834"/>
      <c r="BF79" s="834"/>
      <c r="BG79" s="834"/>
      <c r="BH79" s="834"/>
      <c r="BI79" s="834"/>
      <c r="BJ79" s="834"/>
      <c r="BK79" s="834"/>
      <c r="BL79" s="834"/>
      <c r="BM79" s="834"/>
      <c r="BN79" s="834"/>
      <c r="BO79" s="834"/>
      <c r="BP79" s="834"/>
      <c r="BQ79" s="834"/>
    </row>
    <row r="80" spans="1:69" s="547" customFormat="1" hidden="1">
      <c r="A80" s="825"/>
      <c r="B80" s="450"/>
      <c r="D80" s="829"/>
      <c r="E80" s="830"/>
      <c r="F80" s="834"/>
      <c r="G80" s="836"/>
      <c r="H80" s="834"/>
      <c r="I80" s="834"/>
      <c r="J80" s="834"/>
      <c r="K80" s="834"/>
      <c r="L80" s="834"/>
      <c r="M80" s="834"/>
      <c r="N80" s="834"/>
      <c r="O80" s="835"/>
      <c r="P80" s="834"/>
      <c r="Q80" s="834"/>
      <c r="R80" s="834"/>
      <c r="S80" s="834"/>
      <c r="T80" s="834"/>
      <c r="U80" s="834"/>
      <c r="V80" s="834"/>
      <c r="W80" s="834"/>
      <c r="X80" s="834"/>
      <c r="Y80" s="834"/>
      <c r="Z80" s="834"/>
      <c r="AA80" s="834"/>
      <c r="AB80" s="835"/>
      <c r="AC80" s="834"/>
      <c r="AD80" s="834"/>
      <c r="AE80" s="834"/>
      <c r="AF80" s="834"/>
      <c r="AG80" s="834"/>
      <c r="AH80" s="834"/>
      <c r="AI80" s="834"/>
      <c r="AJ80" s="834"/>
      <c r="AK80" s="834"/>
      <c r="AL80" s="834"/>
      <c r="AM80" s="834"/>
      <c r="AN80" s="834"/>
      <c r="AO80" s="835"/>
      <c r="AP80" s="834"/>
      <c r="AQ80" s="834"/>
      <c r="AR80" s="834"/>
      <c r="AS80" s="834"/>
      <c r="AT80" s="834"/>
      <c r="AU80" s="834"/>
      <c r="AV80" s="834"/>
      <c r="AW80" s="834"/>
      <c r="AX80" s="834"/>
      <c r="AY80" s="834"/>
      <c r="AZ80" s="834"/>
      <c r="BA80" s="834"/>
      <c r="BB80" s="834"/>
      <c r="BC80" s="834"/>
      <c r="BD80" s="834"/>
      <c r="BE80" s="834"/>
      <c r="BF80" s="834"/>
      <c r="BG80" s="834"/>
      <c r="BH80" s="834"/>
      <c r="BI80" s="834"/>
      <c r="BJ80" s="834"/>
      <c r="BK80" s="834"/>
      <c r="BL80" s="834"/>
      <c r="BM80" s="834"/>
      <c r="BN80" s="834"/>
      <c r="BO80" s="834"/>
      <c r="BP80" s="834"/>
      <c r="BQ80" s="834"/>
    </row>
    <row r="81" spans="1:69" s="547" customFormat="1" hidden="1">
      <c r="A81" s="825"/>
      <c r="D81" s="829"/>
      <c r="F81" s="834"/>
      <c r="G81" s="836"/>
      <c r="H81" s="834"/>
      <c r="I81" s="834"/>
      <c r="J81" s="834"/>
      <c r="K81" s="834"/>
      <c r="L81" s="834"/>
      <c r="M81" s="834"/>
      <c r="N81" s="834"/>
      <c r="O81" s="835"/>
      <c r="P81" s="834"/>
      <c r="Q81" s="834"/>
      <c r="R81" s="834"/>
      <c r="S81" s="834"/>
      <c r="T81" s="834"/>
      <c r="U81" s="834"/>
      <c r="V81" s="834"/>
      <c r="W81" s="834"/>
      <c r="X81" s="834"/>
      <c r="Y81" s="834"/>
      <c r="Z81" s="834"/>
      <c r="AA81" s="834"/>
      <c r="AB81" s="835"/>
      <c r="AC81" s="834"/>
      <c r="AD81" s="834"/>
      <c r="AE81" s="834"/>
      <c r="AF81" s="834"/>
      <c r="AG81" s="834"/>
      <c r="AH81" s="834"/>
      <c r="AI81" s="834"/>
      <c r="AJ81" s="834"/>
      <c r="AK81" s="834"/>
      <c r="AL81" s="834"/>
      <c r="AM81" s="834"/>
      <c r="AN81" s="834"/>
      <c r="AO81" s="835"/>
      <c r="AP81" s="834"/>
      <c r="AQ81" s="834"/>
      <c r="AR81" s="834"/>
      <c r="AS81" s="834"/>
      <c r="AT81" s="834"/>
      <c r="AU81" s="834"/>
      <c r="AV81" s="834"/>
      <c r="AW81" s="834"/>
      <c r="AX81" s="834"/>
      <c r="AY81" s="834"/>
      <c r="AZ81" s="834"/>
      <c r="BA81" s="834"/>
      <c r="BB81" s="834"/>
      <c r="BC81" s="834"/>
      <c r="BD81" s="834"/>
      <c r="BE81" s="834"/>
      <c r="BF81" s="834"/>
      <c r="BG81" s="834"/>
      <c r="BH81" s="834"/>
      <c r="BI81" s="834"/>
      <c r="BJ81" s="834"/>
      <c r="BK81" s="834"/>
      <c r="BL81" s="834"/>
      <c r="BM81" s="834"/>
      <c r="BN81" s="834"/>
      <c r="BO81" s="834"/>
      <c r="BP81" s="834"/>
      <c r="BQ81" s="834"/>
    </row>
    <row r="82" spans="1:69" s="547" customFormat="1" hidden="1">
      <c r="A82" s="825"/>
      <c r="D82" s="829"/>
      <c r="F82" s="834"/>
      <c r="G82" s="836"/>
      <c r="H82" s="834"/>
      <c r="I82" s="834"/>
      <c r="J82" s="834"/>
      <c r="K82" s="834"/>
      <c r="L82" s="834"/>
      <c r="M82" s="834"/>
      <c r="N82" s="834"/>
      <c r="O82" s="835"/>
      <c r="P82" s="834"/>
      <c r="Q82" s="834"/>
      <c r="R82" s="834"/>
      <c r="S82" s="834"/>
      <c r="T82" s="834"/>
      <c r="U82" s="834"/>
      <c r="V82" s="834"/>
      <c r="W82" s="834"/>
      <c r="X82" s="834"/>
      <c r="Y82" s="834"/>
      <c r="Z82" s="834"/>
      <c r="AA82" s="834"/>
      <c r="AB82" s="835"/>
      <c r="AC82" s="834"/>
      <c r="AD82" s="834"/>
      <c r="AE82" s="834"/>
      <c r="AF82" s="834"/>
      <c r="AG82" s="834"/>
      <c r="AH82" s="834"/>
      <c r="AI82" s="834"/>
      <c r="AJ82" s="834"/>
      <c r="AK82" s="834"/>
      <c r="AL82" s="834"/>
      <c r="AM82" s="834"/>
      <c r="AN82" s="834"/>
      <c r="AO82" s="835"/>
      <c r="AP82" s="834"/>
      <c r="AQ82" s="834"/>
      <c r="AR82" s="834"/>
      <c r="AS82" s="834"/>
      <c r="AT82" s="834"/>
      <c r="AU82" s="834"/>
      <c r="AV82" s="834"/>
      <c r="AW82" s="834"/>
      <c r="AX82" s="834"/>
      <c r="AY82" s="834"/>
      <c r="AZ82" s="834"/>
      <c r="BA82" s="834"/>
      <c r="BB82" s="834"/>
      <c r="BC82" s="834"/>
      <c r="BD82" s="834"/>
      <c r="BE82" s="834"/>
      <c r="BF82" s="834"/>
      <c r="BG82" s="834"/>
      <c r="BH82" s="834"/>
      <c r="BI82" s="834"/>
      <c r="BJ82" s="834"/>
      <c r="BK82" s="834"/>
      <c r="BL82" s="834"/>
      <c r="BM82" s="834"/>
      <c r="BN82" s="834"/>
      <c r="BO82" s="834"/>
      <c r="BP82" s="834"/>
      <c r="BQ82" s="834"/>
    </row>
    <row r="83" spans="1:69" s="547" customFormat="1" hidden="1">
      <c r="A83" s="825"/>
      <c r="B83" s="450"/>
      <c r="D83" s="829"/>
      <c r="E83" s="830"/>
      <c r="F83" s="831"/>
      <c r="G83" s="832"/>
      <c r="H83" s="831"/>
      <c r="I83" s="831"/>
      <c r="J83" s="831"/>
      <c r="K83" s="831"/>
      <c r="L83" s="831"/>
      <c r="M83" s="831"/>
      <c r="N83" s="831"/>
      <c r="O83" s="833"/>
      <c r="P83" s="834"/>
      <c r="Q83" s="834"/>
      <c r="R83" s="834"/>
      <c r="S83" s="834"/>
      <c r="T83" s="834"/>
      <c r="U83" s="834"/>
      <c r="V83" s="834"/>
      <c r="W83" s="834"/>
      <c r="X83" s="834"/>
      <c r="Y83" s="834"/>
      <c r="Z83" s="834"/>
      <c r="AA83" s="834"/>
      <c r="AB83" s="835"/>
      <c r="AC83" s="834"/>
      <c r="AD83" s="834"/>
      <c r="AE83" s="834"/>
      <c r="AF83" s="834"/>
      <c r="AG83" s="834"/>
      <c r="AH83" s="834"/>
      <c r="AI83" s="834"/>
      <c r="AJ83" s="834"/>
      <c r="AK83" s="834"/>
      <c r="AL83" s="834"/>
      <c r="AM83" s="834"/>
      <c r="AN83" s="834"/>
      <c r="AO83" s="835"/>
      <c r="AP83" s="834"/>
      <c r="AQ83" s="834"/>
      <c r="AR83" s="834"/>
      <c r="AS83" s="834"/>
      <c r="AT83" s="834"/>
      <c r="AU83" s="834"/>
      <c r="AV83" s="834"/>
      <c r="AW83" s="834"/>
      <c r="AX83" s="834"/>
      <c r="AY83" s="834"/>
      <c r="AZ83" s="834"/>
      <c r="BA83" s="834"/>
      <c r="BB83" s="834"/>
      <c r="BC83" s="834"/>
      <c r="BD83" s="834"/>
      <c r="BE83" s="834"/>
      <c r="BF83" s="834"/>
      <c r="BG83" s="834"/>
      <c r="BH83" s="834"/>
      <c r="BI83" s="834"/>
      <c r="BJ83" s="834"/>
      <c r="BK83" s="834"/>
      <c r="BL83" s="834"/>
      <c r="BM83" s="834"/>
      <c r="BN83" s="834"/>
      <c r="BO83" s="834"/>
      <c r="BP83" s="834"/>
      <c r="BQ83" s="834"/>
    </row>
    <row r="84" spans="1:69" s="547" customFormat="1" hidden="1">
      <c r="A84" s="825"/>
      <c r="B84" s="450"/>
      <c r="D84" s="829"/>
      <c r="F84" s="834"/>
      <c r="G84" s="836"/>
      <c r="H84" s="834"/>
      <c r="I84" s="834"/>
      <c r="J84" s="834"/>
      <c r="K84" s="834"/>
      <c r="L84" s="834"/>
      <c r="M84" s="834"/>
      <c r="N84" s="834"/>
      <c r="O84" s="835"/>
      <c r="P84" s="834"/>
      <c r="Q84" s="834"/>
      <c r="R84" s="834"/>
      <c r="S84" s="834"/>
      <c r="T84" s="834"/>
      <c r="U84" s="834"/>
      <c r="V84" s="834"/>
      <c r="W84" s="834"/>
      <c r="X84" s="834"/>
      <c r="Y84" s="834"/>
      <c r="Z84" s="834"/>
      <c r="AA84" s="834"/>
      <c r="AB84" s="835"/>
      <c r="AC84" s="834"/>
      <c r="AD84" s="834"/>
      <c r="AE84" s="834"/>
      <c r="AF84" s="834"/>
      <c r="AG84" s="834"/>
      <c r="AH84" s="834"/>
      <c r="AI84" s="834"/>
      <c r="AJ84" s="834"/>
      <c r="AK84" s="834"/>
      <c r="AL84" s="834"/>
      <c r="AM84" s="834"/>
      <c r="AN84" s="834"/>
      <c r="AO84" s="835"/>
      <c r="AP84" s="834"/>
      <c r="AQ84" s="834"/>
      <c r="AR84" s="834"/>
      <c r="AS84" s="834"/>
      <c r="AT84" s="834"/>
      <c r="AU84" s="834"/>
      <c r="AV84" s="834"/>
      <c r="AW84" s="834"/>
      <c r="AX84" s="834"/>
      <c r="AY84" s="834"/>
      <c r="AZ84" s="834"/>
      <c r="BA84" s="834"/>
      <c r="BB84" s="834"/>
      <c r="BC84" s="834"/>
      <c r="BD84" s="834"/>
      <c r="BE84" s="834"/>
      <c r="BF84" s="834"/>
      <c r="BG84" s="834"/>
      <c r="BH84" s="834"/>
      <c r="BI84" s="834"/>
      <c r="BJ84" s="834"/>
      <c r="BK84" s="834"/>
      <c r="BL84" s="834"/>
      <c r="BM84" s="834"/>
      <c r="BN84" s="834"/>
      <c r="BO84" s="834"/>
      <c r="BP84" s="834"/>
      <c r="BQ84" s="834"/>
    </row>
    <row r="85" spans="1:69" s="547" customFormat="1" hidden="1">
      <c r="A85" s="825"/>
      <c r="B85" s="450"/>
      <c r="D85" s="829"/>
      <c r="F85" s="834"/>
      <c r="G85" s="836"/>
      <c r="H85" s="834"/>
      <c r="I85" s="834"/>
      <c r="J85" s="834"/>
      <c r="K85" s="834"/>
      <c r="L85" s="834"/>
      <c r="M85" s="834"/>
      <c r="N85" s="834"/>
      <c r="O85" s="835"/>
      <c r="P85" s="834"/>
      <c r="Q85" s="834"/>
      <c r="R85" s="834"/>
      <c r="S85" s="834"/>
      <c r="T85" s="834"/>
      <c r="U85" s="834"/>
      <c r="V85" s="834"/>
      <c r="W85" s="834"/>
      <c r="X85" s="834"/>
      <c r="Y85" s="834"/>
      <c r="Z85" s="834"/>
      <c r="AA85" s="834"/>
      <c r="AB85" s="835"/>
      <c r="AC85" s="834"/>
      <c r="AD85" s="834"/>
      <c r="AE85" s="834"/>
      <c r="AF85" s="834"/>
      <c r="AG85" s="834"/>
      <c r="AH85" s="834"/>
      <c r="AI85" s="834"/>
      <c r="AJ85" s="834"/>
      <c r="AK85" s="834"/>
      <c r="AL85" s="834"/>
      <c r="AM85" s="834"/>
      <c r="AN85" s="834"/>
      <c r="AO85" s="835"/>
      <c r="AP85" s="834"/>
      <c r="AQ85" s="834"/>
      <c r="AR85" s="834"/>
      <c r="AS85" s="834"/>
      <c r="AT85" s="834"/>
      <c r="AU85" s="834"/>
      <c r="AV85" s="834"/>
      <c r="AW85" s="834"/>
      <c r="AX85" s="834"/>
      <c r="AY85" s="834"/>
      <c r="AZ85" s="834"/>
      <c r="BA85" s="834"/>
      <c r="BB85" s="834"/>
      <c r="BC85" s="834"/>
      <c r="BD85" s="834"/>
      <c r="BE85" s="834"/>
      <c r="BF85" s="834"/>
      <c r="BG85" s="834"/>
      <c r="BH85" s="834"/>
      <c r="BI85" s="834"/>
      <c r="BJ85" s="834"/>
      <c r="BK85" s="834"/>
      <c r="BL85" s="834"/>
      <c r="BM85" s="834"/>
      <c r="BN85" s="834"/>
      <c r="BO85" s="834"/>
      <c r="BP85" s="834"/>
      <c r="BQ85" s="834"/>
    </row>
    <row r="86" spans="1:69" s="547" customFormat="1" hidden="1">
      <c r="A86" s="825"/>
      <c r="B86" s="450"/>
      <c r="D86" s="829"/>
      <c r="F86" s="834"/>
      <c r="G86" s="836"/>
      <c r="H86" s="834"/>
      <c r="I86" s="834"/>
      <c r="J86" s="834"/>
      <c r="K86" s="834"/>
      <c r="L86" s="834"/>
      <c r="M86" s="834"/>
      <c r="N86" s="834"/>
      <c r="O86" s="835"/>
      <c r="P86" s="834"/>
      <c r="Q86" s="834"/>
      <c r="R86" s="834"/>
      <c r="S86" s="834"/>
      <c r="T86" s="834"/>
      <c r="U86" s="834"/>
      <c r="V86" s="834"/>
      <c r="W86" s="834"/>
      <c r="X86" s="834"/>
      <c r="Y86" s="834"/>
      <c r="Z86" s="834"/>
      <c r="AA86" s="834"/>
      <c r="AB86" s="835"/>
      <c r="AC86" s="834"/>
      <c r="AD86" s="834"/>
      <c r="AE86" s="834"/>
      <c r="AF86" s="834"/>
      <c r="AG86" s="834"/>
      <c r="AH86" s="834"/>
      <c r="AI86" s="834"/>
      <c r="AJ86" s="834"/>
      <c r="AK86" s="834"/>
      <c r="AL86" s="834"/>
      <c r="AM86" s="834"/>
      <c r="AN86" s="834"/>
      <c r="AO86" s="835"/>
      <c r="AP86" s="834"/>
      <c r="AQ86" s="834"/>
      <c r="AR86" s="834"/>
      <c r="AS86" s="834"/>
      <c r="AT86" s="834"/>
      <c r="AU86" s="834"/>
      <c r="AV86" s="834"/>
      <c r="AW86" s="834"/>
      <c r="AX86" s="834"/>
      <c r="AY86" s="834"/>
      <c r="AZ86" s="834"/>
      <c r="BA86" s="834"/>
      <c r="BB86" s="834"/>
      <c r="BC86" s="834"/>
      <c r="BD86" s="834"/>
      <c r="BE86" s="834"/>
      <c r="BF86" s="834"/>
      <c r="BG86" s="834"/>
      <c r="BH86" s="834"/>
      <c r="BI86" s="834"/>
      <c r="BJ86" s="834"/>
      <c r="BK86" s="834"/>
      <c r="BL86" s="834"/>
      <c r="BM86" s="834"/>
      <c r="BN86" s="834"/>
      <c r="BO86" s="834"/>
      <c r="BP86" s="834"/>
      <c r="BQ86" s="834"/>
    </row>
    <row r="87" spans="1:69" s="547" customFormat="1" hidden="1">
      <c r="A87" s="825"/>
      <c r="B87" s="450"/>
      <c r="D87" s="829"/>
      <c r="F87" s="834"/>
      <c r="G87" s="836"/>
      <c r="H87" s="834"/>
      <c r="I87" s="834"/>
      <c r="J87" s="834"/>
      <c r="K87" s="834"/>
      <c r="L87" s="834"/>
      <c r="M87" s="834"/>
      <c r="N87" s="834"/>
      <c r="O87" s="835"/>
      <c r="P87" s="834"/>
      <c r="Q87" s="834"/>
      <c r="R87" s="834"/>
      <c r="S87" s="834"/>
      <c r="T87" s="834"/>
      <c r="U87" s="834"/>
      <c r="V87" s="834"/>
      <c r="W87" s="834"/>
      <c r="X87" s="834"/>
      <c r="Y87" s="834"/>
      <c r="Z87" s="834"/>
      <c r="AA87" s="834"/>
      <c r="AB87" s="835"/>
      <c r="AC87" s="834"/>
      <c r="AD87" s="834"/>
      <c r="AE87" s="834"/>
      <c r="AF87" s="834"/>
      <c r="AG87" s="834"/>
      <c r="AH87" s="834"/>
      <c r="AI87" s="834"/>
      <c r="AJ87" s="834"/>
      <c r="AK87" s="834"/>
      <c r="AL87" s="834"/>
      <c r="AM87" s="834"/>
      <c r="AN87" s="834"/>
      <c r="AO87" s="835"/>
      <c r="AP87" s="834"/>
      <c r="AQ87" s="834"/>
      <c r="AR87" s="834"/>
      <c r="AS87" s="834"/>
      <c r="AT87" s="834"/>
      <c r="AU87" s="834"/>
      <c r="AV87" s="834"/>
      <c r="AW87" s="834"/>
      <c r="AX87" s="834"/>
      <c r="AY87" s="834"/>
      <c r="AZ87" s="834"/>
      <c r="BA87" s="834"/>
      <c r="BB87" s="834"/>
      <c r="BC87" s="834"/>
      <c r="BD87" s="834"/>
      <c r="BE87" s="834"/>
      <c r="BF87" s="834"/>
      <c r="BG87" s="834"/>
      <c r="BH87" s="834"/>
      <c r="BI87" s="834"/>
      <c r="BJ87" s="834"/>
      <c r="BK87" s="834"/>
      <c r="BL87" s="834"/>
      <c r="BM87" s="834"/>
      <c r="BN87" s="834"/>
      <c r="BO87" s="834"/>
      <c r="BP87" s="834"/>
      <c r="BQ87" s="834"/>
    </row>
    <row r="88" spans="1:69" s="547" customFormat="1" hidden="1">
      <c r="A88" s="825"/>
      <c r="B88" s="450"/>
      <c r="D88" s="829"/>
      <c r="E88" s="830"/>
      <c r="F88" s="834"/>
      <c r="G88" s="836"/>
      <c r="H88" s="834"/>
      <c r="I88" s="834"/>
      <c r="J88" s="834"/>
      <c r="K88" s="834"/>
      <c r="L88" s="834"/>
      <c r="M88" s="834"/>
      <c r="N88" s="834"/>
      <c r="O88" s="835"/>
      <c r="P88" s="834"/>
      <c r="Q88" s="834"/>
      <c r="R88" s="834"/>
      <c r="S88" s="834"/>
      <c r="T88" s="834"/>
      <c r="U88" s="834"/>
      <c r="V88" s="834"/>
      <c r="W88" s="834"/>
      <c r="X88" s="834"/>
      <c r="Y88" s="834"/>
      <c r="Z88" s="834"/>
      <c r="AA88" s="834"/>
      <c r="AB88" s="835"/>
      <c r="AC88" s="834"/>
      <c r="AD88" s="834"/>
      <c r="AE88" s="834"/>
      <c r="AF88" s="834"/>
      <c r="AG88" s="834"/>
      <c r="AH88" s="834"/>
      <c r="AI88" s="834"/>
      <c r="AJ88" s="834"/>
      <c r="AK88" s="834"/>
      <c r="AL88" s="834"/>
      <c r="AM88" s="834"/>
      <c r="AN88" s="834"/>
      <c r="AO88" s="835"/>
      <c r="AP88" s="834"/>
      <c r="AQ88" s="834"/>
      <c r="AR88" s="834"/>
      <c r="AS88" s="834"/>
      <c r="AT88" s="834"/>
      <c r="AU88" s="834"/>
      <c r="AV88" s="834"/>
      <c r="AW88" s="834"/>
      <c r="AX88" s="834"/>
      <c r="AY88" s="834"/>
      <c r="AZ88" s="834"/>
      <c r="BA88" s="834"/>
      <c r="BB88" s="834"/>
      <c r="BC88" s="834"/>
      <c r="BD88" s="834"/>
      <c r="BE88" s="834"/>
      <c r="BF88" s="834"/>
      <c r="BG88" s="834"/>
      <c r="BH88" s="834"/>
      <c r="BI88" s="834"/>
      <c r="BJ88" s="834"/>
      <c r="BK88" s="834"/>
      <c r="BL88" s="834"/>
      <c r="BM88" s="834"/>
      <c r="BN88" s="834"/>
      <c r="BO88" s="834"/>
      <c r="BP88" s="834"/>
      <c r="BQ88" s="834"/>
    </row>
    <row r="89" spans="1:69" s="547" customFormat="1" hidden="1">
      <c r="A89" s="825"/>
      <c r="D89" s="829"/>
      <c r="F89" s="834"/>
      <c r="G89" s="836"/>
      <c r="H89" s="834"/>
      <c r="I89" s="834"/>
      <c r="J89" s="834"/>
      <c r="K89" s="834"/>
      <c r="L89" s="834"/>
      <c r="M89" s="834"/>
      <c r="N89" s="834"/>
      <c r="O89" s="835"/>
      <c r="P89" s="834"/>
      <c r="Q89" s="834"/>
      <c r="R89" s="834"/>
      <c r="S89" s="834"/>
      <c r="T89" s="834"/>
      <c r="U89" s="834"/>
      <c r="V89" s="834"/>
      <c r="W89" s="834"/>
      <c r="X89" s="834"/>
      <c r="Y89" s="834"/>
      <c r="Z89" s="834"/>
      <c r="AA89" s="834"/>
      <c r="AB89" s="835"/>
      <c r="AC89" s="834"/>
      <c r="AD89" s="834"/>
      <c r="AE89" s="834"/>
      <c r="AF89" s="834"/>
      <c r="AG89" s="834"/>
      <c r="AH89" s="834"/>
      <c r="AI89" s="834"/>
      <c r="AJ89" s="834"/>
      <c r="AK89" s="834"/>
      <c r="AL89" s="834"/>
      <c r="AM89" s="834"/>
      <c r="AN89" s="834"/>
      <c r="AO89" s="835"/>
      <c r="AP89" s="834"/>
      <c r="AQ89" s="834"/>
      <c r="AR89" s="834"/>
      <c r="AS89" s="834"/>
      <c r="AT89" s="834"/>
      <c r="AU89" s="834"/>
      <c r="AV89" s="834"/>
      <c r="AW89" s="834"/>
      <c r="AX89" s="834"/>
      <c r="AY89" s="834"/>
      <c r="AZ89" s="834"/>
      <c r="BA89" s="834"/>
      <c r="BB89" s="834"/>
      <c r="BC89" s="834"/>
      <c r="BD89" s="834"/>
      <c r="BE89" s="834"/>
      <c r="BF89" s="834"/>
      <c r="BG89" s="834"/>
      <c r="BH89" s="834"/>
      <c r="BI89" s="834"/>
      <c r="BJ89" s="834"/>
      <c r="BK89" s="834"/>
      <c r="BL89" s="834"/>
      <c r="BM89" s="834"/>
      <c r="BN89" s="834"/>
      <c r="BO89" s="834"/>
      <c r="BP89" s="834"/>
      <c r="BQ89" s="834"/>
    </row>
    <row r="90" spans="1:69" s="547" customFormat="1" hidden="1">
      <c r="A90" s="825"/>
      <c r="D90" s="829"/>
      <c r="F90" s="834"/>
      <c r="G90" s="836"/>
      <c r="H90" s="834"/>
      <c r="I90" s="834"/>
      <c r="J90" s="834"/>
      <c r="K90" s="834"/>
      <c r="L90" s="834"/>
      <c r="M90" s="834"/>
      <c r="N90" s="834"/>
      <c r="O90" s="835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  <c r="AC90" s="834"/>
      <c r="AD90" s="834"/>
      <c r="AE90" s="834"/>
      <c r="AF90" s="834"/>
      <c r="AG90" s="834"/>
      <c r="AH90" s="834"/>
      <c r="AI90" s="834"/>
      <c r="AJ90" s="834"/>
      <c r="AK90" s="834"/>
      <c r="AL90" s="834"/>
      <c r="AM90" s="834"/>
      <c r="AN90" s="834"/>
      <c r="AO90" s="835"/>
      <c r="AP90" s="834"/>
      <c r="AQ90" s="834"/>
      <c r="AR90" s="834"/>
      <c r="AS90" s="834"/>
      <c r="AT90" s="834"/>
      <c r="AU90" s="834"/>
      <c r="AV90" s="834"/>
      <c r="AW90" s="834"/>
      <c r="AX90" s="834"/>
      <c r="AY90" s="834"/>
      <c r="AZ90" s="834"/>
      <c r="BA90" s="834"/>
      <c r="BB90" s="834"/>
      <c r="BC90" s="834"/>
      <c r="BD90" s="834"/>
      <c r="BE90" s="834"/>
      <c r="BF90" s="834"/>
      <c r="BG90" s="834"/>
      <c r="BH90" s="834"/>
      <c r="BI90" s="834"/>
      <c r="BJ90" s="834"/>
      <c r="BK90" s="834"/>
      <c r="BL90" s="834"/>
      <c r="BM90" s="834"/>
      <c r="BN90" s="834"/>
      <c r="BO90" s="834"/>
      <c r="BP90" s="834"/>
      <c r="BQ90" s="834"/>
    </row>
    <row r="91" spans="1:69" s="547" customFormat="1" hidden="1">
      <c r="A91" s="825"/>
      <c r="B91" s="450"/>
      <c r="D91" s="829"/>
      <c r="E91" s="834"/>
      <c r="F91" s="834"/>
      <c r="G91" s="836"/>
      <c r="H91" s="834"/>
      <c r="I91" s="834"/>
      <c r="J91" s="834"/>
      <c r="K91" s="834"/>
      <c r="L91" s="834"/>
      <c r="M91" s="834"/>
      <c r="N91" s="834"/>
      <c r="O91" s="835"/>
      <c r="P91" s="834"/>
      <c r="Q91" s="834"/>
      <c r="R91" s="834"/>
      <c r="S91" s="834"/>
      <c r="T91" s="834"/>
      <c r="U91" s="834"/>
      <c r="V91" s="834"/>
      <c r="W91" s="834"/>
      <c r="X91" s="834"/>
      <c r="Y91" s="834"/>
      <c r="Z91" s="834"/>
      <c r="AA91" s="834"/>
      <c r="AB91" s="835"/>
      <c r="AC91" s="834"/>
      <c r="AD91" s="834"/>
      <c r="AE91" s="834"/>
      <c r="AF91" s="834"/>
      <c r="AG91" s="834"/>
      <c r="AH91" s="834"/>
      <c r="AI91" s="834"/>
      <c r="AJ91" s="834"/>
      <c r="AK91" s="834"/>
      <c r="AL91" s="834"/>
      <c r="AM91" s="834"/>
      <c r="AN91" s="834"/>
      <c r="AO91" s="835"/>
      <c r="AP91" s="834"/>
      <c r="AQ91" s="834"/>
      <c r="AR91" s="834"/>
      <c r="AS91" s="834"/>
      <c r="AT91" s="834"/>
      <c r="AU91" s="834"/>
      <c r="AV91" s="834"/>
      <c r="AW91" s="834"/>
      <c r="AX91" s="834"/>
      <c r="AY91" s="834"/>
      <c r="AZ91" s="834"/>
      <c r="BA91" s="834"/>
      <c r="BB91" s="834"/>
      <c r="BC91" s="834"/>
      <c r="BD91" s="834"/>
      <c r="BE91" s="834"/>
      <c r="BF91" s="834"/>
      <c r="BG91" s="834"/>
      <c r="BH91" s="834"/>
      <c r="BI91" s="834"/>
      <c r="BJ91" s="834"/>
      <c r="BK91" s="834"/>
      <c r="BL91" s="834"/>
      <c r="BM91" s="834"/>
      <c r="BN91" s="834"/>
      <c r="BO91" s="834"/>
      <c r="BP91" s="834"/>
      <c r="BQ91" s="834"/>
    </row>
    <row r="92" spans="1:69" s="547" customFormat="1" hidden="1">
      <c r="A92" s="825"/>
      <c r="B92" s="450"/>
      <c r="D92" s="829"/>
      <c r="E92" s="834"/>
      <c r="F92" s="834"/>
      <c r="G92" s="836"/>
      <c r="H92" s="834"/>
      <c r="I92" s="834"/>
      <c r="J92" s="834"/>
      <c r="K92" s="834"/>
      <c r="L92" s="834"/>
      <c r="M92" s="834"/>
      <c r="N92" s="834"/>
      <c r="O92" s="835"/>
      <c r="P92" s="834"/>
      <c r="Q92" s="834"/>
      <c r="R92" s="834"/>
      <c r="S92" s="834"/>
      <c r="T92" s="834"/>
      <c r="U92" s="834"/>
      <c r="V92" s="834"/>
      <c r="W92" s="834"/>
      <c r="X92" s="834"/>
      <c r="Y92" s="834"/>
      <c r="Z92" s="834"/>
      <c r="AA92" s="834"/>
      <c r="AB92" s="835"/>
      <c r="AC92" s="834"/>
      <c r="AD92" s="834"/>
      <c r="AE92" s="834"/>
      <c r="AF92" s="834"/>
      <c r="AG92" s="834"/>
      <c r="AH92" s="834"/>
      <c r="AI92" s="834"/>
      <c r="AJ92" s="834"/>
      <c r="AK92" s="834"/>
      <c r="AL92" s="834"/>
      <c r="AM92" s="834"/>
      <c r="AN92" s="834"/>
      <c r="AO92" s="835"/>
      <c r="AP92" s="834"/>
      <c r="AQ92" s="834"/>
      <c r="AR92" s="834"/>
      <c r="AS92" s="834"/>
      <c r="AT92" s="834"/>
      <c r="AU92" s="834"/>
      <c r="AV92" s="834"/>
      <c r="AW92" s="834"/>
      <c r="AX92" s="834"/>
      <c r="AY92" s="834"/>
      <c r="AZ92" s="834"/>
      <c r="BA92" s="834"/>
      <c r="BB92" s="834"/>
      <c r="BC92" s="834"/>
      <c r="BD92" s="834"/>
      <c r="BE92" s="834"/>
      <c r="BF92" s="834"/>
      <c r="BG92" s="834"/>
      <c r="BH92" s="834"/>
      <c r="BI92" s="834"/>
      <c r="BJ92" s="834"/>
      <c r="BK92" s="834"/>
      <c r="BL92" s="834"/>
      <c r="BM92" s="834"/>
      <c r="BN92" s="834"/>
      <c r="BO92" s="834"/>
      <c r="BP92" s="834"/>
      <c r="BQ92" s="834"/>
    </row>
    <row r="93" spans="1:69" s="547" customFormat="1" hidden="1">
      <c r="A93" s="825"/>
      <c r="B93" s="450"/>
      <c r="E93" s="834"/>
      <c r="F93" s="834"/>
      <c r="G93" s="836"/>
      <c r="H93" s="834"/>
      <c r="I93" s="834"/>
      <c r="J93" s="834"/>
      <c r="K93" s="834"/>
      <c r="L93" s="834"/>
      <c r="M93" s="834"/>
      <c r="N93" s="834"/>
      <c r="O93" s="835"/>
      <c r="P93" s="834"/>
      <c r="Q93" s="834"/>
      <c r="R93" s="834"/>
      <c r="S93" s="834"/>
      <c r="T93" s="834"/>
      <c r="U93" s="834"/>
      <c r="V93" s="834"/>
      <c r="W93" s="834"/>
      <c r="X93" s="834"/>
      <c r="Y93" s="834"/>
      <c r="Z93" s="834"/>
      <c r="AA93" s="834"/>
      <c r="AB93" s="835"/>
      <c r="AC93" s="834"/>
      <c r="AD93" s="834"/>
      <c r="AE93" s="834"/>
      <c r="AF93" s="834"/>
      <c r="AG93" s="834"/>
      <c r="AH93" s="834"/>
      <c r="AI93" s="834"/>
      <c r="AJ93" s="834"/>
      <c r="AK93" s="834"/>
      <c r="AL93" s="834"/>
      <c r="AM93" s="834"/>
      <c r="AN93" s="834"/>
      <c r="AO93" s="835"/>
      <c r="AP93" s="834"/>
      <c r="AQ93" s="834"/>
      <c r="AR93" s="834"/>
      <c r="AS93" s="834"/>
      <c r="AT93" s="834"/>
      <c r="AU93" s="834"/>
      <c r="AV93" s="834"/>
      <c r="AW93" s="834"/>
      <c r="AX93" s="834"/>
      <c r="AY93" s="834"/>
      <c r="AZ93" s="834"/>
      <c r="BA93" s="834"/>
      <c r="BB93" s="834"/>
      <c r="BC93" s="834"/>
      <c r="BD93" s="834"/>
      <c r="BE93" s="834"/>
      <c r="BF93" s="834"/>
      <c r="BG93" s="834"/>
      <c r="BH93" s="834"/>
      <c r="BI93" s="834"/>
      <c r="BJ93" s="834"/>
      <c r="BK93" s="834"/>
      <c r="BL93" s="834"/>
      <c r="BM93" s="834"/>
      <c r="BN93" s="834"/>
      <c r="BO93" s="834"/>
      <c r="BP93" s="834"/>
      <c r="BQ93" s="834"/>
    </row>
    <row r="94" spans="1:69" s="547" customFormat="1" hidden="1">
      <c r="A94" s="825"/>
      <c r="B94" s="450"/>
      <c r="E94" s="834"/>
      <c r="F94" s="834"/>
      <c r="G94" s="836"/>
      <c r="H94" s="834"/>
      <c r="I94" s="834"/>
      <c r="J94" s="834"/>
      <c r="K94" s="834"/>
      <c r="L94" s="834"/>
      <c r="M94" s="834"/>
      <c r="N94" s="834"/>
      <c r="O94" s="835"/>
      <c r="P94" s="834"/>
      <c r="Q94" s="834"/>
      <c r="R94" s="834"/>
      <c r="S94" s="834"/>
      <c r="T94" s="834"/>
      <c r="U94" s="834"/>
      <c r="V94" s="834"/>
      <c r="W94" s="834"/>
      <c r="X94" s="834"/>
      <c r="Y94" s="834"/>
      <c r="Z94" s="834"/>
      <c r="AA94" s="834"/>
      <c r="AB94" s="835"/>
      <c r="AC94" s="834"/>
      <c r="AD94" s="834"/>
      <c r="AE94" s="834"/>
      <c r="AF94" s="834"/>
      <c r="AG94" s="834"/>
      <c r="AH94" s="834"/>
      <c r="AI94" s="834"/>
      <c r="AJ94" s="834"/>
      <c r="AK94" s="834"/>
      <c r="AL94" s="834"/>
      <c r="AM94" s="834"/>
      <c r="AN94" s="834"/>
      <c r="AO94" s="835"/>
      <c r="AP94" s="834"/>
      <c r="AQ94" s="834"/>
      <c r="AR94" s="834"/>
      <c r="AS94" s="834"/>
      <c r="AT94" s="834"/>
      <c r="AU94" s="834"/>
      <c r="AV94" s="834"/>
      <c r="AW94" s="834"/>
      <c r="AX94" s="834"/>
      <c r="AY94" s="834"/>
      <c r="AZ94" s="834"/>
      <c r="BA94" s="834"/>
      <c r="BB94" s="834"/>
      <c r="BC94" s="834"/>
      <c r="BD94" s="834"/>
      <c r="BE94" s="834"/>
      <c r="BF94" s="834"/>
      <c r="BG94" s="834"/>
      <c r="BH94" s="834"/>
      <c r="BI94" s="834"/>
      <c r="BJ94" s="834"/>
      <c r="BK94" s="834"/>
      <c r="BL94" s="834"/>
      <c r="BM94" s="834"/>
      <c r="BN94" s="834"/>
      <c r="BO94" s="834"/>
      <c r="BP94" s="834"/>
      <c r="BQ94" s="834"/>
    </row>
    <row r="95" spans="1:69" s="547" customFormat="1" hidden="1">
      <c r="A95" s="825"/>
      <c r="B95" s="450"/>
      <c r="E95" s="834"/>
      <c r="F95" s="834"/>
      <c r="G95" s="836"/>
      <c r="H95" s="834"/>
      <c r="I95" s="834"/>
      <c r="J95" s="834"/>
      <c r="K95" s="834"/>
      <c r="L95" s="834"/>
      <c r="M95" s="834"/>
      <c r="N95" s="834"/>
      <c r="O95" s="835"/>
      <c r="P95" s="834"/>
      <c r="Q95" s="834"/>
      <c r="R95" s="834"/>
      <c r="S95" s="834"/>
      <c r="T95" s="834"/>
      <c r="U95" s="834"/>
      <c r="V95" s="834"/>
      <c r="W95" s="834"/>
      <c r="X95" s="834"/>
      <c r="Y95" s="834"/>
      <c r="Z95" s="834"/>
      <c r="AA95" s="834"/>
      <c r="AB95" s="835"/>
      <c r="AC95" s="834"/>
      <c r="AD95" s="834"/>
      <c r="AE95" s="834"/>
      <c r="AF95" s="834"/>
      <c r="AG95" s="834"/>
      <c r="AH95" s="834"/>
      <c r="AI95" s="834"/>
      <c r="AJ95" s="834"/>
      <c r="AK95" s="834"/>
      <c r="AL95" s="834"/>
      <c r="AM95" s="834"/>
      <c r="AN95" s="834"/>
      <c r="AO95" s="835"/>
      <c r="AP95" s="834"/>
      <c r="AQ95" s="834"/>
      <c r="AR95" s="834"/>
      <c r="AS95" s="834"/>
      <c r="AT95" s="834"/>
      <c r="AU95" s="834"/>
      <c r="AV95" s="834"/>
      <c r="AW95" s="834"/>
      <c r="AX95" s="834"/>
      <c r="AY95" s="834"/>
      <c r="AZ95" s="834"/>
      <c r="BA95" s="834"/>
      <c r="BB95" s="834"/>
      <c r="BC95" s="834"/>
      <c r="BD95" s="834"/>
      <c r="BE95" s="834"/>
      <c r="BF95" s="834"/>
      <c r="BG95" s="834"/>
      <c r="BH95" s="834"/>
      <c r="BI95" s="834"/>
      <c r="BJ95" s="834"/>
      <c r="BK95" s="834"/>
      <c r="BL95" s="834"/>
      <c r="BM95" s="834"/>
      <c r="BN95" s="834"/>
      <c r="BO95" s="834"/>
      <c r="BP95" s="834"/>
      <c r="BQ95" s="834"/>
    </row>
    <row r="96" spans="1:69" s="547" customFormat="1" hidden="1">
      <c r="A96" s="825"/>
      <c r="B96" s="450"/>
      <c r="D96" s="830"/>
      <c r="E96" s="834"/>
      <c r="F96" s="834"/>
      <c r="G96" s="836"/>
      <c r="H96" s="834"/>
      <c r="I96" s="834"/>
      <c r="J96" s="834"/>
      <c r="K96" s="834"/>
      <c r="L96" s="834"/>
      <c r="M96" s="834"/>
      <c r="N96" s="834"/>
      <c r="O96" s="835"/>
      <c r="P96" s="834"/>
      <c r="Q96" s="834"/>
      <c r="R96" s="834"/>
      <c r="S96" s="834"/>
      <c r="T96" s="834"/>
      <c r="U96" s="834"/>
      <c r="V96" s="834"/>
      <c r="W96" s="834"/>
      <c r="X96" s="834"/>
      <c r="Y96" s="834"/>
      <c r="Z96" s="834"/>
      <c r="AA96" s="834"/>
      <c r="AB96" s="835"/>
      <c r="AC96" s="834"/>
      <c r="AD96" s="834"/>
      <c r="AE96" s="834"/>
      <c r="AF96" s="834"/>
      <c r="AG96" s="834"/>
      <c r="AH96" s="834"/>
      <c r="AI96" s="834"/>
      <c r="AJ96" s="834"/>
      <c r="AK96" s="834"/>
      <c r="AL96" s="834"/>
      <c r="AM96" s="834"/>
      <c r="AN96" s="834"/>
      <c r="AO96" s="835"/>
      <c r="AP96" s="834"/>
      <c r="AQ96" s="834"/>
      <c r="AR96" s="834"/>
      <c r="AS96" s="834"/>
      <c r="AT96" s="834"/>
      <c r="AU96" s="834"/>
      <c r="AV96" s="834"/>
      <c r="AW96" s="834"/>
      <c r="AX96" s="834"/>
      <c r="AY96" s="834"/>
      <c r="AZ96" s="834"/>
      <c r="BA96" s="834"/>
      <c r="BB96" s="834"/>
      <c r="BC96" s="834"/>
      <c r="BD96" s="834"/>
      <c r="BE96" s="834"/>
      <c r="BF96" s="834"/>
      <c r="BG96" s="834"/>
      <c r="BH96" s="834"/>
      <c r="BI96" s="834"/>
      <c r="BJ96" s="834"/>
      <c r="BK96" s="834"/>
      <c r="BL96" s="834"/>
      <c r="BM96" s="834"/>
      <c r="BN96" s="834"/>
      <c r="BO96" s="834"/>
      <c r="BP96" s="834"/>
      <c r="BQ96" s="834"/>
    </row>
    <row r="97" spans="1:69" s="547" customFormat="1" hidden="1">
      <c r="A97" s="825"/>
      <c r="F97" s="834"/>
      <c r="G97" s="836"/>
      <c r="H97" s="834"/>
      <c r="I97" s="834"/>
      <c r="J97" s="834"/>
      <c r="K97" s="834"/>
      <c r="L97" s="834"/>
      <c r="M97" s="834"/>
      <c r="N97" s="834"/>
      <c r="O97" s="835"/>
      <c r="P97" s="834"/>
      <c r="Q97" s="834"/>
      <c r="R97" s="834"/>
      <c r="S97" s="834"/>
      <c r="T97" s="834"/>
      <c r="U97" s="834"/>
      <c r="V97" s="834"/>
      <c r="W97" s="834"/>
      <c r="X97" s="834"/>
      <c r="Y97" s="834"/>
      <c r="Z97" s="834"/>
      <c r="AA97" s="834"/>
      <c r="AB97" s="835"/>
      <c r="AC97" s="834"/>
      <c r="AD97" s="834"/>
      <c r="AE97" s="834"/>
      <c r="AF97" s="834"/>
      <c r="AG97" s="834"/>
      <c r="AH97" s="834"/>
      <c r="AI97" s="834"/>
      <c r="AJ97" s="834"/>
      <c r="AK97" s="834"/>
      <c r="AL97" s="834"/>
      <c r="AM97" s="834"/>
      <c r="AN97" s="834"/>
      <c r="AO97" s="835"/>
      <c r="AP97" s="834"/>
      <c r="AQ97" s="834"/>
      <c r="AR97" s="834"/>
      <c r="AS97" s="834"/>
      <c r="AT97" s="834"/>
      <c r="AU97" s="834"/>
      <c r="AV97" s="834"/>
      <c r="AW97" s="834"/>
      <c r="AX97" s="834"/>
      <c r="AY97" s="834"/>
      <c r="AZ97" s="834"/>
      <c r="BA97" s="834"/>
      <c r="BB97" s="834"/>
      <c r="BC97" s="834"/>
      <c r="BD97" s="834"/>
      <c r="BE97" s="834"/>
      <c r="BF97" s="834"/>
      <c r="BG97" s="834"/>
      <c r="BH97" s="834"/>
      <c r="BI97" s="834"/>
      <c r="BJ97" s="834"/>
      <c r="BK97" s="834"/>
      <c r="BL97" s="834"/>
      <c r="BM97" s="834"/>
      <c r="BN97" s="834"/>
      <c r="BO97" s="834"/>
      <c r="BP97" s="834"/>
      <c r="BQ97" s="834"/>
    </row>
    <row r="98" spans="1:69" s="547" customFormat="1" hidden="1">
      <c r="A98" s="825"/>
      <c r="F98" s="834"/>
      <c r="G98" s="836"/>
      <c r="H98" s="834"/>
      <c r="I98" s="834"/>
      <c r="J98" s="834"/>
      <c r="K98" s="834"/>
      <c r="L98" s="834"/>
      <c r="M98" s="834"/>
      <c r="N98" s="834"/>
      <c r="O98" s="835"/>
      <c r="P98" s="834"/>
      <c r="Q98" s="834"/>
      <c r="R98" s="834"/>
      <c r="S98" s="834"/>
      <c r="T98" s="834"/>
      <c r="U98" s="834"/>
      <c r="V98" s="834"/>
      <c r="W98" s="834"/>
      <c r="X98" s="834"/>
      <c r="Y98" s="834"/>
      <c r="Z98" s="834"/>
      <c r="AA98" s="834"/>
      <c r="AB98" s="835"/>
      <c r="AC98" s="834"/>
      <c r="AD98" s="834"/>
      <c r="AE98" s="834"/>
      <c r="AF98" s="834"/>
      <c r="AG98" s="834"/>
      <c r="AH98" s="834"/>
      <c r="AI98" s="834"/>
      <c r="AJ98" s="834"/>
      <c r="AK98" s="834"/>
      <c r="AL98" s="834"/>
      <c r="AM98" s="834"/>
      <c r="AN98" s="834"/>
      <c r="AO98" s="835"/>
      <c r="AP98" s="834"/>
      <c r="AQ98" s="834"/>
      <c r="AR98" s="834"/>
      <c r="AS98" s="834"/>
      <c r="AT98" s="834"/>
      <c r="AU98" s="834"/>
      <c r="AV98" s="834"/>
      <c r="AW98" s="834"/>
      <c r="AX98" s="834"/>
      <c r="AY98" s="834"/>
      <c r="AZ98" s="834"/>
      <c r="BA98" s="834"/>
      <c r="BB98" s="834"/>
      <c r="BC98" s="834"/>
      <c r="BD98" s="834"/>
      <c r="BE98" s="834"/>
      <c r="BF98" s="834"/>
      <c r="BG98" s="834"/>
      <c r="BH98" s="834"/>
      <c r="BI98" s="834"/>
      <c r="BJ98" s="834"/>
      <c r="BK98" s="834"/>
      <c r="BL98" s="834"/>
      <c r="BM98" s="834"/>
      <c r="BN98" s="834"/>
      <c r="BO98" s="834"/>
      <c r="BP98" s="834"/>
      <c r="BQ98" s="834"/>
    </row>
    <row r="99" spans="1:69" s="547" customFormat="1" hidden="1">
      <c r="A99" s="825"/>
      <c r="B99" s="828"/>
      <c r="E99" s="837"/>
      <c r="F99" s="834"/>
      <c r="G99" s="836"/>
      <c r="H99" s="834"/>
      <c r="I99" s="834"/>
      <c r="J99" s="834"/>
      <c r="K99" s="834"/>
      <c r="L99" s="834"/>
      <c r="M99" s="834"/>
      <c r="N99" s="834"/>
      <c r="O99" s="835"/>
      <c r="P99" s="834"/>
      <c r="Q99" s="834"/>
      <c r="R99" s="834"/>
      <c r="S99" s="834"/>
      <c r="T99" s="834"/>
      <c r="U99" s="834"/>
      <c r="V99" s="834"/>
      <c r="W99" s="834"/>
      <c r="X99" s="834"/>
      <c r="Y99" s="834"/>
      <c r="Z99" s="834"/>
      <c r="AA99" s="834"/>
      <c r="AB99" s="835"/>
      <c r="AC99" s="834"/>
      <c r="AD99" s="834"/>
      <c r="AE99" s="834"/>
      <c r="AF99" s="834"/>
      <c r="AG99" s="834"/>
      <c r="AH99" s="834"/>
      <c r="AI99" s="834"/>
      <c r="AJ99" s="834"/>
      <c r="AK99" s="834"/>
      <c r="AL99" s="834"/>
      <c r="AM99" s="834"/>
      <c r="AN99" s="834"/>
      <c r="AO99" s="835"/>
      <c r="AP99" s="834"/>
      <c r="AQ99" s="834"/>
      <c r="AR99" s="834"/>
      <c r="AS99" s="834"/>
      <c r="AT99" s="834"/>
      <c r="AU99" s="834"/>
      <c r="AV99" s="834"/>
      <c r="AW99" s="834"/>
      <c r="AX99" s="834"/>
      <c r="AY99" s="834"/>
      <c r="AZ99" s="834"/>
      <c r="BA99" s="834"/>
      <c r="BB99" s="834"/>
      <c r="BC99" s="834"/>
      <c r="BD99" s="834"/>
      <c r="BE99" s="834"/>
      <c r="BF99" s="834"/>
      <c r="BG99" s="834"/>
      <c r="BH99" s="834"/>
      <c r="BI99" s="834"/>
      <c r="BJ99" s="834"/>
      <c r="BK99" s="834"/>
      <c r="BL99" s="834"/>
      <c r="BM99" s="834"/>
      <c r="BN99" s="834"/>
      <c r="BO99" s="834"/>
      <c r="BP99" s="834"/>
      <c r="BQ99" s="834"/>
    </row>
    <row r="100" spans="1:69" s="547" customFormat="1" hidden="1">
      <c r="A100" s="825"/>
      <c r="B100" s="838"/>
      <c r="E100" s="834"/>
      <c r="F100" s="834"/>
      <c r="G100" s="836"/>
      <c r="H100" s="834"/>
      <c r="I100" s="834"/>
      <c r="J100" s="834"/>
      <c r="K100" s="834"/>
      <c r="L100" s="834"/>
      <c r="M100" s="834"/>
      <c r="N100" s="834"/>
      <c r="O100" s="835"/>
      <c r="P100" s="834"/>
      <c r="Q100" s="834"/>
      <c r="R100" s="834"/>
      <c r="S100" s="834"/>
      <c r="T100" s="834"/>
      <c r="U100" s="834"/>
      <c r="V100" s="834"/>
      <c r="W100" s="834"/>
      <c r="X100" s="834"/>
      <c r="Y100" s="834"/>
      <c r="Z100" s="834"/>
      <c r="AA100" s="834"/>
      <c r="AB100" s="835"/>
      <c r="AC100" s="834"/>
      <c r="AD100" s="834"/>
      <c r="AE100" s="834"/>
      <c r="AF100" s="834"/>
      <c r="AG100" s="834"/>
      <c r="AH100" s="834"/>
      <c r="AI100" s="834"/>
      <c r="AJ100" s="834"/>
      <c r="AK100" s="834"/>
      <c r="AL100" s="834"/>
      <c r="AM100" s="834"/>
      <c r="AN100" s="834"/>
      <c r="AO100" s="835"/>
      <c r="AP100" s="834"/>
      <c r="AQ100" s="834"/>
      <c r="AR100" s="834"/>
      <c r="AS100" s="834"/>
      <c r="AT100" s="834"/>
      <c r="AU100" s="834"/>
      <c r="AV100" s="834"/>
      <c r="AW100" s="834"/>
      <c r="AX100" s="834"/>
      <c r="AY100" s="834"/>
      <c r="AZ100" s="834"/>
      <c r="BA100" s="834"/>
      <c r="BB100" s="834"/>
      <c r="BC100" s="834"/>
      <c r="BD100" s="834"/>
      <c r="BE100" s="834"/>
      <c r="BF100" s="834"/>
      <c r="BG100" s="834"/>
      <c r="BH100" s="834"/>
      <c r="BI100" s="834"/>
      <c r="BJ100" s="834"/>
      <c r="BK100" s="834"/>
      <c r="BL100" s="834"/>
      <c r="BM100" s="834"/>
      <c r="BN100" s="834"/>
      <c r="BO100" s="834"/>
      <c r="BP100" s="834"/>
      <c r="BQ100" s="834"/>
    </row>
    <row r="101" spans="1:69" s="547" customFormat="1" hidden="1">
      <c r="A101" s="825"/>
      <c r="B101" s="838"/>
      <c r="E101" s="834"/>
      <c r="F101" s="834"/>
      <c r="G101" s="832"/>
      <c r="H101" s="831"/>
      <c r="I101" s="831"/>
      <c r="J101" s="831"/>
      <c r="K101" s="831"/>
      <c r="L101" s="831"/>
      <c r="M101" s="831"/>
      <c r="N101" s="831"/>
      <c r="O101" s="839"/>
      <c r="P101" s="831"/>
      <c r="Q101" s="840"/>
      <c r="R101" s="831"/>
      <c r="S101" s="831"/>
      <c r="T101" s="831"/>
      <c r="U101" s="831"/>
      <c r="V101" s="831"/>
      <c r="W101" s="831"/>
      <c r="X101" s="831"/>
      <c r="Y101" s="831"/>
      <c r="Z101" s="831"/>
      <c r="AA101" s="831"/>
      <c r="AB101" s="835"/>
      <c r="AC101" s="831"/>
      <c r="AD101" s="831"/>
      <c r="AE101" s="831"/>
      <c r="AF101" s="831"/>
      <c r="AG101" s="831"/>
      <c r="AH101" s="831"/>
      <c r="AI101" s="831"/>
      <c r="AJ101" s="831"/>
      <c r="AK101" s="831"/>
      <c r="AL101" s="831"/>
      <c r="AM101" s="831"/>
      <c r="AN101" s="831"/>
      <c r="AO101" s="835"/>
      <c r="AP101" s="834"/>
      <c r="AQ101" s="834"/>
      <c r="AR101" s="834"/>
      <c r="AS101" s="834"/>
      <c r="AT101" s="834"/>
      <c r="AU101" s="834"/>
      <c r="AV101" s="834"/>
      <c r="AW101" s="834"/>
      <c r="AX101" s="834"/>
      <c r="AY101" s="834"/>
      <c r="AZ101" s="834"/>
      <c r="BA101" s="834"/>
      <c r="BB101" s="834"/>
      <c r="BC101" s="834"/>
      <c r="BD101" s="834"/>
      <c r="BE101" s="834"/>
      <c r="BF101" s="834"/>
      <c r="BG101" s="834"/>
      <c r="BH101" s="834"/>
      <c r="BI101" s="834"/>
      <c r="BJ101" s="834"/>
      <c r="BK101" s="834"/>
      <c r="BL101" s="834"/>
      <c r="BM101" s="834"/>
      <c r="BN101" s="834"/>
      <c r="BO101" s="834"/>
      <c r="BP101" s="834"/>
      <c r="BQ101" s="834"/>
    </row>
    <row r="102" spans="1:69" s="547" customFormat="1" hidden="1">
      <c r="A102" s="825"/>
      <c r="B102" s="838"/>
      <c r="E102" s="834"/>
      <c r="F102" s="834"/>
      <c r="G102" s="836"/>
      <c r="H102" s="834"/>
      <c r="I102" s="834"/>
      <c r="J102" s="834"/>
      <c r="K102" s="834"/>
      <c r="L102" s="834"/>
      <c r="M102" s="834"/>
      <c r="N102" s="834"/>
      <c r="O102" s="835"/>
      <c r="P102" s="834"/>
      <c r="Q102" s="834"/>
      <c r="R102" s="834"/>
      <c r="S102" s="834"/>
      <c r="T102" s="834"/>
      <c r="U102" s="834"/>
      <c r="V102" s="834"/>
      <c r="W102" s="834"/>
      <c r="X102" s="834"/>
      <c r="Y102" s="834"/>
      <c r="Z102" s="834"/>
      <c r="AA102" s="834"/>
      <c r="AB102" s="835"/>
      <c r="AC102" s="834"/>
      <c r="AD102" s="834"/>
      <c r="AE102" s="834"/>
      <c r="AF102" s="834"/>
      <c r="AG102" s="834"/>
      <c r="AH102" s="834"/>
      <c r="AI102" s="834"/>
      <c r="AJ102" s="834"/>
      <c r="AK102" s="834"/>
      <c r="AL102" s="834"/>
      <c r="AM102" s="834"/>
      <c r="AN102" s="834"/>
      <c r="AO102" s="835"/>
      <c r="AP102" s="834"/>
      <c r="AQ102" s="834"/>
      <c r="AR102" s="834"/>
      <c r="AS102" s="834"/>
      <c r="AT102" s="834"/>
      <c r="AU102" s="834"/>
      <c r="AV102" s="834"/>
      <c r="AW102" s="834"/>
      <c r="AX102" s="834"/>
      <c r="AY102" s="834"/>
      <c r="AZ102" s="834"/>
      <c r="BA102" s="834"/>
      <c r="BB102" s="834"/>
      <c r="BC102" s="834"/>
      <c r="BD102" s="834"/>
      <c r="BE102" s="834"/>
      <c r="BF102" s="834"/>
      <c r="BG102" s="834"/>
      <c r="BH102" s="834"/>
      <c r="BI102" s="834"/>
      <c r="BJ102" s="834"/>
      <c r="BK102" s="834"/>
      <c r="BL102" s="834"/>
      <c r="BM102" s="834"/>
      <c r="BN102" s="834"/>
      <c r="BO102" s="834"/>
      <c r="BP102" s="834"/>
      <c r="BQ102" s="834"/>
    </row>
    <row r="103" spans="1:69">
      <c r="A103" s="79"/>
      <c r="E103" s="16"/>
      <c r="F103" s="16"/>
      <c r="G103" s="319"/>
      <c r="H103" s="16"/>
      <c r="I103" s="16"/>
      <c r="J103" s="16"/>
      <c r="K103" s="16"/>
      <c r="L103" s="16"/>
      <c r="M103" s="16"/>
      <c r="N103" s="16"/>
      <c r="O103" s="170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70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70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</row>
    <row r="104" spans="1:69">
      <c r="A104" s="79"/>
      <c r="B104" s="97" t="s">
        <v>172</v>
      </c>
      <c r="E104" s="16"/>
      <c r="F104" s="16"/>
      <c r="G104" s="319"/>
      <c r="H104" s="16"/>
      <c r="I104" s="16"/>
      <c r="J104" s="16"/>
      <c r="K104" s="16"/>
      <c r="L104" s="16"/>
      <c r="M104" s="16"/>
      <c r="N104" s="16"/>
      <c r="O104" s="170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70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70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69" s="80" customFormat="1">
      <c r="B105" s="80" t="s">
        <v>394</v>
      </c>
      <c r="G105" s="623"/>
      <c r="H105" s="465"/>
      <c r="I105" s="465"/>
      <c r="J105" s="465"/>
      <c r="K105" s="465"/>
      <c r="L105" s="465"/>
      <c r="M105" s="465"/>
      <c r="N105" s="465"/>
      <c r="O105" s="615"/>
      <c r="P105" s="465">
        <f t="shared" ref="P105:AA105" si="93">P68</f>
        <v>2.9512042695890406</v>
      </c>
      <c r="Q105" s="465">
        <f t="shared" si="93"/>
        <v>2.7076485002739727</v>
      </c>
      <c r="R105" s="465">
        <f t="shared" si="93"/>
        <v>3.0796119861643829</v>
      </c>
      <c r="S105" s="465">
        <f t="shared" si="93"/>
        <v>2.9998825773972602</v>
      </c>
      <c r="T105" s="465">
        <f t="shared" si="93"/>
        <v>3.0856971516438354</v>
      </c>
      <c r="U105" s="465">
        <f t="shared" si="93"/>
        <v>2.9841440267123289</v>
      </c>
      <c r="V105" s="465">
        <f t="shared" si="93"/>
        <v>3.087517584657534</v>
      </c>
      <c r="W105" s="465">
        <f t="shared" si="93"/>
        <v>3.0875193646575343</v>
      </c>
      <c r="X105" s="465">
        <f t="shared" si="93"/>
        <v>2.9953358509589041</v>
      </c>
      <c r="Y105" s="465">
        <f t="shared" si="93"/>
        <v>3.1165598141095883</v>
      </c>
      <c r="Z105" s="465">
        <f t="shared" si="93"/>
        <v>3.0301435684931506</v>
      </c>
      <c r="AA105" s="465">
        <f t="shared" si="93"/>
        <v>3.1095823041095887</v>
      </c>
      <c r="AB105" s="349">
        <f t="shared" ref="AB105:AB110" si="94">SUM(P105:AA105)</f>
        <v>36.234846998767118</v>
      </c>
      <c r="AC105" s="465">
        <f t="shared" ref="AC105:AN105" si="95">AC68</f>
        <v>3.044542003972603</v>
      </c>
      <c r="AD105" s="465">
        <f t="shared" si="95"/>
        <v>2.8647919160273969</v>
      </c>
      <c r="AE105" s="465">
        <f t="shared" si="95"/>
        <v>3.1185624409589039</v>
      </c>
      <c r="AF105" s="465">
        <f t="shared" si="95"/>
        <v>3.0470412001369862</v>
      </c>
      <c r="AG105" s="465">
        <f t="shared" si="95"/>
        <v>3.1344915078082187</v>
      </c>
      <c r="AH105" s="465">
        <f t="shared" si="95"/>
        <v>3.0310545297260276</v>
      </c>
      <c r="AI105" s="465">
        <f t="shared" si="95"/>
        <v>3.1254459356164381</v>
      </c>
      <c r="AJ105" s="465">
        <f t="shared" si="95"/>
        <v>3.1254478356164381</v>
      </c>
      <c r="AK105" s="465">
        <f t="shared" si="95"/>
        <v>3.0318616902739732</v>
      </c>
      <c r="AL105" s="465">
        <f t="shared" si="95"/>
        <v>3.1204212261643836</v>
      </c>
      <c r="AM105" s="465">
        <f t="shared" si="95"/>
        <v>3.0339007527397266</v>
      </c>
      <c r="AN105" s="465">
        <f t="shared" si="95"/>
        <v>3.1132361661643833</v>
      </c>
      <c r="AO105" s="615">
        <f t="shared" ref="AO105:AO110" si="96">SUM(AC105:AN105)</f>
        <v>36.790797205205479</v>
      </c>
      <c r="AP105" s="80">
        <f>AP68</f>
        <v>36.303730830000006</v>
      </c>
      <c r="AQ105" s="80">
        <f t="shared" ref="AQ105:BB105" si="97">AQ68</f>
        <v>35.510715010000006</v>
      </c>
      <c r="AR105" s="80">
        <f t="shared" si="97"/>
        <v>34.508443138166385</v>
      </c>
      <c r="AS105" s="80">
        <f t="shared" si="97"/>
        <v>33.503895781877766</v>
      </c>
      <c r="AT105" s="80">
        <f>AT68</f>
        <v>32.393035852000473</v>
      </c>
      <c r="AU105" s="80">
        <f t="shared" si="97"/>
        <v>29.616331887726883</v>
      </c>
      <c r="AV105" s="80">
        <f t="shared" si="97"/>
        <v>26.382162782925075</v>
      </c>
      <c r="AW105" s="80">
        <f t="shared" si="97"/>
        <v>24.069842791479214</v>
      </c>
      <c r="AX105" s="80">
        <f t="shared" si="97"/>
        <v>22.693881461589974</v>
      </c>
      <c r="AY105" s="80">
        <f t="shared" si="97"/>
        <v>48.012644617004057</v>
      </c>
      <c r="AZ105" s="80">
        <f t="shared" si="97"/>
        <v>46.446378957140567</v>
      </c>
      <c r="BA105" s="80">
        <f>BA68</f>
        <v>44.833806446081169</v>
      </c>
      <c r="BB105" s="80">
        <f t="shared" si="97"/>
        <v>43.120361900389987</v>
      </c>
    </row>
    <row r="106" spans="1:69" s="80" customFormat="1">
      <c r="B106" s="80" t="s">
        <v>395</v>
      </c>
      <c r="G106" s="623"/>
      <c r="H106" s="465"/>
      <c r="I106" s="465"/>
      <c r="J106" s="465"/>
      <c r="K106" s="465"/>
      <c r="L106" s="465"/>
      <c r="M106" s="465"/>
      <c r="N106" s="465"/>
      <c r="O106" s="615"/>
      <c r="P106" s="465">
        <f t="shared" ref="P106:AA106" si="98">P57</f>
        <v>0.64190966000000005</v>
      </c>
      <c r="Q106" s="465">
        <f t="shared" si="98"/>
        <v>0.57978936999999997</v>
      </c>
      <c r="R106" s="465">
        <f t="shared" si="98"/>
        <v>0.64190966000000005</v>
      </c>
      <c r="S106" s="465">
        <f t="shared" si="98"/>
        <v>0.63008487000000002</v>
      </c>
      <c r="T106" s="465">
        <f t="shared" si="98"/>
        <v>0.65108769</v>
      </c>
      <c r="U106" s="465">
        <f t="shared" si="98"/>
        <v>0.63008487000000002</v>
      </c>
      <c r="V106" s="465">
        <f t="shared" si="98"/>
        <v>0.66050039000000005</v>
      </c>
      <c r="W106" s="465">
        <f t="shared" si="98"/>
        <v>0.66050039000000005</v>
      </c>
      <c r="X106" s="465">
        <f t="shared" si="98"/>
        <v>0.63919393000000002</v>
      </c>
      <c r="Y106" s="465">
        <f t="shared" si="98"/>
        <v>0.67015409999999997</v>
      </c>
      <c r="Z106" s="465">
        <f t="shared" si="98"/>
        <v>0.64853622</v>
      </c>
      <c r="AA106" s="465">
        <f t="shared" si="98"/>
        <v>0.67015409999999997</v>
      </c>
      <c r="AB106" s="349">
        <f t="shared" si="94"/>
        <v>7.7239052500000014</v>
      </c>
      <c r="AC106" s="465">
        <f t="shared" ref="AC106:AN106" si="99">AC57</f>
        <v>0.67994890000000008</v>
      </c>
      <c r="AD106" s="465">
        <f t="shared" si="99"/>
        <v>0.61414740000000001</v>
      </c>
      <c r="AE106" s="465">
        <f t="shared" si="99"/>
        <v>0.67994890000000008</v>
      </c>
      <c r="AF106" s="465">
        <f t="shared" si="99"/>
        <v>0.66742338000000001</v>
      </c>
      <c r="AG106" s="465">
        <f t="shared" si="99"/>
        <v>0.68967083000000007</v>
      </c>
      <c r="AH106" s="465">
        <f t="shared" si="99"/>
        <v>0.66742338000000001</v>
      </c>
      <c r="AI106" s="465">
        <f t="shared" si="99"/>
        <v>0.6996413199999999</v>
      </c>
      <c r="AJ106" s="465">
        <f t="shared" si="99"/>
        <v>0.69964131000000007</v>
      </c>
      <c r="AK106" s="465">
        <f t="shared" si="99"/>
        <v>0.67707223999999999</v>
      </c>
      <c r="AL106" s="465">
        <f t="shared" si="99"/>
        <v>0.70986709999999997</v>
      </c>
      <c r="AM106" s="465">
        <f t="shared" si="99"/>
        <v>0.68696816000000005</v>
      </c>
      <c r="AN106" s="465">
        <f t="shared" si="99"/>
        <v>0.70986709999999997</v>
      </c>
      <c r="AO106" s="615">
        <f t="shared" si="96"/>
        <v>8.1816200200000004</v>
      </c>
      <c r="AP106" s="80">
        <f t="shared" ref="AP106:BB106" si="100">AP57</f>
        <v>8.6664587300000022</v>
      </c>
      <c r="AQ106" s="80">
        <f t="shared" si="100"/>
        <v>9.1800322800000007</v>
      </c>
      <c r="AR106" s="80">
        <f t="shared" si="100"/>
        <v>9.7240328299999987</v>
      </c>
      <c r="AS106" s="80">
        <f t="shared" si="100"/>
        <v>10.300274159999999</v>
      </c>
      <c r="AT106" s="80">
        <f t="shared" si="100"/>
        <v>10.910663260000002</v>
      </c>
      <c r="AU106" s="80">
        <f t="shared" si="100"/>
        <v>11.557228150000002</v>
      </c>
      <c r="AV106" s="80">
        <f t="shared" si="100"/>
        <v>12.242099259999998</v>
      </c>
      <c r="AW106" s="80">
        <f t="shared" si="100"/>
        <v>12.967559940000001</v>
      </c>
      <c r="AX106" s="80">
        <f t="shared" si="100"/>
        <v>13.736010889999999</v>
      </c>
      <c r="AY106" s="80">
        <f t="shared" si="100"/>
        <v>0</v>
      </c>
      <c r="AZ106" s="80">
        <f t="shared" si="100"/>
        <v>0</v>
      </c>
      <c r="BA106" s="80">
        <f t="shared" si="100"/>
        <v>0</v>
      </c>
      <c r="BB106" s="80">
        <f t="shared" si="100"/>
        <v>0</v>
      </c>
    </row>
    <row r="107" spans="1:69" s="80" customFormat="1">
      <c r="B107" s="80" t="s">
        <v>366</v>
      </c>
      <c r="G107" s="631"/>
      <c r="H107" s="94"/>
      <c r="I107" s="632"/>
      <c r="J107" s="632"/>
      <c r="K107" s="632"/>
      <c r="L107" s="632"/>
      <c r="M107" s="632"/>
      <c r="N107" s="632"/>
      <c r="O107" s="615"/>
      <c r="P107" s="741">
        <v>-2.2880000000000001E-3</v>
      </c>
      <c r="Q107" s="741">
        <v>-6.149E-3</v>
      </c>
      <c r="R107" s="741">
        <v>-2.2452E-2</v>
      </c>
      <c r="S107" s="741">
        <v>-4.6127000000000001E-2</v>
      </c>
      <c r="T107" s="741">
        <v>-3.9792000000000001E-2</v>
      </c>
      <c r="U107" s="741">
        <v>-6.0372000000000002E-2</v>
      </c>
      <c r="V107" s="741">
        <v>-7.9520999999999994E-2</v>
      </c>
      <c r="W107" s="741">
        <v>-4.0534000000000001E-2</v>
      </c>
      <c r="X107" s="741">
        <v>-6.0048999999999998E-2</v>
      </c>
      <c r="Y107" s="741">
        <v>-0.103341</v>
      </c>
      <c r="Z107" s="741">
        <v>-0.135347</v>
      </c>
      <c r="AA107" s="741">
        <v>-0.17677200000000001</v>
      </c>
      <c r="AB107" s="349">
        <f t="shared" si="94"/>
        <v>-0.7727440000000001</v>
      </c>
      <c r="AC107" s="741">
        <v>-0.167106</v>
      </c>
      <c r="AD107" s="741">
        <v>-0.19242100000000001</v>
      </c>
      <c r="AE107" s="741">
        <v>-0.22428799999999999</v>
      </c>
      <c r="AF107" s="741">
        <v>-0.28519099999999997</v>
      </c>
      <c r="AG107" s="741">
        <v>-0.34490500000000002</v>
      </c>
      <c r="AH107" s="741">
        <v>-0.38440999999999997</v>
      </c>
      <c r="AI107" s="741">
        <v>-0.39462599999999998</v>
      </c>
      <c r="AJ107" s="741">
        <v>-1.1945000000000001E-2</v>
      </c>
      <c r="AK107" s="741">
        <v>-2.4031E-2</v>
      </c>
      <c r="AL107" s="741">
        <v>-3.7665999999999998E-2</v>
      </c>
      <c r="AM107" s="741">
        <v>-1.8280000000000001E-2</v>
      </c>
      <c r="AN107" s="741">
        <v>-1.8363999999999998E-2</v>
      </c>
      <c r="AO107" s="633">
        <f t="shared" si="96"/>
        <v>-2.1032329999999999</v>
      </c>
      <c r="AP107" s="741">
        <v>-0.49871399999999999</v>
      </c>
      <c r="AQ107" s="741">
        <v>-0.36825999999999998</v>
      </c>
      <c r="AR107" s="627">
        <f>-'Capex &amp; Depr'!AQ31/6*0.0575</f>
        <v>-0.37511157613749996</v>
      </c>
      <c r="AS107" s="627">
        <f>-'Capex &amp; Depr'!AR31/6*0.0575</f>
        <v>-0.38636492342162509</v>
      </c>
      <c r="AT107" s="627">
        <f>-'Capex &amp; Depr'!AS31/6*0.0575</f>
        <v>-0.5039223692651057</v>
      </c>
      <c r="AU107" s="627">
        <f>-'Capex &amp; Depr'!AT31/6*0.0575</f>
        <v>-0.51904004034305895</v>
      </c>
      <c r="AV107" s="627">
        <f>-'Capex &amp; Depr'!AU31/6*0.0575</f>
        <v>-0.5346112415533506</v>
      </c>
      <c r="AW107" s="627">
        <f>-'Capex &amp; Depr'!AV31/6*0.0575</f>
        <v>-0.55064957879995124</v>
      </c>
      <c r="AX107" s="627">
        <f>-'Capex &amp; Depr'!AW31/6*0.0575</f>
        <v>-0.56716906616394969</v>
      </c>
      <c r="AY107" s="627">
        <f>-'Capex &amp; Depr'!AX31/6*0.0575</f>
        <v>-0.58418413814886827</v>
      </c>
      <c r="AZ107" s="627">
        <f>-'Capex &amp; Depr'!AY31/6*0.0575</f>
        <v>-0.60170966229333434</v>
      </c>
      <c r="BA107" s="627">
        <f>-'Capex &amp; Depr'!AZ31/6*0.0575</f>
        <v>0</v>
      </c>
      <c r="BB107" s="627">
        <f>-'Capex &amp; Depr'!BA31/6*0.0575</f>
        <v>0</v>
      </c>
    </row>
    <row r="108" spans="1:69" s="465" customFormat="1">
      <c r="B108" s="465" t="s">
        <v>396</v>
      </c>
      <c r="G108" s="631"/>
      <c r="H108" s="634"/>
      <c r="I108" s="634"/>
      <c r="J108" s="634"/>
      <c r="K108" s="634"/>
      <c r="L108" s="634"/>
      <c r="M108" s="634"/>
      <c r="N108" s="634"/>
      <c r="O108" s="615"/>
      <c r="P108" s="738">
        <v>1.7648299211013421E-2</v>
      </c>
      <c r="Q108" s="738">
        <v>1.5940399287366961E-2</v>
      </c>
      <c r="R108" s="738">
        <v>1.7648299211013421E-2</v>
      </c>
      <c r="S108" s="738">
        <v>1.7078999236464602E-2</v>
      </c>
      <c r="T108" s="738">
        <v>1.764818921101342E-2</v>
      </c>
      <c r="U108" s="738"/>
      <c r="V108" s="738"/>
      <c r="W108" s="738"/>
      <c r="X108" s="738"/>
      <c r="Y108" s="738"/>
      <c r="Z108" s="738"/>
      <c r="AA108" s="738"/>
      <c r="AB108" s="349">
        <f t="shared" si="94"/>
        <v>8.5964186156871833E-2</v>
      </c>
      <c r="AC108" s="635"/>
      <c r="AD108" s="635"/>
      <c r="AE108" s="635"/>
      <c r="AF108" s="635"/>
      <c r="AG108" s="635"/>
      <c r="AH108" s="634"/>
      <c r="AI108" s="634"/>
      <c r="AJ108" s="634"/>
      <c r="AK108" s="634"/>
      <c r="AL108" s="634"/>
      <c r="AM108" s="634"/>
      <c r="AN108" s="634"/>
      <c r="AO108" s="615">
        <f>SUM(AC108:AN108)</f>
        <v>0</v>
      </c>
      <c r="AP108" s="634"/>
      <c r="AQ108" s="634"/>
      <c r="AR108" s="634"/>
      <c r="AS108" s="634"/>
      <c r="AT108" s="634"/>
      <c r="AU108" s="634"/>
      <c r="AV108" s="634"/>
      <c r="AW108" s="634"/>
      <c r="AX108" s="634"/>
      <c r="AY108" s="634"/>
      <c r="AZ108" s="634"/>
      <c r="BA108" s="634"/>
      <c r="BB108" s="634"/>
    </row>
    <row r="109" spans="1:69" s="80" customFormat="1">
      <c r="F109" s="617"/>
      <c r="G109" s="624"/>
      <c r="H109" s="617"/>
      <c r="I109" s="617"/>
      <c r="J109" s="617"/>
      <c r="K109" s="617"/>
      <c r="L109" s="617"/>
      <c r="M109" s="617"/>
      <c r="N109" s="617"/>
      <c r="O109" s="618"/>
      <c r="P109" s="617"/>
      <c r="Q109" s="617"/>
      <c r="R109" s="617"/>
      <c r="S109" s="617"/>
      <c r="T109" s="617"/>
      <c r="U109" s="617"/>
      <c r="V109" s="617"/>
      <c r="W109" s="617"/>
      <c r="X109" s="617"/>
      <c r="Y109" s="617"/>
      <c r="Z109" s="617"/>
      <c r="AA109" s="617"/>
      <c r="AB109" s="636"/>
      <c r="AC109" s="617"/>
      <c r="AD109" s="617"/>
      <c r="AE109" s="617"/>
      <c r="AF109" s="617"/>
      <c r="AG109" s="617"/>
      <c r="AH109" s="617"/>
      <c r="AI109" s="617"/>
      <c r="AJ109" s="617"/>
      <c r="AK109" s="617"/>
      <c r="AL109" s="617"/>
      <c r="AM109" s="617"/>
      <c r="AN109" s="617"/>
      <c r="AO109" s="618"/>
      <c r="AP109" s="637"/>
      <c r="AQ109" s="637"/>
      <c r="AR109" s="637"/>
      <c r="AS109" s="637"/>
      <c r="AT109" s="637"/>
      <c r="AU109" s="637"/>
      <c r="AV109" s="637"/>
      <c r="AW109" s="637"/>
      <c r="AX109" s="637"/>
      <c r="AY109" s="637"/>
      <c r="AZ109" s="637"/>
      <c r="BA109" s="637"/>
      <c r="BB109" s="637"/>
    </row>
    <row r="110" spans="1:69" s="80" customFormat="1">
      <c r="B110" s="80" t="s">
        <v>131</v>
      </c>
      <c r="G110" s="623"/>
      <c r="O110" s="615"/>
      <c r="P110" s="80">
        <f>SUM(P105:P109)</f>
        <v>3.6084742288000542</v>
      </c>
      <c r="Q110" s="80">
        <f t="shared" ref="Q110:AA110" si="101">SUM(Q105:Q109)</f>
        <v>3.2972292695613392</v>
      </c>
      <c r="R110" s="80">
        <f t="shared" si="101"/>
        <v>3.7167179453753967</v>
      </c>
      <c r="S110" s="80">
        <f t="shared" si="101"/>
        <v>3.6009194466337249</v>
      </c>
      <c r="T110" s="80">
        <f t="shared" si="101"/>
        <v>3.7146410308548492</v>
      </c>
      <c r="U110" s="80">
        <f t="shared" si="101"/>
        <v>3.553856896712329</v>
      </c>
      <c r="V110" s="80">
        <f t="shared" si="101"/>
        <v>3.668496974657534</v>
      </c>
      <c r="W110" s="80">
        <f t="shared" si="101"/>
        <v>3.7074857546575344</v>
      </c>
      <c r="X110" s="80">
        <f t="shared" si="101"/>
        <v>3.5744807809589045</v>
      </c>
      <c r="Y110" s="80">
        <f t="shared" si="101"/>
        <v>3.6833729141095883</v>
      </c>
      <c r="Z110" s="80">
        <f t="shared" si="101"/>
        <v>3.5433327884931507</v>
      </c>
      <c r="AA110" s="80">
        <f t="shared" si="101"/>
        <v>3.6029644041095885</v>
      </c>
      <c r="AB110" s="638">
        <f t="shared" si="94"/>
        <v>43.271972434923995</v>
      </c>
      <c r="AC110" s="80">
        <f>SUM(AC105:AC109)</f>
        <v>3.5573849039726029</v>
      </c>
      <c r="AD110" s="80">
        <f t="shared" ref="AD110:AN110" si="102">SUM(AD105:AD109)</f>
        <v>3.2865183160273967</v>
      </c>
      <c r="AE110" s="80">
        <f t="shared" si="102"/>
        <v>3.5742233409589041</v>
      </c>
      <c r="AF110" s="80">
        <f t="shared" si="102"/>
        <v>3.4292735801369858</v>
      </c>
      <c r="AG110" s="80">
        <f t="shared" si="102"/>
        <v>3.4792573378082192</v>
      </c>
      <c r="AH110" s="80">
        <f t="shared" si="102"/>
        <v>3.3140679097260275</v>
      </c>
      <c r="AI110" s="80">
        <f t="shared" si="102"/>
        <v>3.430461255616438</v>
      </c>
      <c r="AJ110" s="80">
        <f t="shared" si="102"/>
        <v>3.8131441456164383</v>
      </c>
      <c r="AK110" s="80">
        <f t="shared" si="102"/>
        <v>3.6849029302739735</v>
      </c>
      <c r="AL110" s="80">
        <f t="shared" si="102"/>
        <v>3.7926223261643832</v>
      </c>
      <c r="AM110" s="80">
        <f t="shared" si="102"/>
        <v>3.7025889127397269</v>
      </c>
      <c r="AN110" s="80">
        <f t="shared" si="102"/>
        <v>3.8047392661643831</v>
      </c>
      <c r="AO110" s="615">
        <f t="shared" si="96"/>
        <v>42.86918422520548</v>
      </c>
      <c r="AP110" s="80">
        <f>SUM(AP105:AP109)</f>
        <v>44.471475560000009</v>
      </c>
      <c r="AQ110" s="80">
        <f>SUM(AQ105:AQ109)</f>
        <v>44.322487290000005</v>
      </c>
      <c r="AR110" s="80">
        <f t="shared" ref="AR110:BB110" si="103">SUM(AR105:AR109)</f>
        <v>43.857364392028884</v>
      </c>
      <c r="AS110" s="80">
        <f t="shared" si="103"/>
        <v>43.417805018456143</v>
      </c>
      <c r="AT110" s="80">
        <f t="shared" si="103"/>
        <v>42.799776742735368</v>
      </c>
      <c r="AU110" s="80">
        <f t="shared" si="103"/>
        <v>40.654519997383829</v>
      </c>
      <c r="AV110" s="80">
        <f t="shared" si="103"/>
        <v>38.089650801371725</v>
      </c>
      <c r="AW110" s="80">
        <f t="shared" si="103"/>
        <v>36.48675315267927</v>
      </c>
      <c r="AX110" s="80">
        <f t="shared" si="103"/>
        <v>35.862723285426021</v>
      </c>
      <c r="AY110" s="80">
        <f t="shared" si="103"/>
        <v>47.428460478855186</v>
      </c>
      <c r="AZ110" s="80">
        <f t="shared" si="103"/>
        <v>45.844669294847236</v>
      </c>
      <c r="BA110" s="80">
        <f t="shared" si="103"/>
        <v>44.833806446081169</v>
      </c>
      <c r="BB110" s="80">
        <f t="shared" si="103"/>
        <v>43.120361900389987</v>
      </c>
    </row>
    <row r="111" spans="1:69" s="80" customFormat="1">
      <c r="G111" s="623"/>
      <c r="O111" s="615"/>
      <c r="AB111" s="629"/>
      <c r="AO111" s="615"/>
    </row>
    <row r="112" spans="1:69" s="80" customFormat="1">
      <c r="B112" s="628" t="s">
        <v>788</v>
      </c>
      <c r="G112" s="623"/>
      <c r="O112" s="615"/>
      <c r="AB112" s="615"/>
      <c r="AO112" s="615"/>
    </row>
    <row r="113" spans="2:54" s="80" customFormat="1">
      <c r="B113" s="639" t="s">
        <v>787</v>
      </c>
      <c r="G113" s="623"/>
      <c r="N113" s="735"/>
      <c r="O113" s="615"/>
      <c r="U113" s="627"/>
      <c r="AB113" s="615"/>
      <c r="AO113" s="615"/>
    </row>
    <row r="114" spans="2:54" s="80" customFormat="1">
      <c r="B114" s="639" t="s">
        <v>786</v>
      </c>
      <c r="F114" s="94"/>
      <c r="G114" s="631"/>
      <c r="H114" s="94"/>
      <c r="I114" s="94"/>
      <c r="J114" s="94"/>
      <c r="K114" s="94"/>
      <c r="L114" s="94"/>
      <c r="M114" s="94"/>
      <c r="N114" s="735">
        <v>1.1799815086988186</v>
      </c>
      <c r="O114" s="349"/>
      <c r="P114" s="735">
        <v>-5.1368384734817255E-3</v>
      </c>
      <c r="Q114" s="735">
        <v>-4.6397250728222039E-3</v>
      </c>
      <c r="R114" s="735">
        <v>-5.1368384734817255E-3</v>
      </c>
      <c r="S114" s="735">
        <v>-4.9711340065952186E-3</v>
      </c>
      <c r="T114" s="735">
        <v>-5.1368384734817255E-3</v>
      </c>
      <c r="U114" s="735">
        <v>-4.9711340065952186E-3</v>
      </c>
      <c r="V114" s="735">
        <v>-5.1368384734817255E-3</v>
      </c>
      <c r="W114" s="735">
        <v>-5.1368384734817255E-3</v>
      </c>
      <c r="X114" s="735">
        <v>-4.9711340065952186E-3</v>
      </c>
      <c r="Y114" s="735">
        <v>-5.1368384734817255E-3</v>
      </c>
      <c r="Z114" s="735">
        <v>-4.9711340065952186E-3</v>
      </c>
      <c r="AA114" s="735">
        <v>-5.1368384734817255E-3</v>
      </c>
      <c r="AB114" s="638">
        <f>SUM(P114:AA114)</f>
        <v>-6.0482130413575155E-2</v>
      </c>
      <c r="AC114" s="735">
        <v>-5.1368384734817255E-3</v>
      </c>
      <c r="AD114" s="735">
        <v>-4.6397250728222039E-3</v>
      </c>
      <c r="AE114" s="735">
        <v>-5.1368384734817255E-3</v>
      </c>
      <c r="AF114" s="735">
        <v>-4.9711340065952186E-3</v>
      </c>
      <c r="AG114" s="735">
        <v>-5.1368384734817255E-3</v>
      </c>
      <c r="AH114" s="735">
        <v>-4.9711340065952186E-3</v>
      </c>
      <c r="AI114" s="735">
        <v>-5.1368384734817255E-3</v>
      </c>
      <c r="AJ114" s="735">
        <v>-5.1368384734817255E-3</v>
      </c>
      <c r="AK114" s="735">
        <v>-4.9711340065952186E-3</v>
      </c>
      <c r="AL114" s="735">
        <v>-5.1368384734817255E-3</v>
      </c>
      <c r="AM114" s="735">
        <v>-4.9711340065952186E-3</v>
      </c>
      <c r="AN114" s="735">
        <v>-5.1368384734817255E-3</v>
      </c>
      <c r="AO114" s="615">
        <f>SUM(AC114:AN114)</f>
        <v>-6.0482130413575155E-2</v>
      </c>
      <c r="AP114" s="735">
        <v>-6.0482130413575148E-2</v>
      </c>
      <c r="AQ114" s="735">
        <v>-6.0647834880461653E-2</v>
      </c>
      <c r="AR114" s="735">
        <v>-6.0482130413575148E-2</v>
      </c>
      <c r="AS114" s="735">
        <v>-6.0482130413575148E-2</v>
      </c>
      <c r="AT114" s="735">
        <v>-6.0482130413575148E-2</v>
      </c>
      <c r="AU114" s="735">
        <v>-6.0647834880461653E-2</v>
      </c>
      <c r="AV114" s="735">
        <v>-6.0482130413575148E-2</v>
      </c>
      <c r="AW114" s="735">
        <v>-6.0482130413575148E-2</v>
      </c>
      <c r="AX114" s="735">
        <v>-6.0482130413575148E-2</v>
      </c>
      <c r="AY114" s="735">
        <v>-6.0647834880461653E-2</v>
      </c>
      <c r="AZ114" s="735">
        <v>-6.0482130413575148E-2</v>
      </c>
      <c r="BA114" s="735">
        <v>-6.0482130413575148E-2</v>
      </c>
      <c r="BB114" s="735">
        <v>-6.0482130413575148E-2</v>
      </c>
    </row>
    <row r="115" spans="2:54" s="80" customFormat="1">
      <c r="B115" s="639" t="s">
        <v>789</v>
      </c>
      <c r="F115" s="94"/>
      <c r="G115" s="631"/>
      <c r="H115" s="94"/>
      <c r="I115" s="94"/>
      <c r="J115" s="94"/>
      <c r="K115" s="94"/>
      <c r="L115" s="94"/>
      <c r="M115" s="94"/>
      <c r="N115" s="735">
        <v>0.57888259000000097</v>
      </c>
      <c r="O115" s="349"/>
      <c r="P115" s="735">
        <v>-2.6507199999999996E-3</v>
      </c>
      <c r="Q115" s="735">
        <v>-2.3942E-3</v>
      </c>
      <c r="R115" s="735">
        <v>-2.6507199999999996E-3</v>
      </c>
      <c r="S115" s="735">
        <v>-2.5652100000000001E-3</v>
      </c>
      <c r="T115" s="735">
        <v>-2.6507199999999996E-3</v>
      </c>
      <c r="U115" s="735">
        <v>-2.5652100000000001E-3</v>
      </c>
      <c r="V115" s="735">
        <v>-2.6507199999999996E-3</v>
      </c>
      <c r="W115" s="735">
        <v>-2.6507199999999996E-3</v>
      </c>
      <c r="X115" s="735">
        <v>-2.5652100000000001E-3</v>
      </c>
      <c r="Y115" s="735">
        <v>-2.6507199999999996E-3</v>
      </c>
      <c r="Z115" s="735">
        <v>-2.5652100000000001E-3</v>
      </c>
      <c r="AA115" s="735">
        <v>-2.6507199999999996E-3</v>
      </c>
      <c r="AB115" s="615">
        <f>SUM(P115:AA115)</f>
        <v>-3.1210079999999998E-2</v>
      </c>
      <c r="AC115" s="735">
        <v>-2.6507199999999996E-3</v>
      </c>
      <c r="AD115" s="735">
        <v>-2.3942E-3</v>
      </c>
      <c r="AE115" s="735">
        <v>-2.6507199999999996E-3</v>
      </c>
      <c r="AF115" s="735">
        <v>-2.5652100000000001E-3</v>
      </c>
      <c r="AG115" s="735">
        <v>-2.6507199999999996E-3</v>
      </c>
      <c r="AH115" s="735">
        <v>-2.5652100000000001E-3</v>
      </c>
      <c r="AI115" s="735">
        <v>-2.6507199999999996E-3</v>
      </c>
      <c r="AJ115" s="735">
        <v>-2.6507199999999996E-3</v>
      </c>
      <c r="AK115" s="735">
        <v>-2.5652100000000001E-3</v>
      </c>
      <c r="AL115" s="735">
        <v>-2.6507199999999996E-3</v>
      </c>
      <c r="AM115" s="735">
        <v>-2.5652100000000001E-3</v>
      </c>
      <c r="AN115" s="735">
        <v>-2.6507199999999996E-3</v>
      </c>
      <c r="AO115" s="615">
        <f>SUM(AC115:AN115)</f>
        <v>-3.1210079999999998E-2</v>
      </c>
      <c r="AP115" s="735">
        <v>-3.1210080000000001E-2</v>
      </c>
      <c r="AQ115" s="735">
        <v>-3.1295580000000003E-2</v>
      </c>
      <c r="AR115" s="735">
        <v>-3.1210080000000001E-2</v>
      </c>
      <c r="AS115" s="735">
        <v>-3.1210080000000001E-2</v>
      </c>
      <c r="AT115" s="735">
        <v>-3.1210080000000001E-2</v>
      </c>
      <c r="AU115" s="735">
        <v>-3.1295580000000003E-2</v>
      </c>
      <c r="AV115" s="735">
        <v>-3.1210080000000001E-2</v>
      </c>
      <c r="AW115" s="735">
        <v>-3.1210080000000001E-2</v>
      </c>
      <c r="AX115" s="735">
        <v>-3.1210080000000001E-2</v>
      </c>
      <c r="AY115" s="735">
        <v>-3.1295580000000003E-2</v>
      </c>
      <c r="AZ115" s="735">
        <v>-3.1210080000000001E-2</v>
      </c>
      <c r="BA115" s="735">
        <v>-3.1210080000000001E-2</v>
      </c>
      <c r="BB115" s="735">
        <v>-3.1210080000000001E-2</v>
      </c>
    </row>
    <row r="116" spans="2:54" s="80" customFormat="1" ht="13.5" thickBot="1">
      <c r="B116" s="640" t="s">
        <v>368</v>
      </c>
      <c r="F116" s="96"/>
      <c r="G116" s="322"/>
      <c r="H116" s="96"/>
      <c r="I116" s="96"/>
      <c r="J116" s="96"/>
      <c r="K116" s="96"/>
      <c r="L116" s="96"/>
      <c r="M116" s="96"/>
      <c r="N116" s="749">
        <f>SUM(N114:N115)</f>
        <v>1.7588640986988195</v>
      </c>
      <c r="O116" s="222"/>
      <c r="P116" s="641">
        <f>N116+P113+P114+P115</f>
        <v>1.7510765402253377</v>
      </c>
      <c r="Q116" s="641">
        <f>P116+Q113+Q114+Q115</f>
        <v>1.7440426151525155</v>
      </c>
      <c r="R116" s="641">
        <f t="shared" ref="R116:Z116" si="104">Q116+R113+R114+R115</f>
        <v>1.7362550566790336</v>
      </c>
      <c r="S116" s="641">
        <f t="shared" si="104"/>
        <v>1.7287187126724384</v>
      </c>
      <c r="T116" s="641">
        <f t="shared" si="104"/>
        <v>1.7209311541989565</v>
      </c>
      <c r="U116" s="641">
        <f t="shared" si="104"/>
        <v>1.7133948101923613</v>
      </c>
      <c r="V116" s="641">
        <f t="shared" si="104"/>
        <v>1.7056072517188794</v>
      </c>
      <c r="W116" s="641">
        <f t="shared" si="104"/>
        <v>1.6978196932453975</v>
      </c>
      <c r="X116" s="641">
        <f t="shared" si="104"/>
        <v>1.6902833492388023</v>
      </c>
      <c r="Y116" s="641">
        <f t="shared" si="104"/>
        <v>1.6824957907653204</v>
      </c>
      <c r="Z116" s="641">
        <f t="shared" si="104"/>
        <v>1.6749594467587252</v>
      </c>
      <c r="AA116" s="641">
        <f>Z116+AA113+AA114+AA115</f>
        <v>1.6671718882852433</v>
      </c>
      <c r="AB116" s="642"/>
      <c r="AC116" s="641">
        <f>AA116+AC113+AC114+AC115</f>
        <v>1.6593843298117614</v>
      </c>
      <c r="AD116" s="641">
        <f>AC116+AD113+AD114+AD115</f>
        <v>1.6523504047389392</v>
      </c>
      <c r="AE116" s="641">
        <f t="shared" ref="AE116:AM116" si="105">AD116+AE113+AE114+AE115</f>
        <v>1.6445628462654573</v>
      </c>
      <c r="AF116" s="641">
        <f t="shared" si="105"/>
        <v>1.6370265022588621</v>
      </c>
      <c r="AG116" s="641">
        <f t="shared" si="105"/>
        <v>1.6292389437853803</v>
      </c>
      <c r="AH116" s="641">
        <f t="shared" si="105"/>
        <v>1.6217025997787851</v>
      </c>
      <c r="AI116" s="641">
        <f t="shared" si="105"/>
        <v>1.6139150413053032</v>
      </c>
      <c r="AJ116" s="641">
        <f t="shared" si="105"/>
        <v>1.6061274828318213</v>
      </c>
      <c r="AK116" s="641">
        <f t="shared" si="105"/>
        <v>1.5985911388252261</v>
      </c>
      <c r="AL116" s="641">
        <f t="shared" si="105"/>
        <v>1.5908035803517442</v>
      </c>
      <c r="AM116" s="641">
        <f t="shared" si="105"/>
        <v>1.583267236345149</v>
      </c>
      <c r="AN116" s="641">
        <f>AM116+AN113+AN114+AN115</f>
        <v>1.5754796778716671</v>
      </c>
      <c r="AO116" s="642"/>
      <c r="AP116" s="641">
        <f>AN116+AP113+AP114+AP115</f>
        <v>1.483787467458092</v>
      </c>
      <c r="AQ116" s="641">
        <f>AP116+AQ113+AQ114+AQ115</f>
        <v>1.3918440525776303</v>
      </c>
      <c r="AR116" s="641">
        <f t="shared" ref="AR116:BB116" si="106">AQ116+AR113+AR114+AR115</f>
        <v>1.3001518421640552</v>
      </c>
      <c r="AS116" s="641">
        <f t="shared" si="106"/>
        <v>1.2084596317504801</v>
      </c>
      <c r="AT116" s="641">
        <f t="shared" si="106"/>
        <v>1.116767421336905</v>
      </c>
      <c r="AU116" s="641">
        <f t="shared" si="106"/>
        <v>1.0248240064564433</v>
      </c>
      <c r="AV116" s="641">
        <f t="shared" si="106"/>
        <v>0.93313179604286811</v>
      </c>
      <c r="AW116" s="641">
        <f t="shared" si="106"/>
        <v>0.84143958562929289</v>
      </c>
      <c r="AX116" s="641">
        <f t="shared" si="106"/>
        <v>0.74974737521571766</v>
      </c>
      <c r="AY116" s="641">
        <f t="shared" si="106"/>
        <v>0.65780396033525601</v>
      </c>
      <c r="AZ116" s="641">
        <f t="shared" si="106"/>
        <v>0.56611174992168078</v>
      </c>
      <c r="BA116" s="641">
        <f t="shared" si="106"/>
        <v>0.47441953950810556</v>
      </c>
      <c r="BB116" s="641">
        <f t="shared" si="106"/>
        <v>0.38272732909453044</v>
      </c>
    </row>
    <row r="117" spans="2:54" s="80" customFormat="1" ht="13.5" thickTop="1">
      <c r="B117" s="640"/>
      <c r="F117" s="643"/>
      <c r="G117" s="644"/>
      <c r="H117" s="643"/>
      <c r="I117" s="643"/>
      <c r="J117" s="643"/>
      <c r="K117" s="643"/>
      <c r="L117" s="643"/>
      <c r="M117" s="643"/>
      <c r="N117" s="736"/>
      <c r="O117" s="629"/>
      <c r="P117" s="645"/>
      <c r="Q117" s="645"/>
      <c r="R117" s="645"/>
      <c r="S117" s="645"/>
      <c r="T117" s="645"/>
      <c r="U117" s="645"/>
      <c r="V117" s="645"/>
      <c r="W117" s="645"/>
      <c r="X117" s="645"/>
      <c r="Y117" s="645"/>
      <c r="Z117" s="645"/>
      <c r="AA117" s="645"/>
      <c r="AB117" s="638"/>
      <c r="AC117" s="645"/>
      <c r="AD117" s="645"/>
      <c r="AE117" s="645"/>
      <c r="AF117" s="645"/>
      <c r="AG117" s="645"/>
      <c r="AH117" s="645"/>
      <c r="AI117" s="645"/>
      <c r="AJ117" s="645"/>
      <c r="AK117" s="645"/>
      <c r="AL117" s="645"/>
      <c r="AM117" s="645"/>
      <c r="AN117" s="645"/>
      <c r="AO117" s="638"/>
      <c r="AP117" s="645"/>
      <c r="AQ117" s="645"/>
      <c r="AR117" s="645"/>
      <c r="AS117" s="645"/>
      <c r="AT117" s="645"/>
      <c r="AU117" s="645"/>
      <c r="AV117" s="645"/>
      <c r="AW117" s="645"/>
      <c r="AX117" s="645"/>
      <c r="AY117" s="645"/>
      <c r="AZ117" s="645"/>
      <c r="BA117" s="645"/>
      <c r="BB117" s="645"/>
    </row>
    <row r="118" spans="2:54" s="80" customFormat="1">
      <c r="B118" s="646" t="s">
        <v>839</v>
      </c>
      <c r="F118" s="643"/>
      <c r="G118" s="644"/>
      <c r="H118" s="643"/>
      <c r="I118" s="643"/>
      <c r="J118" s="643"/>
      <c r="K118" s="643"/>
      <c r="L118" s="643"/>
      <c r="M118" s="643"/>
      <c r="N118" s="736"/>
      <c r="O118" s="629"/>
      <c r="P118" s="736"/>
      <c r="Q118" s="735">
        <v>1.4</v>
      </c>
      <c r="R118" s="735"/>
      <c r="S118" s="736"/>
      <c r="T118" s="736"/>
      <c r="U118" s="735"/>
      <c r="V118" s="735"/>
      <c r="W118" s="736"/>
      <c r="X118" s="736"/>
      <c r="Y118" s="736"/>
      <c r="Z118" s="736"/>
      <c r="AA118" s="735">
        <v>0.02</v>
      </c>
      <c r="AB118" s="638"/>
      <c r="AC118" s="736"/>
      <c r="AD118" s="736"/>
      <c r="AE118" s="736"/>
      <c r="AF118" s="736"/>
      <c r="AG118" s="736"/>
      <c r="AH118" s="736"/>
      <c r="AI118" s="735"/>
      <c r="AJ118" s="736"/>
      <c r="AK118" s="736"/>
      <c r="AL118" s="736"/>
      <c r="AM118" s="736"/>
      <c r="AN118" s="735">
        <v>0.02</v>
      </c>
      <c r="AO118" s="638"/>
      <c r="AP118" s="736">
        <v>0.02</v>
      </c>
      <c r="AQ118" s="736"/>
      <c r="AR118" s="736"/>
      <c r="AS118" s="736"/>
      <c r="AT118" s="736"/>
      <c r="AU118" s="736"/>
      <c r="AV118" s="736"/>
      <c r="AW118" s="736"/>
      <c r="AX118" s="735">
        <f>(AX53+AX57-AX60)*0.013</f>
        <v>5.7918933448999992</v>
      </c>
      <c r="AY118" s="735"/>
      <c r="AZ118" s="736"/>
      <c r="BA118" s="736"/>
      <c r="BB118" s="736"/>
    </row>
    <row r="119" spans="2:54" s="80" customFormat="1">
      <c r="B119" s="647"/>
      <c r="G119" s="623"/>
      <c r="N119" s="735"/>
      <c r="O119" s="615"/>
      <c r="P119" s="735"/>
      <c r="Q119" s="735"/>
      <c r="R119" s="735"/>
      <c r="S119" s="735"/>
      <c r="T119" s="735"/>
      <c r="U119" s="735"/>
      <c r="V119" s="735"/>
      <c r="W119" s="735"/>
      <c r="X119" s="735"/>
      <c r="Y119" s="735"/>
      <c r="Z119" s="735"/>
      <c r="AA119" s="735"/>
      <c r="AB119" s="648"/>
      <c r="AC119" s="735"/>
      <c r="AD119" s="735"/>
      <c r="AE119" s="735"/>
      <c r="AF119" s="735"/>
      <c r="AG119" s="735"/>
      <c r="AH119" s="735"/>
      <c r="AI119" s="735"/>
      <c r="AJ119" s="735"/>
      <c r="AK119" s="735"/>
      <c r="AL119" s="735"/>
      <c r="AM119" s="735"/>
      <c r="AN119" s="735"/>
      <c r="AO119" s="648"/>
      <c r="AP119" s="735"/>
      <c r="AQ119" s="735"/>
      <c r="AR119" s="735"/>
      <c r="AS119" s="735"/>
      <c r="AT119" s="735"/>
      <c r="AU119" s="735"/>
      <c r="AV119" s="735"/>
      <c r="AW119" s="735"/>
      <c r="AX119" s="735"/>
      <c r="AY119" s="735"/>
      <c r="AZ119" s="735"/>
      <c r="BA119" s="735"/>
      <c r="BB119" s="735"/>
    </row>
    <row r="120" spans="2:54" s="80" customFormat="1">
      <c r="B120" s="647" t="s">
        <v>550</v>
      </c>
      <c r="G120" s="623"/>
      <c r="N120" s="735"/>
      <c r="O120" s="615"/>
      <c r="P120" s="735"/>
      <c r="Q120" s="735"/>
      <c r="R120" s="735"/>
      <c r="S120" s="735"/>
      <c r="T120" s="735"/>
      <c r="U120" s="735"/>
      <c r="V120" s="735"/>
      <c r="W120" s="735"/>
      <c r="X120" s="735"/>
      <c r="Y120" s="735"/>
      <c r="Z120" s="735"/>
      <c r="AA120" s="735"/>
      <c r="AB120" s="615"/>
      <c r="AC120" s="735"/>
      <c r="AD120" s="735"/>
      <c r="AE120" s="735"/>
      <c r="AF120" s="735"/>
      <c r="AG120" s="735"/>
      <c r="AH120" s="735"/>
      <c r="AI120" s="735"/>
      <c r="AJ120" s="735"/>
      <c r="AK120" s="735"/>
      <c r="AL120" s="735"/>
      <c r="AM120" s="735"/>
      <c r="AN120" s="735"/>
      <c r="AO120" s="615"/>
      <c r="AP120" s="735"/>
      <c r="AQ120" s="735"/>
      <c r="AR120" s="735"/>
      <c r="AS120" s="735"/>
      <c r="AT120" s="735"/>
      <c r="AU120" s="735"/>
      <c r="AV120" s="735"/>
      <c r="AW120" s="735"/>
      <c r="AX120" s="735"/>
      <c r="AY120" s="735"/>
      <c r="AZ120" s="735"/>
      <c r="BA120" s="735"/>
      <c r="BB120" s="735"/>
    </row>
    <row r="121" spans="2:54" s="80" customFormat="1">
      <c r="B121" s="640" t="s">
        <v>551</v>
      </c>
      <c r="F121" s="634"/>
      <c r="G121" s="631"/>
      <c r="H121" s="634"/>
      <c r="I121" s="634"/>
      <c r="J121" s="634"/>
      <c r="K121" s="634"/>
      <c r="L121" s="634"/>
      <c r="M121" s="634"/>
      <c r="N121" s="738">
        <v>1.9725724899999999</v>
      </c>
      <c r="O121" s="615"/>
      <c r="P121" s="742">
        <v>-9.0324599999999991E-3</v>
      </c>
      <c r="Q121" s="742">
        <v>-8.15835E-3</v>
      </c>
      <c r="R121" s="742">
        <v>-9.0324599999999991E-3</v>
      </c>
      <c r="S121" s="742">
        <v>-8.74109E-3</v>
      </c>
      <c r="T121" s="742">
        <v>-9.0324599999999991E-3</v>
      </c>
      <c r="U121" s="742">
        <v>-8.74109E-3</v>
      </c>
      <c r="V121" s="742">
        <v>-9.0324599999999991E-3</v>
      </c>
      <c r="W121" s="742">
        <v>-9.0324599999999991E-3</v>
      </c>
      <c r="X121" s="742">
        <v>-8.74109E-3</v>
      </c>
      <c r="Y121" s="742">
        <v>-9.0324599999999991E-3</v>
      </c>
      <c r="Z121" s="742">
        <v>-8.74109E-3</v>
      </c>
      <c r="AA121" s="742">
        <v>-9.0324599999999991E-3</v>
      </c>
      <c r="AB121" s="349">
        <f t="shared" ref="AB121:AB126" si="107">SUM(P121:AA121)</f>
        <v>-0.10634992999999998</v>
      </c>
      <c r="AC121" s="742">
        <v>-9.0324599999999991E-3</v>
      </c>
      <c r="AD121" s="742">
        <v>-8.15835E-3</v>
      </c>
      <c r="AE121" s="742">
        <v>-9.0324599999999991E-3</v>
      </c>
      <c r="AF121" s="742">
        <v>-8.74109E-3</v>
      </c>
      <c r="AG121" s="742">
        <v>-9.0324599999999991E-3</v>
      </c>
      <c r="AH121" s="742">
        <v>-8.74109E-3</v>
      </c>
      <c r="AI121" s="742">
        <v>-9.0324599999999991E-3</v>
      </c>
      <c r="AJ121" s="742">
        <v>-9.0324599999999991E-3</v>
      </c>
      <c r="AK121" s="742">
        <v>-8.74109E-3</v>
      </c>
      <c r="AL121" s="742">
        <v>-9.0324599999999991E-3</v>
      </c>
      <c r="AM121" s="742">
        <v>-8.74109E-3</v>
      </c>
      <c r="AN121" s="742">
        <v>-9.0324599999999991E-3</v>
      </c>
      <c r="AO121" s="349">
        <f t="shared" ref="AO121:AO126" si="108">SUM(AC121:AN121)</f>
        <v>-0.10634992999999998</v>
      </c>
      <c r="AP121" s="735">
        <v>-0.10634993</v>
      </c>
      <c r="AQ121" s="735">
        <v>-0.10664129999999999</v>
      </c>
      <c r="AR121" s="735">
        <v>-0.10634993</v>
      </c>
      <c r="AS121" s="735">
        <v>-0.10634993</v>
      </c>
      <c r="AT121" s="735">
        <v>-0.10634993</v>
      </c>
      <c r="AU121" s="735">
        <v>-0.10664129999999999</v>
      </c>
      <c r="AV121" s="735">
        <v>-0.10634993</v>
      </c>
      <c r="AW121" s="735">
        <v>-0.10634993</v>
      </c>
      <c r="AX121" s="735">
        <v>-0.10634993</v>
      </c>
      <c r="AY121" s="735">
        <v>-0.10664129999999999</v>
      </c>
      <c r="AZ121" s="735">
        <v>-0.10634993</v>
      </c>
      <c r="BA121" s="735">
        <v>-0.10634993</v>
      </c>
      <c r="BB121" s="735">
        <v>-0.10634993</v>
      </c>
    </row>
    <row r="122" spans="2:54" s="80" customFormat="1">
      <c r="B122" s="640" t="s">
        <v>552</v>
      </c>
      <c r="F122" s="634"/>
      <c r="G122" s="631"/>
      <c r="H122" s="634"/>
      <c r="I122" s="634"/>
      <c r="J122" s="634"/>
      <c r="K122" s="634"/>
      <c r="L122" s="634"/>
      <c r="M122" s="634"/>
      <c r="N122" s="738">
        <v>1.43602238</v>
      </c>
      <c r="O122" s="615"/>
      <c r="P122" s="738">
        <v>-6.2304572657323441E-3</v>
      </c>
      <c r="Q122" s="738">
        <v>-5.6275097884034087E-3</v>
      </c>
      <c r="R122" s="738">
        <v>-6.2304572657323441E-3</v>
      </c>
      <c r="S122" s="738">
        <v>-6.0294747732893648E-3</v>
      </c>
      <c r="T122" s="738">
        <v>-6.2304572657323441E-3</v>
      </c>
      <c r="U122" s="738">
        <v>-6.0294747732893648E-3</v>
      </c>
      <c r="V122" s="738">
        <v>-6.2304572657323441E-3</v>
      </c>
      <c r="W122" s="738">
        <v>-6.2304572657323441E-3</v>
      </c>
      <c r="X122" s="738">
        <v>-6.0294747732893648E-3</v>
      </c>
      <c r="Y122" s="738">
        <v>-6.2304572657323441E-3</v>
      </c>
      <c r="Z122" s="738">
        <v>-6.0294747732893648E-3</v>
      </c>
      <c r="AA122" s="738">
        <v>-6.2304572657323441E-3</v>
      </c>
      <c r="AB122" s="349">
        <f t="shared" si="107"/>
        <v>-7.3358609741687286E-2</v>
      </c>
      <c r="AC122" s="738">
        <v>-6.2304572657323441E-3</v>
      </c>
      <c r="AD122" s="738">
        <v>-5.6275097884034087E-3</v>
      </c>
      <c r="AE122" s="738">
        <v>-6.2304572657323441E-3</v>
      </c>
      <c r="AF122" s="738">
        <v>-6.0294747732893648E-3</v>
      </c>
      <c r="AG122" s="738">
        <v>-6.2304572657323441E-3</v>
      </c>
      <c r="AH122" s="738">
        <v>-6.0294747732893648E-3</v>
      </c>
      <c r="AI122" s="738">
        <v>-6.2304572657323441E-3</v>
      </c>
      <c r="AJ122" s="738">
        <v>-6.2304572657323441E-3</v>
      </c>
      <c r="AK122" s="738">
        <v>-6.0294747732893648E-3</v>
      </c>
      <c r="AL122" s="738">
        <v>-6.2304572657323441E-3</v>
      </c>
      <c r="AM122" s="738">
        <v>-6.0294747732893648E-3</v>
      </c>
      <c r="AN122" s="738">
        <v>-6.2304572657323441E-3</v>
      </c>
      <c r="AO122" s="349">
        <f t="shared" si="108"/>
        <v>-7.3358609741687286E-2</v>
      </c>
      <c r="AP122" s="738">
        <v>-7.3358609741687286E-2</v>
      </c>
      <c r="AQ122" s="738">
        <v>-7.355959223413025E-2</v>
      </c>
      <c r="AR122" s="738">
        <v>-7.3358609741687286E-2</v>
      </c>
      <c r="AS122" s="738">
        <v>-7.3358609741687286E-2</v>
      </c>
      <c r="AT122" s="738">
        <v>-7.3358609741687286E-2</v>
      </c>
      <c r="AU122" s="738">
        <v>-7.355959223413025E-2</v>
      </c>
      <c r="AV122" s="738">
        <v>-7.3358609741687286E-2</v>
      </c>
      <c r="AW122" s="738">
        <v>-7.3358609741687286E-2</v>
      </c>
      <c r="AX122" s="738">
        <v>-7.3358609741687286E-2</v>
      </c>
      <c r="AY122" s="738">
        <v>-7.355959223413025E-2</v>
      </c>
      <c r="AZ122" s="738">
        <v>-7.3358609741687286E-2</v>
      </c>
      <c r="BA122" s="738">
        <v>-7.3358609741687286E-2</v>
      </c>
      <c r="BB122" s="738">
        <v>-7.3358609741687286E-2</v>
      </c>
    </row>
    <row r="123" spans="2:54" s="80" customFormat="1">
      <c r="B123" s="640" t="s">
        <v>553</v>
      </c>
      <c r="F123" s="634"/>
      <c r="G123" s="631"/>
      <c r="H123" s="634"/>
      <c r="I123" s="634"/>
      <c r="J123" s="634"/>
      <c r="K123" s="634"/>
      <c r="L123" s="634"/>
      <c r="M123" s="634"/>
      <c r="N123" s="738"/>
      <c r="O123" s="615"/>
      <c r="P123" s="738"/>
      <c r="Q123" s="738"/>
      <c r="R123" s="738">
        <f t="shared" ref="R123:U123" si="109">-$Q$118/18/12</f>
        <v>-6.4814814814814813E-3</v>
      </c>
      <c r="S123" s="738">
        <f t="shared" si="109"/>
        <v>-6.4814814814814813E-3</v>
      </c>
      <c r="T123" s="738">
        <f t="shared" si="109"/>
        <v>-6.4814814814814813E-3</v>
      </c>
      <c r="U123" s="738">
        <f t="shared" si="109"/>
        <v>-6.4814814814814813E-3</v>
      </c>
      <c r="V123" s="738">
        <f>-$Q$118/18/12</f>
        <v>-6.4814814814814813E-3</v>
      </c>
      <c r="W123" s="738">
        <f t="shared" ref="W123:AA123" si="110">-$Q$118/18/12</f>
        <v>-6.4814814814814813E-3</v>
      </c>
      <c r="X123" s="738">
        <f t="shared" si="110"/>
        <v>-6.4814814814814813E-3</v>
      </c>
      <c r="Y123" s="738">
        <f t="shared" si="110"/>
        <v>-6.4814814814814813E-3</v>
      </c>
      <c r="Z123" s="738">
        <f t="shared" si="110"/>
        <v>-6.4814814814814813E-3</v>
      </c>
      <c r="AA123" s="738">
        <f t="shared" si="110"/>
        <v>-6.4814814814814813E-3</v>
      </c>
      <c r="AB123" s="349">
        <f t="shared" si="107"/>
        <v>-6.4814814814814825E-2</v>
      </c>
      <c r="AC123" s="738">
        <f>-$Q$118/18/12</f>
        <v>-6.4814814814814813E-3</v>
      </c>
      <c r="AD123" s="738">
        <f t="shared" ref="AD123:AN123" si="111">-$Q$118/18/12</f>
        <v>-6.4814814814814813E-3</v>
      </c>
      <c r="AE123" s="738">
        <f t="shared" si="111"/>
        <v>-6.4814814814814813E-3</v>
      </c>
      <c r="AF123" s="738">
        <f t="shared" si="111"/>
        <v>-6.4814814814814813E-3</v>
      </c>
      <c r="AG123" s="738">
        <f t="shared" si="111"/>
        <v>-6.4814814814814813E-3</v>
      </c>
      <c r="AH123" s="738">
        <f t="shared" si="111"/>
        <v>-6.4814814814814813E-3</v>
      </c>
      <c r="AI123" s="738">
        <f t="shared" si="111"/>
        <v>-6.4814814814814813E-3</v>
      </c>
      <c r="AJ123" s="738">
        <f t="shared" si="111"/>
        <v>-6.4814814814814813E-3</v>
      </c>
      <c r="AK123" s="738">
        <f t="shared" si="111"/>
        <v>-6.4814814814814813E-3</v>
      </c>
      <c r="AL123" s="738">
        <f t="shared" si="111"/>
        <v>-6.4814814814814813E-3</v>
      </c>
      <c r="AM123" s="738">
        <f t="shared" si="111"/>
        <v>-6.4814814814814813E-3</v>
      </c>
      <c r="AN123" s="738">
        <f t="shared" si="111"/>
        <v>-6.4814814814814813E-3</v>
      </c>
      <c r="AO123" s="349">
        <f t="shared" si="108"/>
        <v>-7.7777777777777779E-2</v>
      </c>
      <c r="AP123" s="738">
        <f>-$Q$118/18</f>
        <v>-7.7777777777777779E-2</v>
      </c>
      <c r="AQ123" s="738">
        <f t="shared" ref="AQ123:BB123" si="112">-$Q$118/18</f>
        <v>-7.7777777777777779E-2</v>
      </c>
      <c r="AR123" s="738">
        <f t="shared" si="112"/>
        <v>-7.7777777777777779E-2</v>
      </c>
      <c r="AS123" s="738">
        <f t="shared" si="112"/>
        <v>-7.7777777777777779E-2</v>
      </c>
      <c r="AT123" s="738">
        <f t="shared" si="112"/>
        <v>-7.7777777777777779E-2</v>
      </c>
      <c r="AU123" s="738">
        <f t="shared" si="112"/>
        <v>-7.7777777777777779E-2</v>
      </c>
      <c r="AV123" s="738">
        <f t="shared" si="112"/>
        <v>-7.7777777777777779E-2</v>
      </c>
      <c r="AW123" s="738">
        <f t="shared" si="112"/>
        <v>-7.7777777777777779E-2</v>
      </c>
      <c r="AX123" s="738">
        <f t="shared" si="112"/>
        <v>-7.7777777777777779E-2</v>
      </c>
      <c r="AY123" s="738">
        <f t="shared" si="112"/>
        <v>-7.7777777777777779E-2</v>
      </c>
      <c r="AZ123" s="738">
        <f t="shared" si="112"/>
        <v>-7.7777777777777779E-2</v>
      </c>
      <c r="BA123" s="738">
        <f t="shared" si="112"/>
        <v>-7.7777777777777779E-2</v>
      </c>
      <c r="BB123" s="738">
        <f t="shared" si="112"/>
        <v>-7.7777777777777779E-2</v>
      </c>
    </row>
    <row r="124" spans="2:54" s="80" customFormat="1">
      <c r="B124" s="650" t="s">
        <v>1013</v>
      </c>
      <c r="C124" s="570">
        <f>-(AO124/AN8)</f>
        <v>2.6212503504345385E-3</v>
      </c>
      <c r="F124" s="634"/>
      <c r="G124" s="631"/>
      <c r="H124" s="634"/>
      <c r="I124" s="634"/>
      <c r="J124" s="634"/>
      <c r="K124" s="634"/>
      <c r="L124" s="634"/>
      <c r="M124" s="634"/>
      <c r="N124" s="738">
        <v>0.40749999999999997</v>
      </c>
      <c r="O124" s="615"/>
      <c r="P124" s="649">
        <f t="shared" ref="P124:U124" si="113">-$N$124/3/12</f>
        <v>-1.1319444444444444E-2</v>
      </c>
      <c r="Q124" s="649">
        <f t="shared" si="113"/>
        <v>-1.1319444444444444E-2</v>
      </c>
      <c r="R124" s="649">
        <f t="shared" si="113"/>
        <v>-1.1319444444444444E-2</v>
      </c>
      <c r="S124" s="649">
        <f t="shared" si="113"/>
        <v>-1.1319444444444444E-2</v>
      </c>
      <c r="T124" s="649">
        <f t="shared" si="113"/>
        <v>-1.1319444444444444E-2</v>
      </c>
      <c r="U124" s="649">
        <f t="shared" si="113"/>
        <v>-1.1319444444444444E-2</v>
      </c>
      <c r="V124" s="649">
        <f>-$N$124/3/12</f>
        <v>-1.1319444444444444E-2</v>
      </c>
      <c r="W124" s="649">
        <f t="shared" ref="W124:Z124" si="114">-$N$124/3/12</f>
        <v>-1.1319444444444444E-2</v>
      </c>
      <c r="X124" s="649">
        <f t="shared" si="114"/>
        <v>-1.1319444444444444E-2</v>
      </c>
      <c r="Y124" s="649">
        <f t="shared" si="114"/>
        <v>-1.1319444444444444E-2</v>
      </c>
      <c r="Z124" s="649">
        <f t="shared" si="114"/>
        <v>-1.1319444444444444E-2</v>
      </c>
      <c r="AA124" s="649">
        <f>-$N$124/3/12-AA118</f>
        <v>-3.1319444444444441E-2</v>
      </c>
      <c r="AB124" s="349">
        <f t="shared" si="107"/>
        <v>-0.15583333333333332</v>
      </c>
      <c r="AC124" s="649">
        <f>-$N$124/3/12</f>
        <v>-1.1319444444444444E-2</v>
      </c>
      <c r="AD124" s="649">
        <f t="shared" ref="AD124:AM124" si="115">-$N$124/3/12</f>
        <v>-1.1319444444444444E-2</v>
      </c>
      <c r="AE124" s="649">
        <f t="shared" si="115"/>
        <v>-1.1319444444444444E-2</v>
      </c>
      <c r="AF124" s="649">
        <f t="shared" si="115"/>
        <v>-1.1319444444444444E-2</v>
      </c>
      <c r="AG124" s="649">
        <f t="shared" si="115"/>
        <v>-1.1319444444444444E-2</v>
      </c>
      <c r="AH124" s="649">
        <f t="shared" si="115"/>
        <v>-1.1319444444444444E-2</v>
      </c>
      <c r="AI124" s="649">
        <f t="shared" si="115"/>
        <v>-1.1319444444444444E-2</v>
      </c>
      <c r="AJ124" s="649">
        <f t="shared" si="115"/>
        <v>-1.1319444444444444E-2</v>
      </c>
      <c r="AK124" s="649">
        <f t="shared" si="115"/>
        <v>-1.1319444444444444E-2</v>
      </c>
      <c r="AL124" s="649">
        <f t="shared" si="115"/>
        <v>-1.1319444444444444E-2</v>
      </c>
      <c r="AM124" s="649">
        <f t="shared" si="115"/>
        <v>-1.1319444444444444E-2</v>
      </c>
      <c r="AN124" s="649">
        <f>-$N$124/3/12-AN118</f>
        <v>-3.1319444444444441E-2</v>
      </c>
      <c r="AO124" s="349">
        <f t="shared" si="108"/>
        <v>-0.15583333333333332</v>
      </c>
      <c r="AP124" s="649">
        <f>-$N$124/3-AP118</f>
        <v>-0.15583333333333332</v>
      </c>
      <c r="AQ124" s="649"/>
      <c r="AR124" s="738"/>
      <c r="AS124" s="738"/>
      <c r="AT124" s="738"/>
      <c r="AU124" s="738"/>
      <c r="AV124" s="738"/>
      <c r="AW124" s="738"/>
      <c r="AX124" s="738"/>
      <c r="AY124" s="738"/>
      <c r="AZ124" s="738"/>
      <c r="BA124" s="738"/>
      <c r="BB124" s="738"/>
    </row>
    <row r="125" spans="2:54" s="80" customFormat="1">
      <c r="B125" s="640"/>
      <c r="F125" s="634"/>
      <c r="G125" s="631"/>
      <c r="H125" s="634"/>
      <c r="I125" s="634"/>
      <c r="J125" s="634"/>
      <c r="K125" s="634"/>
      <c r="L125" s="634"/>
      <c r="M125" s="634"/>
      <c r="N125" s="738"/>
      <c r="O125" s="615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349">
        <f t="shared" si="107"/>
        <v>0</v>
      </c>
      <c r="AC125" s="738"/>
      <c r="AD125" s="738"/>
      <c r="AE125" s="738"/>
      <c r="AF125" s="738"/>
      <c r="AG125" s="738"/>
      <c r="AH125" s="738"/>
      <c r="AI125" s="738"/>
      <c r="AJ125" s="738"/>
      <c r="AK125" s="738"/>
      <c r="AL125" s="738"/>
      <c r="AM125" s="738"/>
      <c r="AN125" s="738"/>
      <c r="AO125" s="349">
        <f t="shared" si="108"/>
        <v>0</v>
      </c>
      <c r="AP125" s="735"/>
      <c r="AQ125" s="735"/>
      <c r="AR125" s="735"/>
      <c r="AS125" s="735"/>
      <c r="AT125" s="735"/>
      <c r="AU125" s="735"/>
      <c r="AV125" s="735"/>
      <c r="AW125" s="735"/>
      <c r="AX125" s="735"/>
      <c r="AY125" s="735"/>
      <c r="AZ125" s="735"/>
      <c r="BA125" s="735"/>
      <c r="BB125" s="735"/>
    </row>
    <row r="126" spans="2:54" s="80" customFormat="1">
      <c r="B126" s="650" t="s">
        <v>296</v>
      </c>
      <c r="F126" s="634"/>
      <c r="G126" s="631"/>
      <c r="H126" s="634"/>
      <c r="I126" s="634"/>
      <c r="J126" s="634"/>
      <c r="K126" s="634"/>
      <c r="L126" s="634"/>
      <c r="M126" s="634"/>
      <c r="N126" s="738">
        <v>0.34751994000000003</v>
      </c>
      <c r="O126" s="615"/>
      <c r="P126" s="738"/>
      <c r="Q126" s="738"/>
      <c r="R126" s="738"/>
      <c r="S126" s="738"/>
      <c r="T126" s="738"/>
      <c r="U126" s="738"/>
      <c r="V126" s="738"/>
      <c r="W126" s="738"/>
      <c r="X126" s="738"/>
      <c r="Y126" s="738"/>
      <c r="Z126" s="738"/>
      <c r="AA126" s="738"/>
      <c r="AB126" s="349">
        <f t="shared" si="107"/>
        <v>0</v>
      </c>
      <c r="AC126" s="738"/>
      <c r="AD126" s="738"/>
      <c r="AE126" s="738"/>
      <c r="AF126" s="738"/>
      <c r="AG126" s="738"/>
      <c r="AH126" s="738"/>
      <c r="AI126" s="738"/>
      <c r="AJ126" s="738"/>
      <c r="AK126" s="738"/>
      <c r="AL126" s="738"/>
      <c r="AM126" s="738"/>
      <c r="AN126" s="738"/>
      <c r="AO126" s="349">
        <f t="shared" si="108"/>
        <v>0</v>
      </c>
      <c r="AP126" s="735"/>
      <c r="AQ126" s="735"/>
      <c r="AR126" s="735"/>
      <c r="AS126" s="735"/>
      <c r="AT126" s="735"/>
      <c r="AU126" s="735"/>
      <c r="AV126" s="735"/>
      <c r="AW126" s="735"/>
      <c r="AX126" s="735"/>
      <c r="AY126" s="735">
        <f>-$AX118/20</f>
        <v>-0.28959466724499994</v>
      </c>
      <c r="AZ126" s="735">
        <f>-$AX118/20</f>
        <v>-0.28959466724499994</v>
      </c>
      <c r="BA126" s="735">
        <f>-$AX118/20</f>
        <v>-0.28959466724499994</v>
      </c>
      <c r="BB126" s="735">
        <f>-$AX118/20</f>
        <v>-0.28959466724499994</v>
      </c>
    </row>
    <row r="127" spans="2:54" s="80" customFormat="1" ht="13.5" thickBot="1">
      <c r="B127" s="640" t="s">
        <v>368</v>
      </c>
      <c r="E127" s="112"/>
      <c r="F127" s="96"/>
      <c r="G127" s="322"/>
      <c r="H127" s="96"/>
      <c r="I127" s="96"/>
      <c r="J127" s="96"/>
      <c r="K127" s="96"/>
      <c r="L127" s="96"/>
      <c r="M127" s="96"/>
      <c r="N127" s="749">
        <f>SUM(N121:N126)</f>
        <v>4.1636148099999994</v>
      </c>
      <c r="O127" s="222"/>
      <c r="P127" s="96">
        <f>N127+P118+SUM(P121:P126)-P128</f>
        <v>4.1370324482898226</v>
      </c>
      <c r="Q127" s="96">
        <f>P127+Q118+SUM(Q121:Q126)</f>
        <v>5.5119271440569753</v>
      </c>
      <c r="R127" s="96">
        <f t="shared" ref="R127:Z127" si="116">Q127+R118+SUM(R121:R126)</f>
        <v>5.4788633008653171</v>
      </c>
      <c r="S127" s="96">
        <f t="shared" si="116"/>
        <v>5.4462918101661018</v>
      </c>
      <c r="T127" s="96">
        <f t="shared" si="116"/>
        <v>5.4132279669744436</v>
      </c>
      <c r="U127" s="96">
        <f t="shared" si="116"/>
        <v>5.3806564762752283</v>
      </c>
      <c r="V127" s="96">
        <f t="shared" si="116"/>
        <v>5.3475926330835701</v>
      </c>
      <c r="W127" s="96">
        <f t="shared" si="116"/>
        <v>5.314528789891912</v>
      </c>
      <c r="X127" s="96">
        <f t="shared" si="116"/>
        <v>5.2819572991926966</v>
      </c>
      <c r="Y127" s="96">
        <f t="shared" si="116"/>
        <v>5.2488934560010385</v>
      </c>
      <c r="Z127" s="96">
        <f t="shared" si="116"/>
        <v>5.2163219653018231</v>
      </c>
      <c r="AA127" s="96">
        <f>Z127+AA118+SUM(AA121:AA126)</f>
        <v>5.1832581221101641</v>
      </c>
      <c r="AB127" s="222"/>
      <c r="AC127" s="96">
        <f>AA127+AC118+SUM(AC121:AC126)</f>
        <v>5.150194278918506</v>
      </c>
      <c r="AD127" s="96">
        <f>AC127+AD118+SUM(AD121:AD126)</f>
        <v>5.118607493204177</v>
      </c>
      <c r="AE127" s="96">
        <f t="shared" ref="AE127:AN127" si="117">AD127+AE118+SUM(AE121:AE126)</f>
        <v>5.0855436500125188</v>
      </c>
      <c r="AF127" s="96">
        <f t="shared" si="117"/>
        <v>5.0529721593133035</v>
      </c>
      <c r="AG127" s="96">
        <f t="shared" si="117"/>
        <v>5.0199083161216453</v>
      </c>
      <c r="AH127" s="96">
        <f t="shared" si="117"/>
        <v>4.98733682542243</v>
      </c>
      <c r="AI127" s="96">
        <f t="shared" si="117"/>
        <v>4.9542729822307718</v>
      </c>
      <c r="AJ127" s="96">
        <f t="shared" si="117"/>
        <v>4.9212091390391137</v>
      </c>
      <c r="AK127" s="96">
        <f t="shared" si="117"/>
        <v>4.8886376483398983</v>
      </c>
      <c r="AL127" s="96">
        <f t="shared" si="117"/>
        <v>4.8555738051482402</v>
      </c>
      <c r="AM127" s="96">
        <f t="shared" si="117"/>
        <v>4.8230023144490248</v>
      </c>
      <c r="AN127" s="96">
        <f t="shared" si="117"/>
        <v>4.7899384712573658</v>
      </c>
      <c r="AO127" s="222"/>
      <c r="AP127" s="96">
        <f>AN127+AP118+SUM(AP121:AP126)</f>
        <v>4.3966188204045666</v>
      </c>
      <c r="AQ127" s="96">
        <f>AP127+AQ118+SUM(AQ121:AQ126)</f>
        <v>4.1386401503926589</v>
      </c>
      <c r="AR127" s="96">
        <f t="shared" ref="AR127:BB127" si="118">AQ127+AR118+SUM(AR121:AR126)</f>
        <v>3.8811538328731938</v>
      </c>
      <c r="AS127" s="96">
        <f t="shared" si="118"/>
        <v>3.6236675153537288</v>
      </c>
      <c r="AT127" s="96">
        <f t="shared" si="118"/>
        <v>3.3661811978342637</v>
      </c>
      <c r="AU127" s="96">
        <f t="shared" si="118"/>
        <v>3.108202527822356</v>
      </c>
      <c r="AV127" s="96">
        <f t="shared" si="118"/>
        <v>2.8507162103028909</v>
      </c>
      <c r="AW127" s="96">
        <f t="shared" si="118"/>
        <v>2.5932298927834259</v>
      </c>
      <c r="AX127" s="96">
        <f>AW127+AX118+SUM(AX121:AX126)</f>
        <v>8.12763692016396</v>
      </c>
      <c r="AY127" s="96">
        <f>AX127+AY118+SUM(AY121:AY126)</f>
        <v>7.5800635829070524</v>
      </c>
      <c r="AZ127" s="96">
        <f>AY127+AZ118+SUM(AZ121:AZ126)</f>
        <v>7.0329825981425875</v>
      </c>
      <c r="BA127" s="96">
        <f t="shared" si="118"/>
        <v>6.4859016133781227</v>
      </c>
      <c r="BB127" s="96">
        <f t="shared" si="118"/>
        <v>5.9388206286136578</v>
      </c>
    </row>
    <row r="128" spans="2:54" s="80" customFormat="1" ht="13.5" thickTop="1">
      <c r="B128" s="647"/>
      <c r="G128" s="623"/>
      <c r="N128" s="487"/>
      <c r="O128" s="615"/>
      <c r="P128" s="487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648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648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</row>
    <row r="129" spans="2:54" s="80" customFormat="1">
      <c r="B129" s="647"/>
      <c r="G129" s="623"/>
      <c r="O129" s="615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648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648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</row>
    <row r="130" spans="2:54" s="80" customFormat="1">
      <c r="B130" s="640"/>
      <c r="G130" s="631"/>
      <c r="O130" s="615">
        <f>SUM(G130:N130)</f>
        <v>0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648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648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</row>
    <row r="131" spans="2:54" s="80" customFormat="1">
      <c r="B131" s="640"/>
      <c r="D131" s="94"/>
      <c r="E131" s="94"/>
      <c r="F131" s="94"/>
      <c r="G131" s="631"/>
      <c r="H131" s="94"/>
      <c r="I131" s="94"/>
      <c r="J131" s="94"/>
      <c r="K131" s="94"/>
      <c r="L131" s="94"/>
      <c r="M131" s="94"/>
      <c r="N131" s="94">
        <f>M131-N130</f>
        <v>0</v>
      </c>
      <c r="O131" s="648"/>
      <c r="P131" s="649"/>
      <c r="Q131" s="649"/>
      <c r="R131" s="649"/>
      <c r="S131" s="649"/>
      <c r="T131" s="649"/>
      <c r="U131" s="649"/>
      <c r="V131" s="649"/>
      <c r="W131" s="649"/>
      <c r="X131" s="649"/>
      <c r="Y131" s="649"/>
      <c r="Z131" s="649"/>
      <c r="AA131" s="649"/>
      <c r="AB131" s="349"/>
      <c r="AC131" s="649"/>
      <c r="AD131" s="649"/>
      <c r="AE131" s="649"/>
      <c r="AF131" s="649"/>
      <c r="AG131" s="649"/>
      <c r="AH131" s="649"/>
      <c r="AI131" s="649"/>
      <c r="AJ131" s="649"/>
      <c r="AK131" s="649"/>
      <c r="AL131" s="649"/>
      <c r="AM131" s="649"/>
      <c r="AN131" s="649"/>
      <c r="AO131" s="349"/>
      <c r="AP131" s="649"/>
      <c r="AQ131" s="649"/>
      <c r="AR131" s="649"/>
      <c r="AS131" s="649"/>
      <c r="AT131" s="649"/>
      <c r="AU131" s="649"/>
      <c r="AV131" s="649"/>
      <c r="AW131" s="649"/>
      <c r="AX131" s="649"/>
      <c r="AY131" s="649"/>
      <c r="AZ131" s="649"/>
      <c r="BA131" s="649"/>
      <c r="BB131" s="649"/>
    </row>
    <row r="132" spans="2:54" s="80" customFormat="1">
      <c r="G132" s="623"/>
      <c r="O132" s="615"/>
      <c r="AB132" s="615"/>
      <c r="AO132" s="615"/>
    </row>
    <row r="133" spans="2:54" s="80" customFormat="1">
      <c r="B133" s="647" t="s">
        <v>396</v>
      </c>
      <c r="G133" s="623"/>
      <c r="O133" s="615"/>
      <c r="AB133" s="615"/>
      <c r="AO133" s="615"/>
    </row>
    <row r="134" spans="2:54" s="80" customFormat="1">
      <c r="B134" s="650" t="s">
        <v>393</v>
      </c>
      <c r="G134" s="623"/>
      <c r="N134" s="80">
        <f>N108</f>
        <v>0</v>
      </c>
      <c r="O134" s="615">
        <f>SUM(F134:N134)</f>
        <v>0</v>
      </c>
      <c r="P134" s="80">
        <f>P108</f>
        <v>1.7648299211013421E-2</v>
      </c>
      <c r="Q134" s="80">
        <f t="shared" ref="Q134:AA134" si="119">Q108</f>
        <v>1.5940399287366961E-2</v>
      </c>
      <c r="R134" s="80">
        <f t="shared" si="119"/>
        <v>1.7648299211013421E-2</v>
      </c>
      <c r="S134" s="80">
        <f t="shared" si="119"/>
        <v>1.7078999236464602E-2</v>
      </c>
      <c r="T134" s="80">
        <f t="shared" si="119"/>
        <v>1.764818921101342E-2</v>
      </c>
      <c r="U134" s="80">
        <f t="shared" si="119"/>
        <v>0</v>
      </c>
      <c r="V134" s="80">
        <f t="shared" si="119"/>
        <v>0</v>
      </c>
      <c r="W134" s="80">
        <f t="shared" si="119"/>
        <v>0</v>
      </c>
      <c r="X134" s="80">
        <f t="shared" si="119"/>
        <v>0</v>
      </c>
      <c r="Y134" s="80">
        <f t="shared" si="119"/>
        <v>0</v>
      </c>
      <c r="Z134" s="80">
        <f t="shared" si="119"/>
        <v>0</v>
      </c>
      <c r="AA134" s="80">
        <f t="shared" si="119"/>
        <v>0</v>
      </c>
      <c r="AB134" s="615"/>
      <c r="AC134" s="80">
        <f>AC108</f>
        <v>0</v>
      </c>
      <c r="AD134" s="80">
        <f t="shared" ref="AD134:AZ134" si="120">AD108</f>
        <v>0</v>
      </c>
      <c r="AE134" s="80">
        <f t="shared" si="120"/>
        <v>0</v>
      </c>
      <c r="AF134" s="80">
        <f t="shared" si="120"/>
        <v>0</v>
      </c>
      <c r="AG134" s="80">
        <f>AG108</f>
        <v>0</v>
      </c>
      <c r="AH134" s="80">
        <f t="shared" si="120"/>
        <v>0</v>
      </c>
      <c r="AI134" s="80">
        <f t="shared" si="120"/>
        <v>0</v>
      </c>
      <c r="AJ134" s="80">
        <f t="shared" si="120"/>
        <v>0</v>
      </c>
      <c r="AK134" s="80">
        <f t="shared" si="120"/>
        <v>0</v>
      </c>
      <c r="AL134" s="80">
        <f t="shared" si="120"/>
        <v>0</v>
      </c>
      <c r="AM134" s="80">
        <f t="shared" si="120"/>
        <v>0</v>
      </c>
      <c r="AN134" s="80">
        <f t="shared" si="120"/>
        <v>0</v>
      </c>
      <c r="AO134" s="615"/>
      <c r="AP134" s="80">
        <f t="shared" si="120"/>
        <v>0</v>
      </c>
      <c r="AQ134" s="80">
        <f t="shared" si="120"/>
        <v>0</v>
      </c>
      <c r="AR134" s="80">
        <f t="shared" si="120"/>
        <v>0</v>
      </c>
      <c r="AS134" s="80">
        <f t="shared" si="120"/>
        <v>0</v>
      </c>
      <c r="AT134" s="80">
        <f t="shared" si="120"/>
        <v>0</v>
      </c>
      <c r="AU134" s="80">
        <f t="shared" si="120"/>
        <v>0</v>
      </c>
      <c r="AV134" s="80">
        <f t="shared" si="120"/>
        <v>0</v>
      </c>
      <c r="AW134" s="80">
        <f t="shared" si="120"/>
        <v>0</v>
      </c>
      <c r="AX134" s="80">
        <f t="shared" si="120"/>
        <v>0</v>
      </c>
      <c r="AY134" s="80">
        <f t="shared" si="120"/>
        <v>0</v>
      </c>
      <c r="AZ134" s="80">
        <f t="shared" si="120"/>
        <v>0</v>
      </c>
      <c r="BA134" s="80">
        <f>BA108</f>
        <v>0</v>
      </c>
    </row>
    <row r="135" spans="2:54" s="80" customFormat="1" ht="13.5" thickBot="1">
      <c r="B135" s="650" t="s">
        <v>368</v>
      </c>
      <c r="E135" s="651"/>
      <c r="F135" s="96"/>
      <c r="G135" s="322"/>
      <c r="H135" s="96"/>
      <c r="I135" s="96"/>
      <c r="J135" s="96"/>
      <c r="K135" s="96"/>
      <c r="L135" s="96"/>
      <c r="M135" s="96"/>
      <c r="N135" s="749">
        <v>8.5964189999999996E-2</v>
      </c>
      <c r="O135" s="222"/>
      <c r="P135" s="96">
        <f>N135-P134</f>
        <v>6.8315890788986575E-2</v>
      </c>
      <c r="Q135" s="96">
        <f>P135-Q134</f>
        <v>5.2375491501619617E-2</v>
      </c>
      <c r="R135" s="96">
        <f t="shared" ref="R135:AA135" si="121">Q135-R134</f>
        <v>3.4727192290606196E-2</v>
      </c>
      <c r="S135" s="96">
        <f t="shared" si="121"/>
        <v>1.7648193054141594E-2</v>
      </c>
      <c r="T135" s="96">
        <f t="shared" si="121"/>
        <v>3.8431281733364298E-9</v>
      </c>
      <c r="U135" s="96">
        <f t="shared" si="121"/>
        <v>3.8431281733364298E-9</v>
      </c>
      <c r="V135" s="96">
        <f t="shared" si="121"/>
        <v>3.8431281733364298E-9</v>
      </c>
      <c r="W135" s="96">
        <f t="shared" si="121"/>
        <v>3.8431281733364298E-9</v>
      </c>
      <c r="X135" s="96">
        <f t="shared" si="121"/>
        <v>3.8431281733364298E-9</v>
      </c>
      <c r="Y135" s="96">
        <f t="shared" si="121"/>
        <v>3.8431281733364298E-9</v>
      </c>
      <c r="Z135" s="96">
        <f t="shared" si="121"/>
        <v>3.8431281733364298E-9</v>
      </c>
      <c r="AA135" s="96">
        <f t="shared" si="121"/>
        <v>3.8431281733364298E-9</v>
      </c>
      <c r="AB135" s="222"/>
      <c r="AC135" s="96">
        <f>AA135-AC134</f>
        <v>3.8431281733364298E-9</v>
      </c>
      <c r="AD135" s="96">
        <f>AC135-AD134</f>
        <v>3.8431281733364298E-9</v>
      </c>
      <c r="AE135" s="96">
        <f t="shared" ref="AE135:AN135" si="122">AD135-AE134</f>
        <v>3.8431281733364298E-9</v>
      </c>
      <c r="AF135" s="96">
        <f t="shared" si="122"/>
        <v>3.8431281733364298E-9</v>
      </c>
      <c r="AG135" s="96">
        <f t="shared" si="122"/>
        <v>3.8431281733364298E-9</v>
      </c>
      <c r="AH135" s="96">
        <f t="shared" si="122"/>
        <v>3.8431281733364298E-9</v>
      </c>
      <c r="AI135" s="96">
        <f t="shared" si="122"/>
        <v>3.8431281733364298E-9</v>
      </c>
      <c r="AJ135" s="96">
        <f t="shared" si="122"/>
        <v>3.8431281733364298E-9</v>
      </c>
      <c r="AK135" s="96">
        <f t="shared" si="122"/>
        <v>3.8431281733364298E-9</v>
      </c>
      <c r="AL135" s="96">
        <f t="shared" si="122"/>
        <v>3.8431281733364298E-9</v>
      </c>
      <c r="AM135" s="96">
        <f t="shared" si="122"/>
        <v>3.8431281733364298E-9</v>
      </c>
      <c r="AN135" s="96">
        <f t="shared" si="122"/>
        <v>3.8431281733364298E-9</v>
      </c>
      <c r="AO135" s="222"/>
      <c r="AP135" s="96">
        <f>AN135-AP134</f>
        <v>3.8431281733364298E-9</v>
      </c>
      <c r="AQ135" s="96">
        <f t="shared" ref="AQ135:AZ135" si="123">AP135-AQ134</f>
        <v>3.8431281733364298E-9</v>
      </c>
      <c r="AR135" s="96">
        <f t="shared" si="123"/>
        <v>3.8431281733364298E-9</v>
      </c>
      <c r="AS135" s="96">
        <f t="shared" si="123"/>
        <v>3.8431281733364298E-9</v>
      </c>
      <c r="AT135" s="96">
        <f t="shared" si="123"/>
        <v>3.8431281733364298E-9</v>
      </c>
      <c r="AU135" s="96">
        <f t="shared" si="123"/>
        <v>3.8431281733364298E-9</v>
      </c>
      <c r="AV135" s="96">
        <f t="shared" si="123"/>
        <v>3.8431281733364298E-9</v>
      </c>
      <c r="AW135" s="96">
        <f t="shared" si="123"/>
        <v>3.8431281733364298E-9</v>
      </c>
      <c r="AX135" s="96">
        <f t="shared" si="123"/>
        <v>3.8431281733364298E-9</v>
      </c>
      <c r="AY135" s="96">
        <f t="shared" si="123"/>
        <v>3.8431281733364298E-9</v>
      </c>
      <c r="AZ135" s="96">
        <f t="shared" si="123"/>
        <v>3.8431281733364298E-9</v>
      </c>
      <c r="BA135" s="96">
        <f>AZ135-BA134</f>
        <v>3.8431281733364298E-9</v>
      </c>
      <c r="BB135" s="96"/>
    </row>
    <row r="136" spans="2:54" s="80" customFormat="1" ht="13.5" thickTop="1">
      <c r="G136" s="623"/>
      <c r="H136" s="634"/>
      <c r="I136" s="634"/>
      <c r="J136" s="634"/>
      <c r="K136" s="634"/>
      <c r="L136" s="634"/>
      <c r="M136" s="634"/>
      <c r="N136" s="634"/>
      <c r="O136" s="615"/>
      <c r="P136" s="634"/>
      <c r="Q136" s="634"/>
      <c r="R136" s="634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15"/>
      <c r="AC136" s="634"/>
      <c r="AD136" s="634"/>
      <c r="AE136" s="634"/>
      <c r="AF136" s="634"/>
      <c r="AG136" s="634"/>
      <c r="AH136" s="634"/>
      <c r="AI136" s="634"/>
      <c r="AJ136" s="634"/>
      <c r="AK136" s="634"/>
      <c r="AL136" s="634"/>
      <c r="AM136" s="634"/>
      <c r="AN136" s="634"/>
      <c r="AO136" s="615"/>
      <c r="AP136" s="634"/>
      <c r="AQ136" s="634"/>
      <c r="AR136" s="634"/>
      <c r="AS136" s="634"/>
      <c r="AT136" s="634"/>
      <c r="AU136" s="634"/>
      <c r="AV136" s="634"/>
      <c r="AW136" s="634"/>
      <c r="AX136" s="634"/>
      <c r="AY136" s="634"/>
      <c r="AZ136" s="634"/>
      <c r="BA136" s="634"/>
      <c r="BB136" s="634"/>
    </row>
    <row r="137" spans="2:54" s="80" customFormat="1">
      <c r="B137" s="628" t="s">
        <v>296</v>
      </c>
      <c r="D137" s="94"/>
      <c r="E137" s="94"/>
      <c r="F137" s="94"/>
      <c r="G137" s="631"/>
      <c r="H137" s="94"/>
      <c r="I137" s="94"/>
      <c r="J137" s="94"/>
      <c r="K137" s="94"/>
      <c r="L137" s="94"/>
      <c r="M137" s="94"/>
      <c r="N137" s="94"/>
      <c r="O137" s="648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648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648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</row>
    <row r="138" spans="2:54" s="80" customFormat="1">
      <c r="G138" s="623"/>
      <c r="O138" s="615"/>
      <c r="AB138" s="615"/>
      <c r="AO138" s="615"/>
    </row>
    <row r="139" spans="2:54" s="80" customFormat="1">
      <c r="G139" s="623"/>
      <c r="O139" s="615"/>
      <c r="AB139" s="615"/>
      <c r="AO139" s="615"/>
    </row>
    <row r="140" spans="2:54" s="80" customFormat="1">
      <c r="B140" s="652" t="s">
        <v>338</v>
      </c>
      <c r="G140" s="623"/>
      <c r="O140" s="615"/>
      <c r="P140" s="735"/>
      <c r="Q140" s="735"/>
      <c r="R140" s="735"/>
      <c r="S140" s="735"/>
      <c r="T140" s="735"/>
      <c r="U140" s="735"/>
      <c r="V140" s="735"/>
      <c r="W140" s="735"/>
      <c r="X140" s="735"/>
      <c r="Y140" s="735"/>
      <c r="Z140" s="735"/>
      <c r="AA140" s="735"/>
      <c r="AB140" s="615"/>
      <c r="AC140" s="735"/>
      <c r="AD140" s="735"/>
      <c r="AE140" s="735"/>
      <c r="AF140" s="735"/>
      <c r="AG140" s="735"/>
      <c r="AH140" s="735"/>
      <c r="AI140" s="735"/>
      <c r="AJ140" s="735"/>
      <c r="AK140" s="735"/>
      <c r="AL140" s="735"/>
      <c r="AM140" s="735"/>
      <c r="AN140" s="735"/>
      <c r="AO140" s="615"/>
      <c r="AP140" s="735"/>
      <c r="AQ140" s="735"/>
      <c r="AR140" s="735"/>
      <c r="AS140" s="735"/>
      <c r="AT140" s="735"/>
      <c r="AU140" s="735"/>
      <c r="AV140" s="735"/>
      <c r="AW140" s="735"/>
      <c r="AX140" s="735"/>
      <c r="AY140" s="735"/>
      <c r="AZ140" s="735"/>
      <c r="BA140" s="735"/>
      <c r="BB140" s="735"/>
    </row>
    <row r="141" spans="2:54" s="80" customFormat="1">
      <c r="B141" s="80" t="s">
        <v>125</v>
      </c>
      <c r="C141" s="94"/>
      <c r="D141" s="643"/>
      <c r="G141" s="623"/>
      <c r="O141" s="615"/>
      <c r="P141" s="735"/>
      <c r="Q141" s="735"/>
      <c r="R141" s="735"/>
      <c r="S141" s="735"/>
      <c r="T141" s="735"/>
      <c r="U141" s="735"/>
      <c r="V141" s="735"/>
      <c r="W141" s="735"/>
      <c r="X141" s="735"/>
      <c r="Y141" s="735"/>
      <c r="Z141" s="735"/>
      <c r="AA141" s="735"/>
      <c r="AB141" s="615"/>
      <c r="AC141" s="735"/>
      <c r="AD141" s="735"/>
      <c r="AE141" s="735"/>
      <c r="AF141" s="735"/>
      <c r="AG141" s="735"/>
      <c r="AH141" s="735"/>
      <c r="AI141" s="735"/>
      <c r="AJ141" s="735"/>
      <c r="AK141" s="735"/>
      <c r="AL141" s="735"/>
      <c r="AM141" s="735"/>
      <c r="AN141" s="735"/>
      <c r="AO141" s="615"/>
      <c r="AP141" s="735"/>
      <c r="AQ141" s="735"/>
      <c r="AR141" s="735">
        <f>50*0.004</f>
        <v>0.2</v>
      </c>
      <c r="AS141" s="735"/>
      <c r="AT141" s="735"/>
      <c r="AU141" s="735"/>
      <c r="AV141" s="735"/>
      <c r="AW141" s="735">
        <f>50*0.004</f>
        <v>0.2</v>
      </c>
      <c r="AX141" s="735"/>
      <c r="AY141" s="735"/>
      <c r="AZ141" s="735"/>
      <c r="BA141" s="735"/>
      <c r="BB141" s="735">
        <v>0.2</v>
      </c>
    </row>
    <row r="142" spans="2:54" s="80" customFormat="1">
      <c r="B142" s="80" t="s">
        <v>126</v>
      </c>
      <c r="C142" s="94"/>
      <c r="D142" s="643"/>
      <c r="G142" s="623"/>
      <c r="O142" s="615"/>
      <c r="P142" s="735"/>
      <c r="Q142" s="735"/>
      <c r="R142" s="735"/>
      <c r="S142" s="735"/>
      <c r="T142" s="735"/>
      <c r="U142" s="735"/>
      <c r="V142" s="735"/>
      <c r="W142" s="735"/>
      <c r="X142" s="735"/>
      <c r="Y142" s="735"/>
      <c r="Z142" s="735"/>
      <c r="AA142" s="735"/>
      <c r="AB142" s="615"/>
      <c r="AC142" s="735"/>
      <c r="AD142" s="735"/>
      <c r="AE142" s="735"/>
      <c r="AF142" s="735"/>
      <c r="AG142" s="735"/>
      <c r="AH142" s="735"/>
      <c r="AI142" s="735">
        <v>0.125</v>
      </c>
      <c r="AJ142" s="735"/>
      <c r="AK142" s="735"/>
      <c r="AL142" s="735"/>
      <c r="AM142" s="735"/>
      <c r="AN142" s="735"/>
      <c r="AO142" s="615"/>
      <c r="AP142" s="735"/>
      <c r="AQ142" s="735"/>
      <c r="AR142" s="735"/>
      <c r="AS142" s="735"/>
      <c r="AT142" s="735">
        <v>0.125</v>
      </c>
      <c r="AU142" s="735"/>
      <c r="AV142" s="735"/>
      <c r="AW142" s="735"/>
      <c r="AX142" s="735"/>
      <c r="AY142" s="735">
        <v>0.125</v>
      </c>
      <c r="AZ142" s="735"/>
      <c r="BA142" s="735"/>
      <c r="BB142" s="735"/>
    </row>
    <row r="143" spans="2:54" s="80" customFormat="1" ht="13.5" thickBot="1">
      <c r="B143" s="80" t="s">
        <v>422</v>
      </c>
      <c r="D143" s="643"/>
      <c r="E143" s="96"/>
      <c r="F143" s="96"/>
      <c r="G143" s="322"/>
      <c r="H143" s="96"/>
      <c r="I143" s="96"/>
      <c r="J143" s="96"/>
      <c r="K143" s="96"/>
      <c r="L143" s="96"/>
      <c r="M143" s="96"/>
      <c r="N143" s="96"/>
      <c r="O143" s="222">
        <f>SUM(G143:N143)</f>
        <v>0</v>
      </c>
      <c r="P143" s="96">
        <f>SUM(P141:P142)</f>
        <v>0</v>
      </c>
      <c r="Q143" s="96">
        <f t="shared" ref="Q143:AC143" si="124">SUM(Q141:Q142)</f>
        <v>0</v>
      </c>
      <c r="R143" s="96">
        <f t="shared" si="124"/>
        <v>0</v>
      </c>
      <c r="S143" s="96">
        <f t="shared" si="124"/>
        <v>0</v>
      </c>
      <c r="T143" s="96">
        <f t="shared" si="124"/>
        <v>0</v>
      </c>
      <c r="U143" s="96">
        <f t="shared" si="124"/>
        <v>0</v>
      </c>
      <c r="V143" s="96">
        <f t="shared" si="124"/>
        <v>0</v>
      </c>
      <c r="W143" s="96">
        <f t="shared" si="124"/>
        <v>0</v>
      </c>
      <c r="X143" s="96">
        <f t="shared" si="124"/>
        <v>0</v>
      </c>
      <c r="Y143" s="96">
        <f t="shared" si="124"/>
        <v>0</v>
      </c>
      <c r="Z143" s="96">
        <f t="shared" si="124"/>
        <v>0</v>
      </c>
      <c r="AA143" s="96">
        <f t="shared" si="124"/>
        <v>0</v>
      </c>
      <c r="AB143" s="222">
        <f>SUM(P143:AA143)</f>
        <v>0</v>
      </c>
      <c r="AC143" s="96">
        <f t="shared" si="124"/>
        <v>0</v>
      </c>
      <c r="AD143" s="96">
        <f t="shared" ref="AD143:AN143" si="125">SUM(AD141:AD142)</f>
        <v>0</v>
      </c>
      <c r="AE143" s="96">
        <f t="shared" si="125"/>
        <v>0</v>
      </c>
      <c r="AF143" s="96">
        <f t="shared" si="125"/>
        <v>0</v>
      </c>
      <c r="AG143" s="96">
        <f t="shared" si="125"/>
        <v>0</v>
      </c>
      <c r="AH143" s="96">
        <f t="shared" si="125"/>
        <v>0</v>
      </c>
      <c r="AI143" s="96">
        <f t="shared" si="125"/>
        <v>0.125</v>
      </c>
      <c r="AJ143" s="96">
        <f t="shared" si="125"/>
        <v>0</v>
      </c>
      <c r="AK143" s="96">
        <f t="shared" si="125"/>
        <v>0</v>
      </c>
      <c r="AL143" s="96">
        <f t="shared" si="125"/>
        <v>0</v>
      </c>
      <c r="AM143" s="96">
        <f t="shared" si="125"/>
        <v>0</v>
      </c>
      <c r="AN143" s="96">
        <f t="shared" si="125"/>
        <v>0</v>
      </c>
      <c r="AO143" s="222">
        <f>SUM(AC143:AN143)</f>
        <v>0.125</v>
      </c>
      <c r="AP143" s="96">
        <f>SUM(AP141:AP142)</f>
        <v>0</v>
      </c>
      <c r="AQ143" s="96">
        <f t="shared" ref="AQ143:BB143" si="126">SUM(AQ141:AQ142)</f>
        <v>0</v>
      </c>
      <c r="AR143" s="96">
        <f t="shared" si="126"/>
        <v>0.2</v>
      </c>
      <c r="AS143" s="96">
        <f t="shared" si="126"/>
        <v>0</v>
      </c>
      <c r="AT143" s="96">
        <f t="shared" si="126"/>
        <v>0.125</v>
      </c>
      <c r="AU143" s="96">
        <f t="shared" si="126"/>
        <v>0</v>
      </c>
      <c r="AV143" s="96">
        <f t="shared" si="126"/>
        <v>0</v>
      </c>
      <c r="AW143" s="96">
        <f t="shared" si="126"/>
        <v>0.2</v>
      </c>
      <c r="AX143" s="96">
        <f t="shared" si="126"/>
        <v>0</v>
      </c>
      <c r="AY143" s="96">
        <f t="shared" si="126"/>
        <v>0.125</v>
      </c>
      <c r="AZ143" s="96">
        <f t="shared" si="126"/>
        <v>0</v>
      </c>
      <c r="BA143" s="96">
        <f t="shared" si="126"/>
        <v>0</v>
      </c>
      <c r="BB143" s="96">
        <f t="shared" si="126"/>
        <v>0.2</v>
      </c>
    </row>
    <row r="144" spans="2:54" s="80" customFormat="1" ht="13.5" thickTop="1">
      <c r="G144" s="623"/>
      <c r="O144" s="615"/>
      <c r="AB144" s="615"/>
      <c r="AO144" s="615"/>
    </row>
    <row r="145" spans="1:54" s="80" customFormat="1">
      <c r="G145" s="623"/>
      <c r="O145" s="615"/>
      <c r="AB145" s="615"/>
      <c r="AO145" s="615"/>
    </row>
    <row r="146" spans="1:54" s="80" customFormat="1">
      <c r="G146" s="623"/>
      <c r="O146" s="615"/>
      <c r="AB146" s="615"/>
      <c r="AO146" s="615"/>
    </row>
    <row r="147" spans="1:54" s="80" customFormat="1">
      <c r="B147" s="653"/>
      <c r="G147" s="623"/>
      <c r="O147" s="615"/>
      <c r="AB147" s="615"/>
      <c r="AO147" s="615"/>
    </row>
    <row r="148" spans="1:54" s="80" customFormat="1">
      <c r="B148" s="654"/>
      <c r="D148" s="94"/>
      <c r="E148" s="94"/>
      <c r="G148" s="623"/>
      <c r="O148" s="615"/>
      <c r="AB148" s="615"/>
      <c r="AO148" s="615"/>
    </row>
    <row r="149" spans="1:54" s="80" customFormat="1">
      <c r="B149" s="654"/>
      <c r="D149" s="94"/>
      <c r="E149" s="94"/>
      <c r="G149" s="623"/>
      <c r="O149" s="615"/>
      <c r="AB149" s="615"/>
      <c r="AO149" s="615"/>
    </row>
    <row r="150" spans="1:54" s="80" customFormat="1">
      <c r="B150" s="654"/>
      <c r="D150" s="94"/>
      <c r="E150" s="94"/>
      <c r="G150" s="623"/>
      <c r="O150" s="615"/>
      <c r="AB150" s="615"/>
      <c r="AO150" s="615"/>
    </row>
    <row r="151" spans="1:54" s="80" customFormat="1">
      <c r="G151" s="623"/>
      <c r="O151" s="615"/>
      <c r="AB151" s="615"/>
      <c r="AO151" s="615"/>
    </row>
    <row r="152" spans="1:54" s="80" customFormat="1">
      <c r="B152" s="654"/>
      <c r="D152" s="94"/>
      <c r="E152" s="94"/>
      <c r="G152" s="623"/>
      <c r="O152" s="615"/>
      <c r="AB152" s="615"/>
      <c r="AO152" s="615"/>
    </row>
    <row r="153" spans="1:54" s="80" customFormat="1">
      <c r="G153" s="623"/>
      <c r="O153" s="615"/>
      <c r="AB153" s="615"/>
      <c r="AO153" s="615"/>
    </row>
    <row r="154" spans="1:54" s="80" customFormat="1">
      <c r="G154" s="623"/>
      <c r="O154" s="615"/>
      <c r="AB154" s="615"/>
      <c r="AO154" s="615"/>
    </row>
    <row r="155" spans="1:54" s="80" customFormat="1">
      <c r="G155" s="623"/>
      <c r="O155" s="615"/>
      <c r="AB155" s="615"/>
      <c r="AO155" s="615"/>
    </row>
    <row r="156" spans="1:54" s="80" customFormat="1">
      <c r="B156" s="80" t="s">
        <v>633</v>
      </c>
      <c r="F156" s="634"/>
      <c r="G156" s="623"/>
      <c r="N156" s="735">
        <v>4.9250384399999998</v>
      </c>
      <c r="O156" s="615"/>
      <c r="P156" s="80">
        <f>N156+P105+P106-P12+P11-P19+P18-P26+P25-P33+P32-P42+P41-P50+P49-P58-P34+P163+P113</f>
        <v>4.8315292495890434</v>
      </c>
      <c r="Q156" s="80">
        <f t="shared" ref="Q156:AA156" si="127">P156+Q105+Q106-Q12+Q11-Q19+Q18-Q26+Q25-Q33+Q32-Q42+Q41-Q50+Q49-Q58-Q34+Q163+Q113</f>
        <v>4.8835280498630169</v>
      </c>
      <c r="R156" s="80">
        <f t="shared" si="127"/>
        <v>4.2536021860274005</v>
      </c>
      <c r="S156" s="80">
        <f t="shared" si="127"/>
        <v>6.7447828734246604</v>
      </c>
      <c r="T156" s="80">
        <f t="shared" si="127"/>
        <v>7.2022154250684967</v>
      </c>
      <c r="U156" s="80">
        <f t="shared" si="127"/>
        <v>4.8774989169863057</v>
      </c>
      <c r="V156" s="80">
        <f t="shared" si="127"/>
        <v>4.9609830216438393</v>
      </c>
      <c r="W156" s="80">
        <f t="shared" si="127"/>
        <v>5.4573359963013734</v>
      </c>
      <c r="X156" s="80">
        <f t="shared" si="127"/>
        <v>4.5152494832876737</v>
      </c>
      <c r="Y156" s="80">
        <f t="shared" si="127"/>
        <v>7.1244684873972632</v>
      </c>
      <c r="Z156" s="80">
        <f t="shared" si="127"/>
        <v>7.606688825890414</v>
      </c>
      <c r="AA156" s="80">
        <f t="shared" si="127"/>
        <v>4.9105837795890448</v>
      </c>
      <c r="AB156" s="615"/>
      <c r="AC156" s="80">
        <f>AA156+AC105+AC106-AC12+AC11-AC19+AC18-AC26+AC25-AC33+AC32-AC42+AC41-AC50+AC49-AC58-AC34+AC163+AC113</f>
        <v>4.9446109035616477</v>
      </c>
      <c r="AD156" s="80">
        <f t="shared" ref="AD156:AN156" si="128">AC156+AD105+AD106-AD12+AD11-AD19+AD18-AD26+AD25-AD33+AD32-AD42+AD41-AD50+AD49-AD58-AD34+AD163+AD113</f>
        <v>5.2824590995890439</v>
      </c>
      <c r="AE156" s="80">
        <f t="shared" si="128"/>
        <v>4.4778516557534269</v>
      </c>
      <c r="AF156" s="80">
        <f t="shared" si="128"/>
        <v>7.0528883058904128</v>
      </c>
      <c r="AG156" s="80">
        <f t="shared" si="128"/>
        <v>7.6881992436986319</v>
      </c>
      <c r="AH156" s="80">
        <f t="shared" si="128"/>
        <v>4.8113295665753428</v>
      </c>
      <c r="AI156" s="80">
        <f t="shared" si="128"/>
        <v>4.9712180621917801</v>
      </c>
      <c r="AJ156" s="80">
        <f t="shared" si="128"/>
        <v>5.6294312478082196</v>
      </c>
      <c r="AK156" s="80">
        <f t="shared" si="128"/>
        <v>4.4203836956164375</v>
      </c>
      <c r="AL156" s="80">
        <f t="shared" si="128"/>
        <v>7.072495121780821</v>
      </c>
      <c r="AM156" s="80">
        <f t="shared" si="128"/>
        <v>7.6813646545205465</v>
      </c>
      <c r="AN156" s="80">
        <f t="shared" si="128"/>
        <v>4.7860640446575342</v>
      </c>
      <c r="AO156" s="615"/>
      <c r="AP156" s="80">
        <f>AN156+AP105+AP106-AP12+AP11-AP19+AP18-AP26+AP25-AP33+AP32-AP42+AP41-AP50+AP49-AP58-AP34+AP163+AP113</f>
        <v>4.7564430746575379</v>
      </c>
      <c r="AQ156" s="80">
        <f>AP156+AQ105+AQ106-AQ12+AQ11-AQ19+AQ18-AQ26+AQ25-AQ33+AQ32-AQ42+AQ41-AQ50+AQ49-AQ58-AQ34-AQ61+AQ60+AQ163+AQ113</f>
        <v>4.6959393046575455</v>
      </c>
      <c r="AR156" s="80">
        <f t="shared" ref="AR156:BB156" si="129">AQ156+AR105+AR106-AR12+AR11-AR19+AR18-AR26+AR25-AR33+AR32-AR42+AR41-AR50+AR49-AR58-AR34-AR61+AR60+AR163+AR113</f>
        <v>4.6776254646575461</v>
      </c>
      <c r="AS156" s="80">
        <f t="shared" si="129"/>
        <v>4.6529879346575482</v>
      </c>
      <c r="AT156" s="80">
        <f t="shared" si="129"/>
        <v>4.577109064657539</v>
      </c>
      <c r="AU156" s="80">
        <f t="shared" si="129"/>
        <v>3.8964392946575348</v>
      </c>
      <c r="AV156" s="80">
        <f t="shared" si="129"/>
        <v>3.8476033946575345</v>
      </c>
      <c r="AW156" s="80">
        <f t="shared" si="129"/>
        <v>3.7949893346575401</v>
      </c>
      <c r="AX156" s="80">
        <f>AW156+AX105+AX106-AX12+AX11-AX19+AX18-AX26+AX25-AX33+AX32-AX42+AX41-AX50+AX49-AX58-AX34-AX61+AX60+AX163+AX113</f>
        <v>3.7392546946575465</v>
      </c>
      <c r="AY156" s="80">
        <f t="shared" si="129"/>
        <v>3.6801776546575411</v>
      </c>
      <c r="AZ156" s="80">
        <f t="shared" si="129"/>
        <v>3.6175425646575405</v>
      </c>
      <c r="BA156" s="80">
        <f t="shared" si="129"/>
        <v>3.5510764846575356</v>
      </c>
      <c r="BB156" s="80">
        <f t="shared" si="129"/>
        <v>3.476693594657533</v>
      </c>
    </row>
    <row r="157" spans="1:54" s="80" customFormat="1">
      <c r="G157" s="623"/>
      <c r="O157" s="615"/>
      <c r="AB157" s="615"/>
      <c r="AO157" s="615"/>
    </row>
    <row r="158" spans="1:54" s="80" customFormat="1">
      <c r="G158" s="623"/>
      <c r="O158" s="615"/>
      <c r="AB158" s="615"/>
      <c r="AO158" s="615"/>
    </row>
    <row r="159" spans="1:54" s="80" customFormat="1">
      <c r="A159" s="80" t="s">
        <v>401</v>
      </c>
      <c r="G159" s="623"/>
      <c r="O159" s="615"/>
      <c r="AB159" s="615"/>
      <c r="AO159" s="615"/>
    </row>
    <row r="160" spans="1:54" s="80" customFormat="1">
      <c r="A160" s="80">
        <v>427.1</v>
      </c>
      <c r="B160" s="80" t="s">
        <v>402</v>
      </c>
      <c r="G160" s="623"/>
      <c r="O160" s="615"/>
      <c r="P160" s="80">
        <f>+P110-P107</f>
        <v>3.6107622288000543</v>
      </c>
      <c r="Q160" s="80">
        <f t="shared" ref="Q160:BB160" si="130">+Q110-Q107</f>
        <v>3.3033782695613394</v>
      </c>
      <c r="R160" s="80">
        <f t="shared" si="130"/>
        <v>3.7391699453753966</v>
      </c>
      <c r="S160" s="80">
        <f t="shared" si="130"/>
        <v>3.6470464466337247</v>
      </c>
      <c r="T160" s="80">
        <f t="shared" si="130"/>
        <v>3.754433030854849</v>
      </c>
      <c r="U160" s="80">
        <f t="shared" si="130"/>
        <v>3.6142288967123291</v>
      </c>
      <c r="V160" s="80">
        <f t="shared" si="130"/>
        <v>3.7480179746575342</v>
      </c>
      <c r="W160" s="80">
        <f t="shared" si="130"/>
        <v>3.7480197546575345</v>
      </c>
      <c r="X160" s="80">
        <f t="shared" si="130"/>
        <v>3.6345297809589043</v>
      </c>
      <c r="Y160" s="80">
        <f t="shared" si="130"/>
        <v>3.7867139141095882</v>
      </c>
      <c r="Z160" s="80">
        <f t="shared" si="130"/>
        <v>3.6786797884931506</v>
      </c>
      <c r="AA160" s="80">
        <f t="shared" si="130"/>
        <v>3.7797364041095887</v>
      </c>
      <c r="AB160" s="615">
        <f>SUM(P160:AA160)</f>
        <v>44.044716434923998</v>
      </c>
      <c r="AC160" s="80">
        <f t="shared" si="130"/>
        <v>3.7244909039726029</v>
      </c>
      <c r="AD160" s="80">
        <f t="shared" si="130"/>
        <v>3.4789393160273967</v>
      </c>
      <c r="AE160" s="80">
        <f t="shared" si="130"/>
        <v>3.7985113409589042</v>
      </c>
      <c r="AF160" s="80">
        <f t="shared" si="130"/>
        <v>3.714464580136986</v>
      </c>
      <c r="AG160" s="80">
        <f t="shared" si="130"/>
        <v>3.824162337808219</v>
      </c>
      <c r="AH160" s="80">
        <f t="shared" si="130"/>
        <v>3.6984779097260274</v>
      </c>
      <c r="AI160" s="80">
        <f t="shared" si="130"/>
        <v>3.8250872556164381</v>
      </c>
      <c r="AJ160" s="80">
        <f t="shared" si="130"/>
        <v>3.8250891456164382</v>
      </c>
      <c r="AK160" s="80">
        <f t="shared" si="130"/>
        <v>3.7089339302739734</v>
      </c>
      <c r="AL160" s="80">
        <f t="shared" si="130"/>
        <v>3.8302883261643834</v>
      </c>
      <c r="AM160" s="80">
        <f t="shared" si="130"/>
        <v>3.7208689127397268</v>
      </c>
      <c r="AN160" s="80">
        <f t="shared" si="130"/>
        <v>3.8231032661643831</v>
      </c>
      <c r="AO160" s="615">
        <f>SUM(AC160:AN160)</f>
        <v>44.972417225205476</v>
      </c>
      <c r="AP160" s="80">
        <f t="shared" si="130"/>
        <v>44.970189560000009</v>
      </c>
      <c r="AQ160" s="80">
        <f t="shared" si="130"/>
        <v>44.690747290000004</v>
      </c>
      <c r="AR160" s="80">
        <f t="shared" si="130"/>
        <v>44.232475968166383</v>
      </c>
      <c r="AS160" s="80">
        <f t="shared" si="130"/>
        <v>43.804169941877767</v>
      </c>
      <c r="AT160" s="80">
        <f t="shared" si="130"/>
        <v>43.303699112000473</v>
      </c>
      <c r="AU160" s="80">
        <f t="shared" si="130"/>
        <v>41.173560037726887</v>
      </c>
      <c r="AV160" s="80">
        <f t="shared" si="130"/>
        <v>38.624262042925075</v>
      </c>
      <c r="AW160" s="80">
        <f t="shared" si="130"/>
        <v>37.037402731479219</v>
      </c>
      <c r="AX160" s="80">
        <f t="shared" si="130"/>
        <v>36.42989235158997</v>
      </c>
      <c r="AY160" s="80">
        <f t="shared" si="130"/>
        <v>48.012644617004057</v>
      </c>
      <c r="AZ160" s="80">
        <f t="shared" si="130"/>
        <v>46.446378957140567</v>
      </c>
      <c r="BA160" s="80">
        <f t="shared" si="130"/>
        <v>44.833806446081169</v>
      </c>
      <c r="BB160" s="80">
        <f t="shared" si="130"/>
        <v>43.120361900389987</v>
      </c>
    </row>
    <row r="161" spans="1:54" s="80" customFormat="1">
      <c r="A161" s="80">
        <v>427.3</v>
      </c>
      <c r="B161" s="80" t="s">
        <v>366</v>
      </c>
      <c r="G161" s="623"/>
      <c r="O161" s="615"/>
      <c r="P161" s="80">
        <f t="shared" ref="P161:AA161" si="131">+P107</f>
        <v>-2.2880000000000001E-3</v>
      </c>
      <c r="Q161" s="80">
        <f t="shared" si="131"/>
        <v>-6.149E-3</v>
      </c>
      <c r="R161" s="80">
        <f t="shared" si="131"/>
        <v>-2.2452E-2</v>
      </c>
      <c r="S161" s="80">
        <f t="shared" si="131"/>
        <v>-4.6127000000000001E-2</v>
      </c>
      <c r="T161" s="80">
        <f t="shared" si="131"/>
        <v>-3.9792000000000001E-2</v>
      </c>
      <c r="U161" s="80">
        <f t="shared" si="131"/>
        <v>-6.0372000000000002E-2</v>
      </c>
      <c r="V161" s="80">
        <f t="shared" si="131"/>
        <v>-7.9520999999999994E-2</v>
      </c>
      <c r="W161" s="80">
        <f t="shared" si="131"/>
        <v>-4.0534000000000001E-2</v>
      </c>
      <c r="X161" s="80">
        <f t="shared" si="131"/>
        <v>-6.0048999999999998E-2</v>
      </c>
      <c r="Y161" s="80">
        <f t="shared" si="131"/>
        <v>-0.103341</v>
      </c>
      <c r="Z161" s="80">
        <f t="shared" si="131"/>
        <v>-0.135347</v>
      </c>
      <c r="AA161" s="80">
        <f t="shared" si="131"/>
        <v>-0.17677200000000001</v>
      </c>
      <c r="AB161" s="615">
        <f>SUM(P161:AA161)</f>
        <v>-0.7727440000000001</v>
      </c>
      <c r="AC161" s="80">
        <f t="shared" ref="AC161:AN161" si="132">+AC107</f>
        <v>-0.167106</v>
      </c>
      <c r="AD161" s="80">
        <f t="shared" si="132"/>
        <v>-0.19242100000000001</v>
      </c>
      <c r="AE161" s="80">
        <f t="shared" si="132"/>
        <v>-0.22428799999999999</v>
      </c>
      <c r="AF161" s="80">
        <f t="shared" si="132"/>
        <v>-0.28519099999999997</v>
      </c>
      <c r="AG161" s="80">
        <f t="shared" si="132"/>
        <v>-0.34490500000000002</v>
      </c>
      <c r="AH161" s="80">
        <f t="shared" si="132"/>
        <v>-0.38440999999999997</v>
      </c>
      <c r="AI161" s="80">
        <f t="shared" si="132"/>
        <v>-0.39462599999999998</v>
      </c>
      <c r="AJ161" s="80">
        <f t="shared" si="132"/>
        <v>-1.1945000000000001E-2</v>
      </c>
      <c r="AK161" s="80">
        <f t="shared" si="132"/>
        <v>-2.4031E-2</v>
      </c>
      <c r="AL161" s="80">
        <f t="shared" si="132"/>
        <v>-3.7665999999999998E-2</v>
      </c>
      <c r="AM161" s="80">
        <f t="shared" si="132"/>
        <v>-1.8280000000000001E-2</v>
      </c>
      <c r="AN161" s="80">
        <f t="shared" si="132"/>
        <v>-1.8363999999999998E-2</v>
      </c>
      <c r="AO161" s="615">
        <f>SUM(AC161:AN161)</f>
        <v>-2.1032329999999999</v>
      </c>
      <c r="AP161" s="80">
        <f t="shared" ref="AP161:BB161" si="133">+AP107</f>
        <v>-0.49871399999999999</v>
      </c>
      <c r="AQ161" s="80">
        <f t="shared" si="133"/>
        <v>-0.36825999999999998</v>
      </c>
      <c r="AR161" s="80">
        <f t="shared" si="133"/>
        <v>-0.37511157613749996</v>
      </c>
      <c r="AS161" s="80">
        <f t="shared" si="133"/>
        <v>-0.38636492342162509</v>
      </c>
      <c r="AT161" s="80">
        <f t="shared" si="133"/>
        <v>-0.5039223692651057</v>
      </c>
      <c r="AU161" s="80">
        <f t="shared" si="133"/>
        <v>-0.51904004034305895</v>
      </c>
      <c r="AV161" s="80">
        <f t="shared" si="133"/>
        <v>-0.5346112415533506</v>
      </c>
      <c r="AW161" s="80">
        <f t="shared" si="133"/>
        <v>-0.55064957879995124</v>
      </c>
      <c r="AX161" s="80">
        <f t="shared" si="133"/>
        <v>-0.56716906616394969</v>
      </c>
      <c r="AY161" s="80">
        <f t="shared" si="133"/>
        <v>-0.58418413814886827</v>
      </c>
      <c r="AZ161" s="80">
        <f t="shared" si="133"/>
        <v>-0.60170966229333434</v>
      </c>
      <c r="BA161" s="80">
        <f t="shared" si="133"/>
        <v>0</v>
      </c>
      <c r="BB161" s="80">
        <f t="shared" si="133"/>
        <v>0</v>
      </c>
    </row>
    <row r="162" spans="1:54" s="80" customFormat="1">
      <c r="A162" s="80">
        <v>428</v>
      </c>
      <c r="B162" s="80" t="s">
        <v>1034</v>
      </c>
      <c r="G162" s="623"/>
      <c r="O162" s="615"/>
      <c r="P162" s="80">
        <f>-SUM(P114:P115)-SUM(P121:P126)</f>
        <v>3.436992018365851E-2</v>
      </c>
      <c r="Q162" s="80">
        <f t="shared" ref="Q162:BB162" si="134">-SUM(Q114:Q115)-SUM(Q121:Q126)</f>
        <v>3.2139229305670057E-2</v>
      </c>
      <c r="R162" s="80">
        <f t="shared" si="134"/>
        <v>4.0851401665139994E-2</v>
      </c>
      <c r="S162" s="80">
        <f t="shared" si="134"/>
        <v>4.0107834705810509E-2</v>
      </c>
      <c r="T162" s="80">
        <f t="shared" si="134"/>
        <v>4.0851401665139994E-2</v>
      </c>
      <c r="U162" s="80">
        <f t="shared" si="134"/>
        <v>4.0107834705810509E-2</v>
      </c>
      <c r="V162" s="80">
        <f t="shared" si="134"/>
        <v>4.0851401665139994E-2</v>
      </c>
      <c r="W162" s="80">
        <f t="shared" si="134"/>
        <v>4.0851401665139994E-2</v>
      </c>
      <c r="X162" s="80">
        <f t="shared" si="134"/>
        <v>4.0107834705810509E-2</v>
      </c>
      <c r="Y162" s="80">
        <f t="shared" si="134"/>
        <v>4.0851401665139994E-2</v>
      </c>
      <c r="Z162" s="80">
        <f t="shared" si="134"/>
        <v>4.0107834705810509E-2</v>
      </c>
      <c r="AA162" s="80">
        <f t="shared" si="134"/>
        <v>6.0851401665139991E-2</v>
      </c>
      <c r="AB162" s="615">
        <f>SUM(P162:AA162)</f>
        <v>0.49204889830341059</v>
      </c>
      <c r="AC162" s="80">
        <f t="shared" si="134"/>
        <v>4.0851401665139994E-2</v>
      </c>
      <c r="AD162" s="80">
        <f t="shared" si="134"/>
        <v>3.8620710787151541E-2</v>
      </c>
      <c r="AE162" s="80">
        <f t="shared" si="134"/>
        <v>4.0851401665139994E-2</v>
      </c>
      <c r="AF162" s="80">
        <f t="shared" si="134"/>
        <v>4.0107834705810509E-2</v>
      </c>
      <c r="AG162" s="80">
        <f t="shared" si="134"/>
        <v>4.0851401665139994E-2</v>
      </c>
      <c r="AH162" s="80">
        <f t="shared" si="134"/>
        <v>4.0107834705810509E-2</v>
      </c>
      <c r="AI162" s="80">
        <f t="shared" si="134"/>
        <v>4.0851401665139994E-2</v>
      </c>
      <c r="AJ162" s="80">
        <f t="shared" si="134"/>
        <v>4.0851401665139994E-2</v>
      </c>
      <c r="AK162" s="80">
        <f t="shared" si="134"/>
        <v>4.0107834705810509E-2</v>
      </c>
      <c r="AL162" s="80">
        <f t="shared" si="134"/>
        <v>4.0851401665139994E-2</v>
      </c>
      <c r="AM162" s="80">
        <f t="shared" si="134"/>
        <v>4.0107834705810509E-2</v>
      </c>
      <c r="AN162" s="80">
        <f t="shared" si="134"/>
        <v>6.0851401665139991E-2</v>
      </c>
      <c r="AO162" s="615">
        <f>SUM(AC162:AN162)</f>
        <v>0.50501186126637354</v>
      </c>
      <c r="AP162" s="80">
        <f t="shared" si="134"/>
        <v>0.50501186126637354</v>
      </c>
      <c r="AQ162" s="80">
        <f t="shared" si="134"/>
        <v>0.34992208489236964</v>
      </c>
      <c r="AR162" s="80">
        <f t="shared" si="134"/>
        <v>0.34917852793304016</v>
      </c>
      <c r="AS162" s="80">
        <f t="shared" si="134"/>
        <v>0.34917852793304016</v>
      </c>
      <c r="AT162" s="80">
        <f t="shared" si="134"/>
        <v>0.34917852793304016</v>
      </c>
      <c r="AU162" s="80">
        <f t="shared" si="134"/>
        <v>0.34992208489236964</v>
      </c>
      <c r="AV162" s="80">
        <f t="shared" si="134"/>
        <v>0.34917852793304016</v>
      </c>
      <c r="AW162" s="80">
        <f t="shared" si="134"/>
        <v>0.34917852793304016</v>
      </c>
      <c r="AX162" s="80">
        <f t="shared" si="134"/>
        <v>0.34917852793304016</v>
      </c>
      <c r="AY162" s="80">
        <f t="shared" si="134"/>
        <v>0.63951675213736958</v>
      </c>
      <c r="AZ162" s="80">
        <f t="shared" si="134"/>
        <v>0.6387731951780401</v>
      </c>
      <c r="BA162" s="80">
        <f t="shared" si="134"/>
        <v>0.6387731951780401</v>
      </c>
      <c r="BB162" s="80">
        <f t="shared" si="134"/>
        <v>0.6387731951780401</v>
      </c>
    </row>
    <row r="163" spans="1:54" s="80" customFormat="1">
      <c r="A163" s="80">
        <v>431.1</v>
      </c>
      <c r="B163" s="80" t="s">
        <v>554</v>
      </c>
      <c r="G163" s="623"/>
      <c r="O163" s="615"/>
      <c r="P163" s="80">
        <f>P40</f>
        <v>0</v>
      </c>
      <c r="Q163" s="80">
        <f t="shared" ref="Q163:BB163" si="135">Q40</f>
        <v>0</v>
      </c>
      <c r="R163" s="80">
        <f t="shared" si="135"/>
        <v>0</v>
      </c>
      <c r="S163" s="80">
        <f t="shared" si="135"/>
        <v>0</v>
      </c>
      <c r="T163" s="80">
        <f t="shared" si="135"/>
        <v>0</v>
      </c>
      <c r="U163" s="80">
        <f t="shared" si="135"/>
        <v>0</v>
      </c>
      <c r="V163" s="80">
        <f t="shared" si="135"/>
        <v>0</v>
      </c>
      <c r="W163" s="80">
        <f t="shared" si="135"/>
        <v>0</v>
      </c>
      <c r="X163" s="80">
        <f t="shared" si="135"/>
        <v>0</v>
      </c>
      <c r="Y163" s="80">
        <f t="shared" si="135"/>
        <v>0</v>
      </c>
      <c r="Z163" s="80">
        <f t="shared" si="135"/>
        <v>0</v>
      </c>
      <c r="AA163" s="80">
        <f t="shared" si="135"/>
        <v>0</v>
      </c>
      <c r="AB163" s="615">
        <f>SUM(P163:AA163)</f>
        <v>0</v>
      </c>
      <c r="AC163" s="80">
        <f t="shared" si="135"/>
        <v>0</v>
      </c>
      <c r="AD163" s="80">
        <f t="shared" si="135"/>
        <v>0</v>
      </c>
      <c r="AE163" s="80">
        <f t="shared" si="135"/>
        <v>0</v>
      </c>
      <c r="AF163" s="80">
        <f t="shared" si="135"/>
        <v>0</v>
      </c>
      <c r="AG163" s="80">
        <f t="shared" si="135"/>
        <v>0</v>
      </c>
      <c r="AH163" s="80">
        <f t="shared" si="135"/>
        <v>0</v>
      </c>
      <c r="AI163" s="80">
        <f t="shared" si="135"/>
        <v>0</v>
      </c>
      <c r="AJ163" s="80">
        <f t="shared" si="135"/>
        <v>0</v>
      </c>
      <c r="AK163" s="80">
        <f t="shared" si="135"/>
        <v>0</v>
      </c>
      <c r="AL163" s="80">
        <f t="shared" si="135"/>
        <v>0</v>
      </c>
      <c r="AM163" s="80">
        <f t="shared" si="135"/>
        <v>0</v>
      </c>
      <c r="AN163" s="80">
        <f t="shared" si="135"/>
        <v>0</v>
      </c>
      <c r="AO163" s="615">
        <f>SUM(AC163:AN163)</f>
        <v>0</v>
      </c>
      <c r="AP163" s="80">
        <f t="shared" si="135"/>
        <v>0</v>
      </c>
      <c r="AQ163" s="80">
        <f t="shared" si="135"/>
        <v>0</v>
      </c>
      <c r="AR163" s="80">
        <f t="shared" si="135"/>
        <v>0</v>
      </c>
      <c r="AS163" s="80">
        <f t="shared" si="135"/>
        <v>0</v>
      </c>
      <c r="AT163" s="80">
        <f t="shared" si="135"/>
        <v>0</v>
      </c>
      <c r="AU163" s="80">
        <f t="shared" si="135"/>
        <v>0</v>
      </c>
      <c r="AV163" s="80">
        <f t="shared" si="135"/>
        <v>0</v>
      </c>
      <c r="AW163" s="80">
        <f t="shared" si="135"/>
        <v>0</v>
      </c>
      <c r="AX163" s="80">
        <f t="shared" si="135"/>
        <v>0</v>
      </c>
      <c r="AY163" s="80">
        <f t="shared" si="135"/>
        <v>0</v>
      </c>
      <c r="AZ163" s="80">
        <f t="shared" si="135"/>
        <v>0</v>
      </c>
      <c r="BA163" s="80">
        <f t="shared" si="135"/>
        <v>0</v>
      </c>
      <c r="BB163" s="80">
        <f t="shared" si="135"/>
        <v>0</v>
      </c>
    </row>
    <row r="432" spans="1:2" ht="18">
      <c r="A432" s="267" t="s">
        <v>817</v>
      </c>
      <c r="B432" s="13"/>
    </row>
    <row r="433" spans="1:41">
      <c r="A433" s="864" t="s">
        <v>607</v>
      </c>
      <c r="B433" s="861" t="s">
        <v>1026</v>
      </c>
      <c r="AB433" s="211">
        <f>SUM(P433:AA433)</f>
        <v>0</v>
      </c>
      <c r="AO433" s="817">
        <f>SUM(AC433:AN433)</f>
        <v>0</v>
      </c>
    </row>
    <row r="434" spans="1:41">
      <c r="A434" s="864" t="s">
        <v>818</v>
      </c>
      <c r="B434" s="861" t="s">
        <v>1027</v>
      </c>
      <c r="AB434" s="211">
        <f t="shared" ref="AB434:AB495" si="136">SUM(P434:AA434)</f>
        <v>0</v>
      </c>
      <c r="AO434" s="817">
        <f t="shared" ref="AO434:AO495" si="137">SUM(AC434:AN434)</f>
        <v>0</v>
      </c>
    </row>
    <row r="435" spans="1:41">
      <c r="A435" s="864" t="s">
        <v>607</v>
      </c>
      <c r="B435" s="861" t="s">
        <v>1026</v>
      </c>
      <c r="AB435" s="211">
        <f t="shared" si="136"/>
        <v>0</v>
      </c>
      <c r="AO435" s="817">
        <f t="shared" si="137"/>
        <v>0</v>
      </c>
    </row>
    <row r="436" spans="1:41">
      <c r="A436" s="864" t="s">
        <v>818</v>
      </c>
      <c r="B436" s="861" t="s">
        <v>1028</v>
      </c>
      <c r="AB436" s="211">
        <f t="shared" si="136"/>
        <v>0</v>
      </c>
      <c r="AO436" s="817">
        <f t="shared" si="137"/>
        <v>0</v>
      </c>
    </row>
    <row r="437" spans="1:41">
      <c r="A437" s="864" t="s">
        <v>607</v>
      </c>
      <c r="B437" s="861" t="s">
        <v>1026</v>
      </c>
      <c r="AB437" s="211">
        <f t="shared" si="136"/>
        <v>0</v>
      </c>
      <c r="AO437" s="817">
        <f t="shared" si="137"/>
        <v>0</v>
      </c>
    </row>
    <row r="438" spans="1:41">
      <c r="A438" s="864" t="s">
        <v>818</v>
      </c>
      <c r="B438" s="861" t="s">
        <v>1028</v>
      </c>
      <c r="AB438" s="211">
        <f t="shared" si="136"/>
        <v>0</v>
      </c>
      <c r="AO438" s="817">
        <f t="shared" si="137"/>
        <v>0</v>
      </c>
    </row>
    <row r="439" spans="1:41">
      <c r="A439" s="864" t="s">
        <v>607</v>
      </c>
      <c r="B439" s="861" t="s">
        <v>1026</v>
      </c>
      <c r="AB439" s="211">
        <f t="shared" si="136"/>
        <v>0</v>
      </c>
      <c r="AO439" s="817">
        <f t="shared" si="137"/>
        <v>0</v>
      </c>
    </row>
    <row r="440" spans="1:41">
      <c r="A440" s="864" t="s">
        <v>818</v>
      </c>
      <c r="B440" s="861" t="s">
        <v>1027</v>
      </c>
      <c r="AB440" s="211">
        <f t="shared" si="136"/>
        <v>0</v>
      </c>
      <c r="AO440" s="817">
        <f t="shared" si="137"/>
        <v>0</v>
      </c>
    </row>
    <row r="441" spans="1:41">
      <c r="A441" s="864" t="s">
        <v>612</v>
      </c>
      <c r="B441" s="861" t="s">
        <v>819</v>
      </c>
      <c r="AB441" s="211">
        <f t="shared" si="136"/>
        <v>0</v>
      </c>
      <c r="AO441" s="817">
        <f t="shared" si="137"/>
        <v>0</v>
      </c>
    </row>
    <row r="442" spans="1:41">
      <c r="A442" s="864">
        <v>403.5</v>
      </c>
      <c r="B442" s="861" t="s">
        <v>820</v>
      </c>
      <c r="AB442" s="211">
        <f t="shared" si="136"/>
        <v>0</v>
      </c>
      <c r="AO442" s="817">
        <f t="shared" si="137"/>
        <v>0</v>
      </c>
    </row>
    <row r="443" spans="1:41">
      <c r="A443" s="864">
        <v>403.5</v>
      </c>
      <c r="B443" s="861" t="s">
        <v>821</v>
      </c>
      <c r="AB443" s="211">
        <f t="shared" si="136"/>
        <v>0</v>
      </c>
      <c r="AO443" s="817">
        <f t="shared" si="137"/>
        <v>0</v>
      </c>
    </row>
    <row r="444" spans="1:41">
      <c r="A444" s="864" t="s">
        <v>586</v>
      </c>
      <c r="B444" s="861" t="s">
        <v>822</v>
      </c>
      <c r="AB444" s="211">
        <f t="shared" si="136"/>
        <v>0</v>
      </c>
      <c r="AO444" s="817">
        <f t="shared" si="137"/>
        <v>0</v>
      </c>
    </row>
    <row r="445" spans="1:41">
      <c r="A445" s="864">
        <v>404.11</v>
      </c>
      <c r="B445" s="861" t="s">
        <v>1001</v>
      </c>
      <c r="AB445" s="211">
        <f t="shared" si="136"/>
        <v>0</v>
      </c>
      <c r="AO445" s="817">
        <f t="shared" si="137"/>
        <v>0</v>
      </c>
    </row>
    <row r="446" spans="1:41">
      <c r="A446" s="864" t="s">
        <v>823</v>
      </c>
      <c r="B446" s="861" t="s">
        <v>824</v>
      </c>
      <c r="AB446" s="211">
        <f t="shared" si="136"/>
        <v>0</v>
      </c>
      <c r="AO446" s="817">
        <f t="shared" si="137"/>
        <v>0</v>
      </c>
    </row>
    <row r="447" spans="1:41">
      <c r="A447" s="864" t="s">
        <v>825</v>
      </c>
      <c r="B447" s="861" t="s">
        <v>826</v>
      </c>
      <c r="AB447" s="211">
        <f t="shared" si="136"/>
        <v>0</v>
      </c>
      <c r="AO447" s="817">
        <f t="shared" si="137"/>
        <v>0</v>
      </c>
    </row>
    <row r="448" spans="1:41">
      <c r="A448" s="864" t="s">
        <v>827</v>
      </c>
      <c r="B448" s="861" t="s">
        <v>828</v>
      </c>
      <c r="AB448" s="211">
        <f t="shared" si="136"/>
        <v>0</v>
      </c>
      <c r="AO448" s="817">
        <f t="shared" si="137"/>
        <v>0</v>
      </c>
    </row>
    <row r="449" spans="1:69">
      <c r="A449" s="864" t="s">
        <v>830</v>
      </c>
      <c r="B449" s="861" t="s">
        <v>831</v>
      </c>
      <c r="AB449" s="211">
        <f t="shared" si="136"/>
        <v>0</v>
      </c>
      <c r="AO449" s="817">
        <f t="shared" si="137"/>
        <v>0</v>
      </c>
    </row>
    <row r="450" spans="1:69">
      <c r="A450" s="864" t="s">
        <v>859</v>
      </c>
      <c r="B450" s="861" t="s">
        <v>860</v>
      </c>
      <c r="AB450" s="211">
        <f t="shared" si="136"/>
        <v>0</v>
      </c>
      <c r="AO450" s="817">
        <f t="shared" si="137"/>
        <v>0</v>
      </c>
    </row>
    <row r="451" spans="1:69">
      <c r="A451" s="864" t="s">
        <v>861</v>
      </c>
      <c r="B451" s="861" t="s">
        <v>862</v>
      </c>
      <c r="AB451" s="211">
        <f t="shared" si="136"/>
        <v>0</v>
      </c>
      <c r="AO451" s="817">
        <f t="shared" si="137"/>
        <v>0</v>
      </c>
    </row>
    <row r="452" spans="1:69">
      <c r="A452" s="864" t="s">
        <v>863</v>
      </c>
      <c r="B452" s="861" t="s">
        <v>864</v>
      </c>
      <c r="AB452" s="211">
        <f t="shared" si="136"/>
        <v>0</v>
      </c>
      <c r="AO452" s="817">
        <f t="shared" si="137"/>
        <v>0</v>
      </c>
    </row>
    <row r="453" spans="1:69">
      <c r="A453" s="864">
        <v>426.1</v>
      </c>
      <c r="B453" s="861" t="s">
        <v>880</v>
      </c>
      <c r="AB453" s="211">
        <f t="shared" si="136"/>
        <v>0</v>
      </c>
      <c r="AO453" s="817">
        <f t="shared" si="137"/>
        <v>0</v>
      </c>
    </row>
    <row r="454" spans="1:69">
      <c r="A454" s="864" t="s">
        <v>881</v>
      </c>
      <c r="B454" s="861" t="s">
        <v>882</v>
      </c>
      <c r="AB454" s="211">
        <f t="shared" si="136"/>
        <v>0</v>
      </c>
      <c r="AO454" s="817">
        <f t="shared" si="137"/>
        <v>0</v>
      </c>
    </row>
    <row r="455" spans="1:69">
      <c r="A455" s="864">
        <v>426.4</v>
      </c>
      <c r="B455" s="861" t="s">
        <v>883</v>
      </c>
      <c r="AB455" s="211">
        <f t="shared" si="136"/>
        <v>0</v>
      </c>
      <c r="AO455" s="817">
        <f t="shared" si="137"/>
        <v>0</v>
      </c>
    </row>
    <row r="456" spans="1:69">
      <c r="A456" s="864" t="s">
        <v>884</v>
      </c>
      <c r="B456" s="861" t="s">
        <v>885</v>
      </c>
      <c r="AB456" s="211">
        <f t="shared" si="136"/>
        <v>0</v>
      </c>
      <c r="AO456" s="817">
        <f t="shared" si="137"/>
        <v>0</v>
      </c>
    </row>
    <row r="457" spans="1:69">
      <c r="A457" s="864">
        <v>427.1</v>
      </c>
      <c r="B457" s="861" t="s">
        <v>970</v>
      </c>
      <c r="G457" s="321"/>
      <c r="H457" s="16"/>
      <c r="I457" s="16"/>
      <c r="J457" s="16"/>
      <c r="K457" s="16"/>
      <c r="L457" s="16"/>
      <c r="M457" s="16"/>
      <c r="N457" s="16"/>
      <c r="P457" s="78">
        <f t="shared" ref="P457:AA457" si="138">+P160</f>
        <v>3.6107622288000543</v>
      </c>
      <c r="Q457" s="78">
        <f t="shared" si="138"/>
        <v>3.3033782695613394</v>
      </c>
      <c r="R457" s="78">
        <f t="shared" si="138"/>
        <v>3.7391699453753966</v>
      </c>
      <c r="S457" s="78">
        <f t="shared" si="138"/>
        <v>3.6470464466337247</v>
      </c>
      <c r="T457" s="78">
        <f t="shared" si="138"/>
        <v>3.754433030854849</v>
      </c>
      <c r="U457" s="78">
        <f t="shared" si="138"/>
        <v>3.6142288967123291</v>
      </c>
      <c r="V457" s="78">
        <f t="shared" si="138"/>
        <v>3.7480179746575342</v>
      </c>
      <c r="W457" s="78">
        <f t="shared" si="138"/>
        <v>3.7480197546575345</v>
      </c>
      <c r="X457" s="78">
        <f t="shared" si="138"/>
        <v>3.6345297809589043</v>
      </c>
      <c r="Y457" s="78">
        <f t="shared" si="138"/>
        <v>3.7867139141095882</v>
      </c>
      <c r="Z457" s="78">
        <f t="shared" si="138"/>
        <v>3.6786797884931506</v>
      </c>
      <c r="AA457" s="78">
        <f t="shared" si="138"/>
        <v>3.7797364041095887</v>
      </c>
      <c r="AB457" s="211">
        <f t="shared" si="136"/>
        <v>44.044716434923998</v>
      </c>
      <c r="AC457" s="78">
        <f t="shared" ref="AC457:AN457" si="139">+AC160</f>
        <v>3.7244909039726029</v>
      </c>
      <c r="AD457" s="78">
        <f t="shared" si="139"/>
        <v>3.4789393160273967</v>
      </c>
      <c r="AE457" s="78">
        <f t="shared" si="139"/>
        <v>3.7985113409589042</v>
      </c>
      <c r="AF457" s="78">
        <f t="shared" si="139"/>
        <v>3.714464580136986</v>
      </c>
      <c r="AG457" s="78">
        <f t="shared" si="139"/>
        <v>3.824162337808219</v>
      </c>
      <c r="AH457" s="78">
        <f t="shared" si="139"/>
        <v>3.6984779097260274</v>
      </c>
      <c r="AI457" s="78">
        <f t="shared" si="139"/>
        <v>3.8250872556164381</v>
      </c>
      <c r="AJ457" s="78">
        <f t="shared" si="139"/>
        <v>3.8250891456164382</v>
      </c>
      <c r="AK457" s="78">
        <f t="shared" si="139"/>
        <v>3.7089339302739734</v>
      </c>
      <c r="AL457" s="78">
        <f t="shared" si="139"/>
        <v>3.8302883261643834</v>
      </c>
      <c r="AM457" s="78">
        <f t="shared" si="139"/>
        <v>3.7208689127397268</v>
      </c>
      <c r="AN457" s="78">
        <f t="shared" si="139"/>
        <v>3.8231032661643831</v>
      </c>
      <c r="AO457" s="817">
        <f t="shared" si="137"/>
        <v>44.972417225205476</v>
      </c>
      <c r="AP457" s="78">
        <f t="shared" ref="AP457:BB457" si="140">+AP160</f>
        <v>44.970189560000009</v>
      </c>
      <c r="AQ457" s="78">
        <f t="shared" si="140"/>
        <v>44.690747290000004</v>
      </c>
      <c r="AR457" s="78">
        <f t="shared" si="140"/>
        <v>44.232475968166383</v>
      </c>
      <c r="AS457" s="78">
        <f t="shared" si="140"/>
        <v>43.804169941877767</v>
      </c>
      <c r="AT457" s="78">
        <f t="shared" si="140"/>
        <v>43.303699112000473</v>
      </c>
      <c r="AU457" s="78">
        <f t="shared" si="140"/>
        <v>41.173560037726887</v>
      </c>
      <c r="AV457" s="78">
        <f t="shared" si="140"/>
        <v>38.624262042925075</v>
      </c>
      <c r="AW457" s="78">
        <f t="shared" si="140"/>
        <v>37.037402731479219</v>
      </c>
      <c r="AX457" s="78">
        <f t="shared" si="140"/>
        <v>36.42989235158997</v>
      </c>
      <c r="AY457" s="78">
        <f t="shared" si="140"/>
        <v>48.012644617004057</v>
      </c>
      <c r="AZ457" s="78">
        <f t="shared" si="140"/>
        <v>46.446378957140567</v>
      </c>
      <c r="BA457" s="78">
        <f t="shared" si="140"/>
        <v>44.833806446081169</v>
      </c>
      <c r="BB457" s="78">
        <f t="shared" si="140"/>
        <v>43.120361900389987</v>
      </c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</row>
    <row r="458" spans="1:69">
      <c r="A458" s="864" t="s">
        <v>886</v>
      </c>
      <c r="B458" s="861" t="s">
        <v>971</v>
      </c>
      <c r="G458" s="319"/>
      <c r="H458" s="16"/>
      <c r="I458" s="16"/>
      <c r="J458" s="16"/>
      <c r="K458" s="16"/>
      <c r="L458" s="16"/>
      <c r="M458" s="16"/>
      <c r="N458" s="16"/>
      <c r="P458" s="78">
        <f t="shared" ref="P458:AA458" si="141">+P161</f>
        <v>-2.2880000000000001E-3</v>
      </c>
      <c r="Q458" s="78">
        <f t="shared" si="141"/>
        <v>-6.149E-3</v>
      </c>
      <c r="R458" s="78">
        <f t="shared" si="141"/>
        <v>-2.2452E-2</v>
      </c>
      <c r="S458" s="78">
        <f t="shared" si="141"/>
        <v>-4.6127000000000001E-2</v>
      </c>
      <c r="T458" s="78">
        <f t="shared" si="141"/>
        <v>-3.9792000000000001E-2</v>
      </c>
      <c r="U458" s="78">
        <f t="shared" si="141"/>
        <v>-6.0372000000000002E-2</v>
      </c>
      <c r="V458" s="78">
        <f t="shared" si="141"/>
        <v>-7.9520999999999994E-2</v>
      </c>
      <c r="W458" s="78">
        <f t="shared" si="141"/>
        <v>-4.0534000000000001E-2</v>
      </c>
      <c r="X458" s="78">
        <f t="shared" si="141"/>
        <v>-6.0048999999999998E-2</v>
      </c>
      <c r="Y458" s="78">
        <f t="shared" si="141"/>
        <v>-0.103341</v>
      </c>
      <c r="Z458" s="78">
        <f t="shared" si="141"/>
        <v>-0.135347</v>
      </c>
      <c r="AA458" s="78">
        <f t="shared" si="141"/>
        <v>-0.17677200000000001</v>
      </c>
      <c r="AB458" s="211">
        <f t="shared" si="136"/>
        <v>-0.7727440000000001</v>
      </c>
      <c r="AC458" s="78">
        <f t="shared" ref="AC458:AN458" si="142">+AC161</f>
        <v>-0.167106</v>
      </c>
      <c r="AD458" s="78">
        <f t="shared" si="142"/>
        <v>-0.19242100000000001</v>
      </c>
      <c r="AE458" s="78">
        <f t="shared" si="142"/>
        <v>-0.22428799999999999</v>
      </c>
      <c r="AF458" s="78">
        <f t="shared" si="142"/>
        <v>-0.28519099999999997</v>
      </c>
      <c r="AG458" s="78">
        <f t="shared" si="142"/>
        <v>-0.34490500000000002</v>
      </c>
      <c r="AH458" s="78">
        <f t="shared" si="142"/>
        <v>-0.38440999999999997</v>
      </c>
      <c r="AI458" s="78">
        <f t="shared" si="142"/>
        <v>-0.39462599999999998</v>
      </c>
      <c r="AJ458" s="78">
        <f t="shared" si="142"/>
        <v>-1.1945000000000001E-2</v>
      </c>
      <c r="AK458" s="78">
        <f t="shared" si="142"/>
        <v>-2.4031E-2</v>
      </c>
      <c r="AL458" s="78">
        <f t="shared" si="142"/>
        <v>-3.7665999999999998E-2</v>
      </c>
      <c r="AM458" s="78">
        <f t="shared" si="142"/>
        <v>-1.8280000000000001E-2</v>
      </c>
      <c r="AN458" s="78">
        <f t="shared" si="142"/>
        <v>-1.8363999999999998E-2</v>
      </c>
      <c r="AO458" s="817">
        <f t="shared" si="137"/>
        <v>-2.1032329999999999</v>
      </c>
      <c r="AP458" s="78">
        <f t="shared" ref="AP458:BB458" si="143">+AP161</f>
        <v>-0.49871399999999999</v>
      </c>
      <c r="AQ458" s="78">
        <f t="shared" si="143"/>
        <v>-0.36825999999999998</v>
      </c>
      <c r="AR458" s="78">
        <f t="shared" si="143"/>
        <v>-0.37511157613749996</v>
      </c>
      <c r="AS458" s="78">
        <f t="shared" si="143"/>
        <v>-0.38636492342162509</v>
      </c>
      <c r="AT458" s="78">
        <f t="shared" si="143"/>
        <v>-0.5039223692651057</v>
      </c>
      <c r="AU458" s="78">
        <f t="shared" si="143"/>
        <v>-0.51904004034305895</v>
      </c>
      <c r="AV458" s="78">
        <f t="shared" si="143"/>
        <v>-0.5346112415533506</v>
      </c>
      <c r="AW458" s="78">
        <f t="shared" si="143"/>
        <v>-0.55064957879995124</v>
      </c>
      <c r="AX458" s="78">
        <f t="shared" si="143"/>
        <v>-0.56716906616394969</v>
      </c>
      <c r="AY458" s="78">
        <f t="shared" si="143"/>
        <v>-0.58418413814886827</v>
      </c>
      <c r="AZ458" s="78">
        <f t="shared" si="143"/>
        <v>-0.60170966229333434</v>
      </c>
      <c r="BA458" s="78">
        <f t="shared" si="143"/>
        <v>0</v>
      </c>
      <c r="BB458" s="78">
        <f t="shared" si="143"/>
        <v>0</v>
      </c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</row>
    <row r="459" spans="1:69">
      <c r="A459" s="864" t="s">
        <v>895</v>
      </c>
      <c r="B459" s="861" t="s">
        <v>896</v>
      </c>
      <c r="G459" s="323"/>
      <c r="H459" s="30"/>
      <c r="I459" s="30"/>
      <c r="J459" s="30"/>
      <c r="K459" s="30"/>
      <c r="L459" s="30"/>
      <c r="M459" s="30"/>
      <c r="N459" s="30"/>
      <c r="P459" s="78">
        <f t="shared" ref="P459:AA459" si="144">+P162</f>
        <v>3.436992018365851E-2</v>
      </c>
      <c r="Q459" s="78">
        <f t="shared" si="144"/>
        <v>3.2139229305670057E-2</v>
      </c>
      <c r="R459" s="78">
        <f t="shared" si="144"/>
        <v>4.0851401665139994E-2</v>
      </c>
      <c r="S459" s="78">
        <f t="shared" si="144"/>
        <v>4.0107834705810509E-2</v>
      </c>
      <c r="T459" s="78">
        <f t="shared" si="144"/>
        <v>4.0851401665139994E-2</v>
      </c>
      <c r="U459" s="78">
        <f t="shared" si="144"/>
        <v>4.0107834705810509E-2</v>
      </c>
      <c r="V459" s="78">
        <f t="shared" si="144"/>
        <v>4.0851401665139994E-2</v>
      </c>
      <c r="W459" s="78">
        <f t="shared" si="144"/>
        <v>4.0851401665139994E-2</v>
      </c>
      <c r="X459" s="78">
        <f t="shared" si="144"/>
        <v>4.0107834705810509E-2</v>
      </c>
      <c r="Y459" s="78">
        <f t="shared" si="144"/>
        <v>4.0851401665139994E-2</v>
      </c>
      <c r="Z459" s="78">
        <f t="shared" si="144"/>
        <v>4.0107834705810509E-2</v>
      </c>
      <c r="AA459" s="78">
        <f t="shared" si="144"/>
        <v>6.0851401665139991E-2</v>
      </c>
      <c r="AB459" s="211">
        <f t="shared" si="136"/>
        <v>0.49204889830341059</v>
      </c>
      <c r="AC459" s="78">
        <f t="shared" ref="AC459:AN459" si="145">+AC162</f>
        <v>4.0851401665139994E-2</v>
      </c>
      <c r="AD459" s="78">
        <f t="shared" si="145"/>
        <v>3.8620710787151541E-2</v>
      </c>
      <c r="AE459" s="78">
        <f t="shared" si="145"/>
        <v>4.0851401665139994E-2</v>
      </c>
      <c r="AF459" s="78">
        <f t="shared" si="145"/>
        <v>4.0107834705810509E-2</v>
      </c>
      <c r="AG459" s="78">
        <f t="shared" si="145"/>
        <v>4.0851401665139994E-2</v>
      </c>
      <c r="AH459" s="78">
        <f t="shared" si="145"/>
        <v>4.0107834705810509E-2</v>
      </c>
      <c r="AI459" s="78">
        <f t="shared" si="145"/>
        <v>4.0851401665139994E-2</v>
      </c>
      <c r="AJ459" s="78">
        <f t="shared" si="145"/>
        <v>4.0851401665139994E-2</v>
      </c>
      <c r="AK459" s="78">
        <f t="shared" si="145"/>
        <v>4.0107834705810509E-2</v>
      </c>
      <c r="AL459" s="78">
        <f t="shared" si="145"/>
        <v>4.0851401665139994E-2</v>
      </c>
      <c r="AM459" s="78">
        <f t="shared" si="145"/>
        <v>4.0107834705810509E-2</v>
      </c>
      <c r="AN459" s="78">
        <f t="shared" si="145"/>
        <v>6.0851401665139991E-2</v>
      </c>
      <c r="AO459" s="817">
        <f t="shared" si="137"/>
        <v>0.50501186126637354</v>
      </c>
      <c r="AP459" s="78">
        <f t="shared" ref="AP459:BB459" si="146">+AP162</f>
        <v>0.50501186126637354</v>
      </c>
      <c r="AQ459" s="78">
        <f t="shared" si="146"/>
        <v>0.34992208489236964</v>
      </c>
      <c r="AR459" s="78">
        <f t="shared" si="146"/>
        <v>0.34917852793304016</v>
      </c>
      <c r="AS459" s="78">
        <f t="shared" si="146"/>
        <v>0.34917852793304016</v>
      </c>
      <c r="AT459" s="78">
        <f t="shared" si="146"/>
        <v>0.34917852793304016</v>
      </c>
      <c r="AU459" s="78">
        <f t="shared" si="146"/>
        <v>0.34992208489236964</v>
      </c>
      <c r="AV459" s="78">
        <f t="shared" si="146"/>
        <v>0.34917852793304016</v>
      </c>
      <c r="AW459" s="78">
        <f t="shared" si="146"/>
        <v>0.34917852793304016</v>
      </c>
      <c r="AX459" s="78">
        <f t="shared" si="146"/>
        <v>0.34917852793304016</v>
      </c>
      <c r="AY459" s="78">
        <f t="shared" si="146"/>
        <v>0.63951675213736958</v>
      </c>
      <c r="AZ459" s="78">
        <f t="shared" si="146"/>
        <v>0.6387731951780401</v>
      </c>
      <c r="BA459" s="78">
        <f t="shared" si="146"/>
        <v>0.6387731951780401</v>
      </c>
      <c r="BB459" s="78">
        <f t="shared" si="146"/>
        <v>0.6387731951780401</v>
      </c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</row>
    <row r="460" spans="1:69">
      <c r="A460" s="864" t="s">
        <v>897</v>
      </c>
      <c r="B460" s="861" t="s">
        <v>898</v>
      </c>
      <c r="P460" s="78">
        <f t="shared" ref="P460:AA460" si="147">P163</f>
        <v>0</v>
      </c>
      <c r="Q460" s="78">
        <f t="shared" si="147"/>
        <v>0</v>
      </c>
      <c r="R460" s="78">
        <f t="shared" si="147"/>
        <v>0</v>
      </c>
      <c r="S460" s="78">
        <f t="shared" si="147"/>
        <v>0</v>
      </c>
      <c r="T460" s="78">
        <f t="shared" si="147"/>
        <v>0</v>
      </c>
      <c r="U460" s="78">
        <f t="shared" si="147"/>
        <v>0</v>
      </c>
      <c r="V460" s="78">
        <f t="shared" si="147"/>
        <v>0</v>
      </c>
      <c r="W460" s="78">
        <f t="shared" si="147"/>
        <v>0</v>
      </c>
      <c r="X460" s="78">
        <f t="shared" si="147"/>
        <v>0</v>
      </c>
      <c r="Y460" s="78">
        <f t="shared" si="147"/>
        <v>0</v>
      </c>
      <c r="Z460" s="78">
        <f t="shared" si="147"/>
        <v>0</v>
      </c>
      <c r="AA460" s="78">
        <f t="shared" si="147"/>
        <v>0</v>
      </c>
      <c r="AB460" s="211">
        <f t="shared" si="136"/>
        <v>0</v>
      </c>
      <c r="AC460" s="78">
        <f t="shared" ref="AC460:AN460" si="148">AC163</f>
        <v>0</v>
      </c>
      <c r="AD460" s="78">
        <f t="shared" si="148"/>
        <v>0</v>
      </c>
      <c r="AE460" s="78">
        <f t="shared" si="148"/>
        <v>0</v>
      </c>
      <c r="AF460" s="78">
        <f t="shared" si="148"/>
        <v>0</v>
      </c>
      <c r="AG460" s="78">
        <f t="shared" si="148"/>
        <v>0</v>
      </c>
      <c r="AH460" s="78">
        <f t="shared" si="148"/>
        <v>0</v>
      </c>
      <c r="AI460" s="78">
        <f t="shared" si="148"/>
        <v>0</v>
      </c>
      <c r="AJ460" s="78">
        <f t="shared" si="148"/>
        <v>0</v>
      </c>
      <c r="AK460" s="78">
        <f t="shared" si="148"/>
        <v>0</v>
      </c>
      <c r="AL460" s="78">
        <f t="shared" si="148"/>
        <v>0</v>
      </c>
      <c r="AM460" s="78">
        <f t="shared" si="148"/>
        <v>0</v>
      </c>
      <c r="AN460" s="78">
        <f t="shared" si="148"/>
        <v>0</v>
      </c>
      <c r="AO460" s="817">
        <f t="shared" si="137"/>
        <v>0</v>
      </c>
      <c r="AP460" s="78">
        <f t="shared" ref="AP460:BB460" si="149">AP163</f>
        <v>0</v>
      </c>
      <c r="AQ460" s="78">
        <f t="shared" si="149"/>
        <v>0</v>
      </c>
      <c r="AR460" s="78">
        <f t="shared" si="149"/>
        <v>0</v>
      </c>
      <c r="AS460" s="78">
        <f t="shared" si="149"/>
        <v>0</v>
      </c>
      <c r="AT460" s="78">
        <f t="shared" si="149"/>
        <v>0</v>
      </c>
      <c r="AU460" s="78">
        <f t="shared" si="149"/>
        <v>0</v>
      </c>
      <c r="AV460" s="78">
        <f t="shared" si="149"/>
        <v>0</v>
      </c>
      <c r="AW460" s="78">
        <f t="shared" si="149"/>
        <v>0</v>
      </c>
      <c r="AX460" s="78">
        <f t="shared" si="149"/>
        <v>0</v>
      </c>
      <c r="AY460" s="78">
        <f t="shared" si="149"/>
        <v>0</v>
      </c>
      <c r="AZ460" s="78">
        <f t="shared" si="149"/>
        <v>0</v>
      </c>
      <c r="BA460" s="78">
        <f t="shared" si="149"/>
        <v>0</v>
      </c>
      <c r="BB460" s="78">
        <f t="shared" si="149"/>
        <v>0</v>
      </c>
    </row>
    <row r="461" spans="1:69">
      <c r="A461" s="864" t="s">
        <v>899</v>
      </c>
      <c r="B461" s="861" t="s">
        <v>900</v>
      </c>
      <c r="AB461" s="211">
        <f t="shared" si="136"/>
        <v>0</v>
      </c>
      <c r="AO461" s="817">
        <f t="shared" si="137"/>
        <v>0</v>
      </c>
    </row>
    <row r="462" spans="1:69">
      <c r="A462" s="864" t="s">
        <v>901</v>
      </c>
      <c r="B462" s="861" t="s">
        <v>902</v>
      </c>
      <c r="AB462" s="211">
        <f t="shared" si="136"/>
        <v>0</v>
      </c>
      <c r="AO462" s="817">
        <f t="shared" si="137"/>
        <v>0</v>
      </c>
    </row>
    <row r="463" spans="1:69">
      <c r="A463" s="864" t="s">
        <v>903</v>
      </c>
      <c r="B463" s="861" t="s">
        <v>904</v>
      </c>
      <c r="AB463" s="211">
        <f t="shared" si="136"/>
        <v>0</v>
      </c>
      <c r="AO463" s="817">
        <f t="shared" si="137"/>
        <v>0</v>
      </c>
    </row>
    <row r="464" spans="1:69">
      <c r="A464" s="864" t="s">
        <v>905</v>
      </c>
      <c r="B464" s="861" t="s">
        <v>1014</v>
      </c>
      <c r="AB464" s="211">
        <f t="shared" si="136"/>
        <v>0</v>
      </c>
      <c r="AO464" s="817">
        <f t="shared" si="137"/>
        <v>0</v>
      </c>
    </row>
    <row r="465" spans="1:41">
      <c r="A465" s="864" t="s">
        <v>908</v>
      </c>
      <c r="B465" s="861" t="s">
        <v>1015</v>
      </c>
      <c r="AB465" s="211">
        <f t="shared" si="136"/>
        <v>0</v>
      </c>
      <c r="AO465" s="817">
        <f t="shared" si="137"/>
        <v>0</v>
      </c>
    </row>
    <row r="466" spans="1:41">
      <c r="A466" s="864" t="s">
        <v>910</v>
      </c>
      <c r="B466" s="861" t="s">
        <v>1016</v>
      </c>
      <c r="AB466" s="211">
        <f t="shared" si="136"/>
        <v>0</v>
      </c>
      <c r="AO466" s="817">
        <f t="shared" si="137"/>
        <v>0</v>
      </c>
    </row>
    <row r="467" spans="1:41">
      <c r="A467" s="864" t="s">
        <v>645</v>
      </c>
      <c r="B467" s="861" t="s">
        <v>911</v>
      </c>
      <c r="AB467" s="211">
        <f t="shared" si="136"/>
        <v>0</v>
      </c>
      <c r="AO467" s="817">
        <f t="shared" si="137"/>
        <v>0</v>
      </c>
    </row>
    <row r="468" spans="1:41">
      <c r="A468" s="864">
        <v>447.24200000000002</v>
      </c>
      <c r="B468" s="861" t="s">
        <v>916</v>
      </c>
      <c r="AB468" s="211">
        <f t="shared" si="136"/>
        <v>0</v>
      </c>
      <c r="AO468" s="817">
        <f t="shared" si="137"/>
        <v>0</v>
      </c>
    </row>
    <row r="469" spans="1:41">
      <c r="A469" s="864" t="s">
        <v>0</v>
      </c>
      <c r="B469" s="861" t="s">
        <v>1</v>
      </c>
      <c r="AB469" s="211">
        <f t="shared" si="136"/>
        <v>0</v>
      </c>
      <c r="AO469" s="817">
        <f t="shared" si="137"/>
        <v>0</v>
      </c>
    </row>
    <row r="470" spans="1:41">
      <c r="A470" s="864" t="s">
        <v>2</v>
      </c>
      <c r="B470" s="861" t="s">
        <v>37</v>
      </c>
      <c r="AB470" s="211">
        <f t="shared" si="136"/>
        <v>0</v>
      </c>
      <c r="AO470" s="817">
        <f t="shared" si="137"/>
        <v>0</v>
      </c>
    </row>
    <row r="471" spans="1:41">
      <c r="A471" s="864" t="s">
        <v>38</v>
      </c>
      <c r="B471" s="861" t="s">
        <v>39</v>
      </c>
      <c r="AB471" s="211">
        <f t="shared" si="136"/>
        <v>0</v>
      </c>
      <c r="AO471" s="817">
        <f t="shared" si="137"/>
        <v>0</v>
      </c>
    </row>
    <row r="472" spans="1:41">
      <c r="A472" s="864" t="s">
        <v>720</v>
      </c>
      <c r="B472" s="861" t="s">
        <v>1004</v>
      </c>
      <c r="AB472" s="211">
        <f t="shared" si="136"/>
        <v>0</v>
      </c>
      <c r="AO472" s="817">
        <f t="shared" si="137"/>
        <v>0</v>
      </c>
    </row>
    <row r="473" spans="1:41">
      <c r="A473" s="864">
        <v>500.1</v>
      </c>
      <c r="B473" s="861" t="s">
        <v>1004</v>
      </c>
      <c r="AB473" s="211">
        <f t="shared" si="136"/>
        <v>0</v>
      </c>
      <c r="AO473" s="817">
        <f t="shared" si="137"/>
        <v>0</v>
      </c>
    </row>
    <row r="474" spans="1:41">
      <c r="A474" s="864">
        <v>501.1</v>
      </c>
      <c r="B474" s="861" t="s">
        <v>46</v>
      </c>
      <c r="AB474" s="211">
        <f t="shared" si="136"/>
        <v>0</v>
      </c>
      <c r="AO474" s="817">
        <f t="shared" si="137"/>
        <v>0</v>
      </c>
    </row>
    <row r="475" spans="1:41">
      <c r="A475" s="864">
        <v>501.2</v>
      </c>
      <c r="B475" s="865" t="s">
        <v>1029</v>
      </c>
      <c r="AB475" s="211">
        <f t="shared" si="136"/>
        <v>0</v>
      </c>
      <c r="AO475" s="817">
        <f t="shared" si="137"/>
        <v>0</v>
      </c>
    </row>
    <row r="476" spans="1:41">
      <c r="A476" s="864">
        <v>501.1</v>
      </c>
      <c r="B476" s="861" t="s">
        <v>48</v>
      </c>
      <c r="AB476" s="211">
        <f t="shared" si="136"/>
        <v>0</v>
      </c>
      <c r="AO476" s="817">
        <f t="shared" si="137"/>
        <v>0</v>
      </c>
    </row>
    <row r="477" spans="1:41">
      <c r="A477" s="864">
        <v>501.1</v>
      </c>
      <c r="B477" s="861" t="s">
        <v>50</v>
      </c>
      <c r="AB477" s="211">
        <f t="shared" si="136"/>
        <v>0</v>
      </c>
      <c r="AO477" s="817">
        <f t="shared" si="137"/>
        <v>0</v>
      </c>
    </row>
    <row r="478" spans="1:41">
      <c r="A478" s="864" t="s">
        <v>722</v>
      </c>
      <c r="B478" s="865" t="s">
        <v>1029</v>
      </c>
      <c r="AB478" s="211">
        <f t="shared" si="136"/>
        <v>0</v>
      </c>
      <c r="AO478" s="817">
        <f t="shared" si="137"/>
        <v>0</v>
      </c>
    </row>
    <row r="479" spans="1:41">
      <c r="A479" s="864">
        <v>501.1</v>
      </c>
      <c r="B479" s="861" t="s">
        <v>52</v>
      </c>
      <c r="AB479" s="211">
        <f t="shared" si="136"/>
        <v>0</v>
      </c>
      <c r="AO479" s="817">
        <f t="shared" si="137"/>
        <v>0</v>
      </c>
    </row>
    <row r="480" spans="1:41">
      <c r="A480" s="864">
        <v>501.2</v>
      </c>
      <c r="B480" s="865" t="s">
        <v>1029</v>
      </c>
      <c r="AB480" s="211">
        <f t="shared" si="136"/>
        <v>0</v>
      </c>
      <c r="AO480" s="817">
        <f t="shared" si="137"/>
        <v>0</v>
      </c>
    </row>
    <row r="481" spans="1:41">
      <c r="A481" s="864">
        <v>501.1</v>
      </c>
      <c r="B481" s="861" t="s">
        <v>54</v>
      </c>
      <c r="AB481" s="211">
        <f t="shared" si="136"/>
        <v>0</v>
      </c>
      <c r="AO481" s="817">
        <f t="shared" si="137"/>
        <v>0</v>
      </c>
    </row>
    <row r="482" spans="1:41">
      <c r="A482" s="864">
        <v>501.1</v>
      </c>
      <c r="B482" s="861" t="s">
        <v>57</v>
      </c>
      <c r="AB482" s="211">
        <f t="shared" si="136"/>
        <v>0</v>
      </c>
      <c r="AO482" s="817">
        <f t="shared" si="137"/>
        <v>0</v>
      </c>
    </row>
    <row r="483" spans="1:41">
      <c r="A483" s="864">
        <v>501.3</v>
      </c>
      <c r="B483" s="865" t="s">
        <v>1030</v>
      </c>
      <c r="AB483" s="211">
        <f t="shared" si="136"/>
        <v>0</v>
      </c>
      <c r="AO483" s="817">
        <f t="shared" si="137"/>
        <v>0</v>
      </c>
    </row>
    <row r="484" spans="1:41">
      <c r="A484" s="864">
        <v>501.1</v>
      </c>
      <c r="B484" s="861" t="s">
        <v>59</v>
      </c>
      <c r="AB484" s="211">
        <f t="shared" si="136"/>
        <v>0</v>
      </c>
      <c r="AO484" s="817">
        <f t="shared" si="137"/>
        <v>0</v>
      </c>
    </row>
    <row r="485" spans="1:41">
      <c r="A485" s="864">
        <v>501.1</v>
      </c>
      <c r="B485" s="861" t="s">
        <v>61</v>
      </c>
      <c r="AB485" s="211">
        <f t="shared" si="136"/>
        <v>0</v>
      </c>
      <c r="AO485" s="817">
        <f t="shared" si="137"/>
        <v>0</v>
      </c>
    </row>
    <row r="486" spans="1:41">
      <c r="A486" s="864">
        <v>501.1</v>
      </c>
      <c r="B486" s="861" t="s">
        <v>63</v>
      </c>
      <c r="AB486" s="211">
        <f t="shared" si="136"/>
        <v>0</v>
      </c>
      <c r="AO486" s="817">
        <f t="shared" si="137"/>
        <v>0</v>
      </c>
    </row>
    <row r="487" spans="1:41">
      <c r="A487" s="864" t="s">
        <v>725</v>
      </c>
      <c r="B487" s="862" t="s">
        <v>1022</v>
      </c>
      <c r="AB487" s="211">
        <f t="shared" si="136"/>
        <v>0</v>
      </c>
      <c r="AO487" s="817">
        <f t="shared" si="137"/>
        <v>0</v>
      </c>
    </row>
    <row r="488" spans="1:41">
      <c r="A488" s="864" t="s">
        <v>537</v>
      </c>
      <c r="B488" s="862" t="s">
        <v>1022</v>
      </c>
      <c r="AB488" s="211">
        <f t="shared" si="136"/>
        <v>0</v>
      </c>
      <c r="AO488" s="817">
        <f t="shared" si="137"/>
        <v>0</v>
      </c>
    </row>
    <row r="489" spans="1:41">
      <c r="A489" s="864">
        <v>502.1</v>
      </c>
      <c r="B489" s="862" t="s">
        <v>1022</v>
      </c>
      <c r="AB489" s="211">
        <f t="shared" si="136"/>
        <v>0</v>
      </c>
      <c r="AO489" s="817">
        <f t="shared" si="137"/>
        <v>0</v>
      </c>
    </row>
    <row r="490" spans="1:41">
      <c r="A490" s="864">
        <v>502.11</v>
      </c>
      <c r="B490" s="862" t="s">
        <v>1022</v>
      </c>
      <c r="AB490" s="211">
        <f t="shared" si="136"/>
        <v>0</v>
      </c>
      <c r="AO490" s="817">
        <f t="shared" si="137"/>
        <v>0</v>
      </c>
    </row>
    <row r="491" spans="1:41">
      <c r="A491" s="864">
        <v>502.11</v>
      </c>
      <c r="B491" s="862" t="s">
        <v>1022</v>
      </c>
      <c r="AB491" s="211">
        <f t="shared" si="136"/>
        <v>0</v>
      </c>
      <c r="AO491" s="817">
        <f t="shared" si="137"/>
        <v>0</v>
      </c>
    </row>
    <row r="492" spans="1:41">
      <c r="A492" s="864" t="s">
        <v>729</v>
      </c>
      <c r="B492" s="862" t="s">
        <v>1022</v>
      </c>
      <c r="AB492" s="211">
        <f t="shared" si="136"/>
        <v>0</v>
      </c>
      <c r="AO492" s="817">
        <f t="shared" si="137"/>
        <v>0</v>
      </c>
    </row>
    <row r="493" spans="1:41">
      <c r="A493" s="864">
        <v>502.1</v>
      </c>
      <c r="B493" s="862" t="s">
        <v>1022</v>
      </c>
      <c r="AB493" s="211">
        <f t="shared" si="136"/>
        <v>0</v>
      </c>
      <c r="AO493" s="817">
        <f t="shared" si="137"/>
        <v>0</v>
      </c>
    </row>
    <row r="494" spans="1:41">
      <c r="A494" s="864" t="s">
        <v>730</v>
      </c>
      <c r="B494" s="861" t="s">
        <v>972</v>
      </c>
      <c r="AB494" s="211">
        <f t="shared" si="136"/>
        <v>0</v>
      </c>
      <c r="AO494" s="817">
        <f t="shared" si="137"/>
        <v>0</v>
      </c>
    </row>
    <row r="495" spans="1:41">
      <c r="A495" s="864" t="s">
        <v>730</v>
      </c>
      <c r="B495" s="861" t="s">
        <v>972</v>
      </c>
      <c r="AB495" s="211">
        <f t="shared" si="136"/>
        <v>0</v>
      </c>
      <c r="AO495" s="817">
        <f t="shared" si="137"/>
        <v>0</v>
      </c>
    </row>
    <row r="496" spans="1:41">
      <c r="A496" s="864" t="s">
        <v>730</v>
      </c>
      <c r="B496" s="861" t="s">
        <v>972</v>
      </c>
      <c r="AB496" s="211">
        <f t="shared" ref="AB496:AB559" si="150">SUM(P496:AA496)</f>
        <v>0</v>
      </c>
      <c r="AO496" s="817">
        <f t="shared" ref="AO496:AO559" si="151">SUM(AC496:AN496)</f>
        <v>0</v>
      </c>
    </row>
    <row r="497" spans="1:41">
      <c r="A497" s="864" t="s">
        <v>730</v>
      </c>
      <c r="B497" s="861" t="s">
        <v>972</v>
      </c>
      <c r="AB497" s="211">
        <f t="shared" si="150"/>
        <v>0</v>
      </c>
      <c r="AO497" s="817">
        <f t="shared" si="151"/>
        <v>0</v>
      </c>
    </row>
    <row r="498" spans="1:41">
      <c r="A498" s="864" t="s">
        <v>732</v>
      </c>
      <c r="B498" s="861" t="s">
        <v>973</v>
      </c>
      <c r="AB498" s="211">
        <f t="shared" si="150"/>
        <v>0</v>
      </c>
      <c r="AO498" s="817">
        <f t="shared" si="151"/>
        <v>0</v>
      </c>
    </row>
    <row r="499" spans="1:41">
      <c r="A499" s="864">
        <v>506.1</v>
      </c>
      <c r="B499" s="861" t="s">
        <v>973</v>
      </c>
      <c r="AB499" s="211">
        <f t="shared" si="150"/>
        <v>0</v>
      </c>
      <c r="AO499" s="817">
        <f t="shared" si="151"/>
        <v>0</v>
      </c>
    </row>
    <row r="500" spans="1:41">
      <c r="A500" s="864" t="s">
        <v>734</v>
      </c>
      <c r="B500" s="861" t="s">
        <v>973</v>
      </c>
      <c r="AB500" s="211">
        <f t="shared" si="150"/>
        <v>0</v>
      </c>
      <c r="AO500" s="817">
        <f t="shared" si="151"/>
        <v>0</v>
      </c>
    </row>
    <row r="501" spans="1:41">
      <c r="A501" s="864" t="s">
        <v>70</v>
      </c>
      <c r="B501" s="861" t="s">
        <v>974</v>
      </c>
      <c r="AB501" s="211">
        <f t="shared" si="150"/>
        <v>0</v>
      </c>
      <c r="AO501" s="817">
        <f t="shared" si="151"/>
        <v>0</v>
      </c>
    </row>
    <row r="502" spans="1:41">
      <c r="A502" s="864">
        <v>510</v>
      </c>
      <c r="B502" s="861" t="s">
        <v>975</v>
      </c>
      <c r="AB502" s="211">
        <f t="shared" si="150"/>
        <v>0</v>
      </c>
      <c r="AO502" s="817">
        <f t="shared" si="151"/>
        <v>0</v>
      </c>
    </row>
    <row r="503" spans="1:41">
      <c r="A503" s="864">
        <v>511.1</v>
      </c>
      <c r="B503" s="861" t="s">
        <v>103</v>
      </c>
      <c r="AB503" s="211">
        <f t="shared" si="150"/>
        <v>0</v>
      </c>
      <c r="AO503" s="817">
        <f t="shared" si="151"/>
        <v>0</v>
      </c>
    </row>
    <row r="504" spans="1:41">
      <c r="A504" s="864">
        <v>511.1</v>
      </c>
      <c r="B504" s="861" t="s">
        <v>104</v>
      </c>
      <c r="AB504" s="211">
        <f t="shared" si="150"/>
        <v>0</v>
      </c>
      <c r="AO504" s="817">
        <f t="shared" si="151"/>
        <v>0</v>
      </c>
    </row>
    <row r="505" spans="1:41">
      <c r="A505" s="864" t="s">
        <v>737</v>
      </c>
      <c r="B505" s="861" t="s">
        <v>976</v>
      </c>
      <c r="AB505" s="211">
        <f t="shared" si="150"/>
        <v>0</v>
      </c>
      <c r="AO505" s="817">
        <f t="shared" si="151"/>
        <v>0</v>
      </c>
    </row>
    <row r="506" spans="1:41">
      <c r="A506" s="864" t="s">
        <v>737</v>
      </c>
      <c r="B506" s="861" t="s">
        <v>976</v>
      </c>
      <c r="AB506" s="211">
        <f t="shared" si="150"/>
        <v>0</v>
      </c>
      <c r="AO506" s="817">
        <f t="shared" si="151"/>
        <v>0</v>
      </c>
    </row>
    <row r="507" spans="1:41">
      <c r="A507" s="864" t="s">
        <v>737</v>
      </c>
      <c r="B507" s="861" t="s">
        <v>976</v>
      </c>
      <c r="AB507" s="211">
        <f t="shared" si="150"/>
        <v>0</v>
      </c>
      <c r="AO507" s="817">
        <f t="shared" si="151"/>
        <v>0</v>
      </c>
    </row>
    <row r="508" spans="1:41">
      <c r="A508" s="864">
        <v>512.11</v>
      </c>
      <c r="B508" s="862" t="s">
        <v>976</v>
      </c>
      <c r="AB508" s="211">
        <f t="shared" si="150"/>
        <v>0</v>
      </c>
      <c r="AO508" s="817">
        <f t="shared" si="151"/>
        <v>0</v>
      </c>
    </row>
    <row r="509" spans="1:41">
      <c r="A509" s="864" t="s">
        <v>741</v>
      </c>
      <c r="B509" s="861" t="s">
        <v>977</v>
      </c>
      <c r="AB509" s="211">
        <f t="shared" si="150"/>
        <v>0</v>
      </c>
      <c r="AO509" s="817">
        <f t="shared" si="151"/>
        <v>0</v>
      </c>
    </row>
    <row r="510" spans="1:41">
      <c r="A510" s="864">
        <v>513.1</v>
      </c>
      <c r="B510" s="861" t="s">
        <v>977</v>
      </c>
      <c r="AB510" s="211">
        <f t="shared" si="150"/>
        <v>0</v>
      </c>
      <c r="AO510" s="817">
        <f t="shared" si="151"/>
        <v>0</v>
      </c>
    </row>
    <row r="511" spans="1:41">
      <c r="A511" s="864">
        <v>514.1</v>
      </c>
      <c r="B511" s="861" t="s">
        <v>978</v>
      </c>
      <c r="AB511" s="211">
        <f t="shared" si="150"/>
        <v>0</v>
      </c>
      <c r="AO511" s="817">
        <f t="shared" si="151"/>
        <v>0</v>
      </c>
    </row>
    <row r="512" spans="1:41">
      <c r="A512" s="864">
        <v>514.1</v>
      </c>
      <c r="B512" s="861" t="s">
        <v>978</v>
      </c>
      <c r="AB512" s="211">
        <f t="shared" si="150"/>
        <v>0</v>
      </c>
      <c r="AO512" s="817">
        <f t="shared" si="151"/>
        <v>0</v>
      </c>
    </row>
    <row r="513" spans="1:41">
      <c r="A513" s="864">
        <v>514.1</v>
      </c>
      <c r="B513" s="861" t="s">
        <v>978</v>
      </c>
      <c r="AB513" s="211">
        <f t="shared" si="150"/>
        <v>0</v>
      </c>
      <c r="AO513" s="817">
        <f t="shared" si="151"/>
        <v>0</v>
      </c>
    </row>
    <row r="514" spans="1:41">
      <c r="A514" s="864">
        <v>548.1</v>
      </c>
      <c r="B514" s="861" t="s">
        <v>979</v>
      </c>
      <c r="AB514" s="211">
        <f t="shared" si="150"/>
        <v>0</v>
      </c>
      <c r="AO514" s="817">
        <f t="shared" si="151"/>
        <v>0</v>
      </c>
    </row>
    <row r="515" spans="1:41">
      <c r="A515" s="864" t="s">
        <v>83</v>
      </c>
      <c r="B515" s="861" t="s">
        <v>84</v>
      </c>
      <c r="AB515" s="211">
        <f t="shared" si="150"/>
        <v>0</v>
      </c>
      <c r="AO515" s="817">
        <f t="shared" si="151"/>
        <v>0</v>
      </c>
    </row>
    <row r="516" spans="1:41">
      <c r="A516" s="864" t="s">
        <v>546</v>
      </c>
      <c r="B516" s="861" t="s">
        <v>89</v>
      </c>
      <c r="AB516" s="211">
        <f t="shared" si="150"/>
        <v>0</v>
      </c>
      <c r="AO516" s="817">
        <f t="shared" si="151"/>
        <v>0</v>
      </c>
    </row>
    <row r="517" spans="1:41">
      <c r="A517" s="864" t="s">
        <v>548</v>
      </c>
      <c r="B517" s="861" t="s">
        <v>90</v>
      </c>
      <c r="AB517" s="211">
        <f t="shared" si="150"/>
        <v>0</v>
      </c>
      <c r="AO517" s="817">
        <f t="shared" si="151"/>
        <v>0</v>
      </c>
    </row>
    <row r="518" spans="1:41">
      <c r="A518" s="864" t="s">
        <v>646</v>
      </c>
      <c r="B518" s="861" t="s">
        <v>91</v>
      </c>
      <c r="AB518" s="211">
        <f t="shared" si="150"/>
        <v>0</v>
      </c>
      <c r="AO518" s="817">
        <f t="shared" si="151"/>
        <v>0</v>
      </c>
    </row>
    <row r="519" spans="1:41">
      <c r="A519" s="864" t="s">
        <v>92</v>
      </c>
      <c r="B519" s="861" t="s">
        <v>93</v>
      </c>
      <c r="AB519" s="211">
        <f t="shared" si="150"/>
        <v>0</v>
      </c>
      <c r="AO519" s="817">
        <f t="shared" si="151"/>
        <v>0</v>
      </c>
    </row>
    <row r="520" spans="1:41">
      <c r="A520" s="864" t="s">
        <v>647</v>
      </c>
      <c r="B520" s="861" t="s">
        <v>94</v>
      </c>
      <c r="AB520" s="211">
        <f t="shared" si="150"/>
        <v>0</v>
      </c>
      <c r="AO520" s="817">
        <f t="shared" si="151"/>
        <v>0</v>
      </c>
    </row>
    <row r="521" spans="1:41" s="569" customFormat="1">
      <c r="A521" s="864">
        <v>557.35</v>
      </c>
      <c r="B521" s="861" t="s">
        <v>1010</v>
      </c>
      <c r="G521" s="165"/>
      <c r="O521" s="88"/>
      <c r="AB521" s="211">
        <f t="shared" si="150"/>
        <v>0</v>
      </c>
      <c r="AO521" s="817">
        <f t="shared" si="151"/>
        <v>0</v>
      </c>
    </row>
    <row r="522" spans="1:41">
      <c r="A522" s="864" t="s">
        <v>744</v>
      </c>
      <c r="B522" s="861" t="s">
        <v>980</v>
      </c>
      <c r="AB522" s="211">
        <f t="shared" si="150"/>
        <v>0</v>
      </c>
      <c r="AO522" s="817">
        <f t="shared" si="151"/>
        <v>0</v>
      </c>
    </row>
    <row r="523" spans="1:41">
      <c r="A523" s="864">
        <v>560.1</v>
      </c>
      <c r="B523" s="861" t="s">
        <v>980</v>
      </c>
      <c r="AB523" s="211">
        <f t="shared" si="150"/>
        <v>0</v>
      </c>
      <c r="AO523" s="817">
        <f t="shared" si="151"/>
        <v>0</v>
      </c>
    </row>
    <row r="524" spans="1:41">
      <c r="A524" s="864" t="s">
        <v>746</v>
      </c>
      <c r="B524" s="861" t="s">
        <v>981</v>
      </c>
      <c r="AB524" s="211">
        <f t="shared" si="150"/>
        <v>0</v>
      </c>
      <c r="AO524" s="817">
        <f t="shared" si="151"/>
        <v>0</v>
      </c>
    </row>
    <row r="525" spans="1:41">
      <c r="A525" s="864" t="s">
        <v>751</v>
      </c>
      <c r="B525" s="861" t="s">
        <v>982</v>
      </c>
      <c r="AB525" s="211">
        <f t="shared" si="150"/>
        <v>0</v>
      </c>
      <c r="AO525" s="817">
        <f t="shared" si="151"/>
        <v>0</v>
      </c>
    </row>
    <row r="526" spans="1:41">
      <c r="A526" s="864">
        <v>561.1</v>
      </c>
      <c r="B526" s="861" t="s">
        <v>982</v>
      </c>
      <c r="AB526" s="211">
        <f t="shared" si="150"/>
        <v>0</v>
      </c>
      <c r="AO526" s="817">
        <f t="shared" si="151"/>
        <v>0</v>
      </c>
    </row>
    <row r="527" spans="1:41">
      <c r="A527" s="864">
        <v>561.4</v>
      </c>
      <c r="B527" s="861" t="s">
        <v>869</v>
      </c>
      <c r="AB527" s="211">
        <f t="shared" si="150"/>
        <v>0</v>
      </c>
      <c r="AO527" s="817">
        <f t="shared" si="151"/>
        <v>0</v>
      </c>
    </row>
    <row r="528" spans="1:41">
      <c r="A528" s="864">
        <v>561.79999999999995</v>
      </c>
      <c r="B528" s="861" t="s">
        <v>869</v>
      </c>
      <c r="AB528" s="211">
        <f t="shared" si="150"/>
        <v>0</v>
      </c>
      <c r="AO528" s="817">
        <f t="shared" si="151"/>
        <v>0</v>
      </c>
    </row>
    <row r="529" spans="1:41">
      <c r="A529" s="864" t="s">
        <v>753</v>
      </c>
      <c r="B529" s="861" t="s">
        <v>983</v>
      </c>
      <c r="AB529" s="211">
        <f t="shared" si="150"/>
        <v>0</v>
      </c>
      <c r="AO529" s="817">
        <f t="shared" si="151"/>
        <v>0</v>
      </c>
    </row>
    <row r="530" spans="1:41">
      <c r="A530" s="864">
        <v>562.1</v>
      </c>
      <c r="B530" s="861" t="s">
        <v>983</v>
      </c>
      <c r="AB530" s="211">
        <f t="shared" si="150"/>
        <v>0</v>
      </c>
      <c r="AO530" s="817">
        <f t="shared" si="151"/>
        <v>0</v>
      </c>
    </row>
    <row r="531" spans="1:41">
      <c r="A531" s="864" t="s">
        <v>755</v>
      </c>
      <c r="B531" s="861" t="s">
        <v>984</v>
      </c>
      <c r="AB531" s="211">
        <f t="shared" si="150"/>
        <v>0</v>
      </c>
      <c r="AO531" s="817">
        <f t="shared" si="151"/>
        <v>0</v>
      </c>
    </row>
    <row r="532" spans="1:41">
      <c r="A532" s="864">
        <v>563.1</v>
      </c>
      <c r="B532" s="861" t="s">
        <v>984</v>
      </c>
      <c r="AB532" s="211">
        <f t="shared" si="150"/>
        <v>0</v>
      </c>
      <c r="AO532" s="817">
        <f t="shared" si="151"/>
        <v>0</v>
      </c>
    </row>
    <row r="533" spans="1:41">
      <c r="A533" s="864" t="s">
        <v>649</v>
      </c>
      <c r="B533" s="861" t="s">
        <v>99</v>
      </c>
      <c r="AB533" s="211">
        <f t="shared" si="150"/>
        <v>0</v>
      </c>
      <c r="AO533" s="817">
        <f t="shared" si="151"/>
        <v>0</v>
      </c>
    </row>
    <row r="534" spans="1:41">
      <c r="A534" s="864" t="s">
        <v>757</v>
      </c>
      <c r="B534" s="861" t="s">
        <v>985</v>
      </c>
      <c r="AB534" s="211">
        <f t="shared" si="150"/>
        <v>0</v>
      </c>
      <c r="AO534" s="817">
        <f t="shared" si="151"/>
        <v>0</v>
      </c>
    </row>
    <row r="535" spans="1:41">
      <c r="A535" s="864">
        <v>566.1</v>
      </c>
      <c r="B535" s="861" t="s">
        <v>985</v>
      </c>
      <c r="AB535" s="211">
        <f t="shared" si="150"/>
        <v>0</v>
      </c>
      <c r="AO535" s="817">
        <f t="shared" si="151"/>
        <v>0</v>
      </c>
    </row>
    <row r="536" spans="1:41">
      <c r="A536" s="864" t="s">
        <v>794</v>
      </c>
      <c r="B536" s="861" t="s">
        <v>986</v>
      </c>
      <c r="AB536" s="211">
        <f t="shared" si="150"/>
        <v>0</v>
      </c>
      <c r="AO536" s="817">
        <f t="shared" si="151"/>
        <v>0</v>
      </c>
    </row>
    <row r="537" spans="1:41">
      <c r="A537" s="864">
        <v>566.20000000000005</v>
      </c>
      <c r="B537" s="861" t="s">
        <v>986</v>
      </c>
      <c r="AB537" s="211">
        <f t="shared" si="150"/>
        <v>0</v>
      </c>
      <c r="AO537" s="817">
        <f t="shared" si="151"/>
        <v>0</v>
      </c>
    </row>
    <row r="538" spans="1:41">
      <c r="A538" s="864" t="s">
        <v>100</v>
      </c>
      <c r="B538" s="861" t="s">
        <v>101</v>
      </c>
      <c r="AB538" s="211">
        <f t="shared" si="150"/>
        <v>0</v>
      </c>
      <c r="AO538" s="817">
        <f t="shared" si="151"/>
        <v>0</v>
      </c>
    </row>
    <row r="539" spans="1:41">
      <c r="A539" s="864" t="s">
        <v>796</v>
      </c>
      <c r="B539" s="861" t="s">
        <v>987</v>
      </c>
      <c r="AB539" s="211">
        <f t="shared" si="150"/>
        <v>0</v>
      </c>
      <c r="AO539" s="817">
        <f t="shared" si="151"/>
        <v>0</v>
      </c>
    </row>
    <row r="540" spans="1:41">
      <c r="A540" s="864">
        <v>568.1</v>
      </c>
      <c r="B540" s="861" t="s">
        <v>987</v>
      </c>
      <c r="AB540" s="211">
        <f t="shared" si="150"/>
        <v>0</v>
      </c>
      <c r="AO540" s="817">
        <f t="shared" si="151"/>
        <v>0</v>
      </c>
    </row>
    <row r="541" spans="1:41">
      <c r="A541" s="864" t="s">
        <v>798</v>
      </c>
      <c r="B541" s="861" t="s">
        <v>988</v>
      </c>
      <c r="AB541" s="211">
        <f t="shared" si="150"/>
        <v>0</v>
      </c>
      <c r="AO541" s="817">
        <f t="shared" si="151"/>
        <v>0</v>
      </c>
    </row>
    <row r="542" spans="1:41">
      <c r="A542" s="864" t="s">
        <v>102</v>
      </c>
      <c r="B542" s="861" t="s">
        <v>989</v>
      </c>
      <c r="AB542" s="211">
        <f t="shared" si="150"/>
        <v>0</v>
      </c>
      <c r="AO542" s="817">
        <f t="shared" si="151"/>
        <v>0</v>
      </c>
    </row>
    <row r="543" spans="1:41">
      <c r="A543" s="864">
        <v>569.1</v>
      </c>
      <c r="B543" s="861" t="s">
        <v>989</v>
      </c>
      <c r="AB543" s="211">
        <f t="shared" si="150"/>
        <v>0</v>
      </c>
      <c r="AO543" s="817">
        <f t="shared" si="151"/>
        <v>0</v>
      </c>
    </row>
    <row r="544" spans="1:41">
      <c r="A544" s="864" t="s">
        <v>800</v>
      </c>
      <c r="B544" s="861" t="s">
        <v>990</v>
      </c>
      <c r="AB544" s="211">
        <f t="shared" si="150"/>
        <v>0</v>
      </c>
      <c r="AO544" s="817">
        <f t="shared" si="151"/>
        <v>0</v>
      </c>
    </row>
    <row r="545" spans="1:41">
      <c r="A545" s="864">
        <v>570.1</v>
      </c>
      <c r="B545" s="861" t="s">
        <v>990</v>
      </c>
      <c r="AB545" s="211">
        <f t="shared" si="150"/>
        <v>0</v>
      </c>
      <c r="AO545" s="817">
        <f t="shared" si="151"/>
        <v>0</v>
      </c>
    </row>
    <row r="546" spans="1:41">
      <c r="A546" s="864" t="s">
        <v>802</v>
      </c>
      <c r="B546" s="861" t="s">
        <v>991</v>
      </c>
      <c r="AB546" s="211">
        <f t="shared" si="150"/>
        <v>0</v>
      </c>
      <c r="AO546" s="817">
        <f t="shared" si="151"/>
        <v>0</v>
      </c>
    </row>
    <row r="547" spans="1:41">
      <c r="A547" s="864">
        <v>571.1</v>
      </c>
      <c r="B547" s="861" t="s">
        <v>991</v>
      </c>
      <c r="AB547" s="211">
        <f t="shared" si="150"/>
        <v>0</v>
      </c>
      <c r="AO547" s="817">
        <f t="shared" si="151"/>
        <v>0</v>
      </c>
    </row>
    <row r="548" spans="1:41">
      <c r="A548" s="864" t="s">
        <v>804</v>
      </c>
      <c r="B548" s="861" t="s">
        <v>992</v>
      </c>
      <c r="AB548" s="211">
        <f t="shared" si="150"/>
        <v>0</v>
      </c>
      <c r="AO548" s="817">
        <f t="shared" si="151"/>
        <v>0</v>
      </c>
    </row>
    <row r="549" spans="1:41">
      <c r="A549" s="864">
        <v>573.1</v>
      </c>
      <c r="B549" s="861" t="s">
        <v>992</v>
      </c>
      <c r="AB549" s="211">
        <f t="shared" si="150"/>
        <v>0</v>
      </c>
      <c r="AO549" s="817">
        <f t="shared" si="151"/>
        <v>0</v>
      </c>
    </row>
    <row r="550" spans="1:41">
      <c r="A550" s="864" t="s">
        <v>806</v>
      </c>
      <c r="B550" s="861" t="s">
        <v>993</v>
      </c>
      <c r="AB550" s="211">
        <f t="shared" si="150"/>
        <v>0</v>
      </c>
      <c r="AO550" s="817">
        <f t="shared" si="151"/>
        <v>0</v>
      </c>
    </row>
    <row r="551" spans="1:41">
      <c r="A551" s="864">
        <v>575.70000000000005</v>
      </c>
      <c r="B551" s="861" t="s">
        <v>870</v>
      </c>
      <c r="AB551" s="211">
        <f t="shared" si="150"/>
        <v>0</v>
      </c>
      <c r="AO551" s="817">
        <f t="shared" si="151"/>
        <v>0</v>
      </c>
    </row>
    <row r="552" spans="1:41">
      <c r="A552" s="864" t="s">
        <v>808</v>
      </c>
      <c r="B552" s="861" t="s">
        <v>994</v>
      </c>
      <c r="AB552" s="211">
        <f t="shared" si="150"/>
        <v>0</v>
      </c>
      <c r="AO552" s="817">
        <f t="shared" si="151"/>
        <v>0</v>
      </c>
    </row>
    <row r="553" spans="1:41">
      <c r="A553" s="864">
        <v>908.1</v>
      </c>
      <c r="B553" s="861" t="s">
        <v>994</v>
      </c>
      <c r="AB553" s="211">
        <f t="shared" si="150"/>
        <v>0</v>
      </c>
      <c r="AO553" s="817">
        <f t="shared" si="151"/>
        <v>0</v>
      </c>
    </row>
    <row r="554" spans="1:41">
      <c r="A554" s="864">
        <v>909.1</v>
      </c>
      <c r="B554" s="861" t="s">
        <v>105</v>
      </c>
      <c r="AB554" s="211">
        <f t="shared" si="150"/>
        <v>0</v>
      </c>
      <c r="AO554" s="817">
        <f t="shared" si="151"/>
        <v>0</v>
      </c>
    </row>
    <row r="555" spans="1:41">
      <c r="A555" s="864">
        <v>913.1</v>
      </c>
      <c r="B555" s="861" t="s">
        <v>106</v>
      </c>
      <c r="AB555" s="211">
        <f t="shared" si="150"/>
        <v>0</v>
      </c>
      <c r="AO555" s="817">
        <f t="shared" si="151"/>
        <v>0</v>
      </c>
    </row>
    <row r="556" spans="1:41">
      <c r="A556" s="864" t="s">
        <v>810</v>
      </c>
      <c r="B556" s="861" t="s">
        <v>107</v>
      </c>
      <c r="AB556" s="211">
        <f t="shared" si="150"/>
        <v>0</v>
      </c>
      <c r="AO556" s="817">
        <f t="shared" si="151"/>
        <v>0</v>
      </c>
    </row>
    <row r="557" spans="1:41">
      <c r="A557" s="864" t="s">
        <v>626</v>
      </c>
      <c r="B557" s="861" t="s">
        <v>108</v>
      </c>
      <c r="AB557" s="211">
        <f t="shared" si="150"/>
        <v>0</v>
      </c>
      <c r="AO557" s="817">
        <f t="shared" si="151"/>
        <v>0</v>
      </c>
    </row>
    <row r="558" spans="1:41">
      <c r="A558" s="864" t="s">
        <v>628</v>
      </c>
      <c r="B558" s="861" t="s">
        <v>109</v>
      </c>
      <c r="AB558" s="211">
        <f t="shared" si="150"/>
        <v>0</v>
      </c>
      <c r="AO558" s="817">
        <f t="shared" si="151"/>
        <v>0</v>
      </c>
    </row>
    <row r="559" spans="1:41">
      <c r="A559" s="864">
        <v>921.10500000000002</v>
      </c>
      <c r="B559" s="863" t="s">
        <v>995</v>
      </c>
      <c r="AB559" s="211">
        <f t="shared" si="150"/>
        <v>0</v>
      </c>
      <c r="AO559" s="817">
        <f t="shared" si="151"/>
        <v>0</v>
      </c>
    </row>
    <row r="560" spans="1:41">
      <c r="A560" s="864" t="s">
        <v>637</v>
      </c>
      <c r="B560" s="861" t="s">
        <v>113</v>
      </c>
      <c r="AB560" s="211">
        <f t="shared" ref="AB560:AB569" si="152">SUM(P560:AA560)</f>
        <v>0</v>
      </c>
      <c r="AO560" s="817">
        <f t="shared" ref="AO560:AO569" si="153">SUM(AC560:AN560)</f>
        <v>0</v>
      </c>
    </row>
    <row r="561" spans="1:54">
      <c r="A561" s="864">
        <v>923.1</v>
      </c>
      <c r="B561" s="861" t="s">
        <v>113</v>
      </c>
      <c r="AB561" s="211">
        <f t="shared" si="152"/>
        <v>0</v>
      </c>
      <c r="AO561" s="817">
        <f t="shared" si="153"/>
        <v>0</v>
      </c>
    </row>
    <row r="562" spans="1:54">
      <c r="A562" s="864" t="s">
        <v>114</v>
      </c>
      <c r="B562" s="861" t="s">
        <v>996</v>
      </c>
      <c r="AB562" s="211">
        <f t="shared" si="152"/>
        <v>0</v>
      </c>
      <c r="AO562" s="817">
        <f t="shared" si="153"/>
        <v>0</v>
      </c>
    </row>
    <row r="563" spans="1:54">
      <c r="A563" s="864" t="s">
        <v>115</v>
      </c>
      <c r="B563" s="861" t="s">
        <v>997</v>
      </c>
      <c r="AB563" s="211">
        <f t="shared" si="152"/>
        <v>0</v>
      </c>
      <c r="AO563" s="817">
        <f t="shared" si="153"/>
        <v>0</v>
      </c>
    </row>
    <row r="564" spans="1:54">
      <c r="A564" s="864">
        <v>926.1</v>
      </c>
      <c r="B564" s="861" t="s">
        <v>998</v>
      </c>
      <c r="AB564" s="211">
        <f t="shared" si="152"/>
        <v>0</v>
      </c>
      <c r="AO564" s="817">
        <f t="shared" si="153"/>
        <v>0</v>
      </c>
    </row>
    <row r="565" spans="1:54">
      <c r="A565" s="864" t="s">
        <v>630</v>
      </c>
      <c r="B565" s="861" t="s">
        <v>120</v>
      </c>
      <c r="AB565" s="211">
        <f t="shared" si="152"/>
        <v>0</v>
      </c>
      <c r="AO565" s="817">
        <f t="shared" si="153"/>
        <v>0</v>
      </c>
    </row>
    <row r="566" spans="1:54">
      <c r="A566" s="864">
        <v>930.2</v>
      </c>
      <c r="B566" s="861" t="s">
        <v>999</v>
      </c>
      <c r="AB566" s="211">
        <f t="shared" si="152"/>
        <v>0</v>
      </c>
      <c r="AO566" s="817">
        <f t="shared" si="153"/>
        <v>0</v>
      </c>
    </row>
    <row r="567" spans="1:54">
      <c r="A567" s="864" t="s">
        <v>122</v>
      </c>
      <c r="B567" s="861" t="s">
        <v>123</v>
      </c>
      <c r="AB567" s="211">
        <f t="shared" si="152"/>
        <v>0</v>
      </c>
      <c r="AO567" s="817">
        <f t="shared" si="153"/>
        <v>0</v>
      </c>
    </row>
    <row r="568" spans="1:54">
      <c r="A568" s="864">
        <v>935.1</v>
      </c>
      <c r="B568" s="861" t="s">
        <v>1000</v>
      </c>
      <c r="AB568" s="211">
        <f t="shared" si="152"/>
        <v>0</v>
      </c>
      <c r="AO568" s="817">
        <f t="shared" si="153"/>
        <v>0</v>
      </c>
    </row>
    <row r="569" spans="1:54">
      <c r="A569" s="864">
        <v>935.1</v>
      </c>
      <c r="B569" s="861" t="s">
        <v>1000</v>
      </c>
      <c r="AB569" s="211">
        <f t="shared" si="152"/>
        <v>0</v>
      </c>
      <c r="AO569" s="817">
        <f t="shared" si="153"/>
        <v>0</v>
      </c>
    </row>
    <row r="570" spans="1:54">
      <c r="AB570" s="211"/>
      <c r="AO570" s="817"/>
    </row>
    <row r="571" spans="1:54">
      <c r="P571" s="816">
        <f t="shared" ref="P571:AA571" si="154">SUM(P433:P570)</f>
        <v>3.6428441489837127</v>
      </c>
      <c r="Q571" s="816">
        <f t="shared" si="154"/>
        <v>3.3293684988670091</v>
      </c>
      <c r="R571" s="816">
        <f t="shared" si="154"/>
        <v>3.7575693470405365</v>
      </c>
      <c r="S571" s="816">
        <f t="shared" si="154"/>
        <v>3.6410272813395355</v>
      </c>
      <c r="T571" s="816">
        <f t="shared" si="154"/>
        <v>3.755492432519989</v>
      </c>
      <c r="U571" s="816">
        <f t="shared" si="154"/>
        <v>3.5939647314181395</v>
      </c>
      <c r="V571" s="816">
        <f t="shared" si="154"/>
        <v>3.7093483763226738</v>
      </c>
      <c r="W571" s="816">
        <f t="shared" si="154"/>
        <v>3.7483371563226742</v>
      </c>
      <c r="X571" s="816">
        <f t="shared" si="154"/>
        <v>3.6145886156647151</v>
      </c>
      <c r="Y571" s="816">
        <f t="shared" si="154"/>
        <v>3.7242243157747281</v>
      </c>
      <c r="Z571" s="816">
        <f t="shared" si="154"/>
        <v>3.5834406231989613</v>
      </c>
      <c r="AA571" s="816">
        <f t="shared" si="154"/>
        <v>3.6638158057747283</v>
      </c>
      <c r="AB571" s="211">
        <f t="shared" ref="AB571" si="155">SUM(P571:AA571)</f>
        <v>43.764021333227404</v>
      </c>
      <c r="AC571" s="816">
        <f t="shared" ref="AC571:AN571" si="156">SUM(AC433:AC570)</f>
        <v>3.5982363056377427</v>
      </c>
      <c r="AD571" s="816">
        <f t="shared" si="156"/>
        <v>3.3251390268145484</v>
      </c>
      <c r="AE571" s="816">
        <f t="shared" si="156"/>
        <v>3.6150747426240439</v>
      </c>
      <c r="AF571" s="816">
        <f t="shared" si="156"/>
        <v>3.4693814148427964</v>
      </c>
      <c r="AG571" s="816">
        <f t="shared" si="156"/>
        <v>3.520108739473359</v>
      </c>
      <c r="AH571" s="816">
        <f t="shared" si="156"/>
        <v>3.3541757444318381</v>
      </c>
      <c r="AI571" s="816">
        <f t="shared" si="156"/>
        <v>3.4713126572815778</v>
      </c>
      <c r="AJ571" s="816">
        <f t="shared" si="156"/>
        <v>3.8539955472815781</v>
      </c>
      <c r="AK571" s="816">
        <f t="shared" si="156"/>
        <v>3.7250107649797841</v>
      </c>
      <c r="AL571" s="816">
        <f t="shared" si="156"/>
        <v>3.833473727829523</v>
      </c>
      <c r="AM571" s="816">
        <f t="shared" si="156"/>
        <v>3.7426967474455375</v>
      </c>
      <c r="AN571" s="816">
        <f t="shared" si="156"/>
        <v>3.8655906678295229</v>
      </c>
      <c r="AO571" s="817">
        <f t="shared" ref="AO571" si="157">SUM(AC571:AN571)</f>
        <v>43.374196086471848</v>
      </c>
      <c r="AP571" s="816">
        <f t="shared" ref="AP571:BB571" si="158">SUM(AP433:AP570)</f>
        <v>44.976487421266384</v>
      </c>
      <c r="AQ571" s="816">
        <f t="shared" si="158"/>
        <v>44.672409374892375</v>
      </c>
      <c r="AR571" s="816">
        <f t="shared" si="158"/>
        <v>44.206542919961926</v>
      </c>
      <c r="AS571" s="816">
        <f t="shared" si="158"/>
        <v>43.766983546389184</v>
      </c>
      <c r="AT571" s="816">
        <f t="shared" si="158"/>
        <v>43.148955270668409</v>
      </c>
      <c r="AU571" s="816">
        <f t="shared" si="158"/>
        <v>41.004442082276199</v>
      </c>
      <c r="AV571" s="816">
        <f t="shared" si="158"/>
        <v>38.438829329304767</v>
      </c>
      <c r="AW571" s="816">
        <f t="shared" si="158"/>
        <v>36.835931680612312</v>
      </c>
      <c r="AX571" s="816">
        <f t="shared" si="158"/>
        <v>36.211901813359063</v>
      </c>
      <c r="AY571" s="816">
        <f t="shared" si="158"/>
        <v>48.067977230992554</v>
      </c>
      <c r="AZ571" s="816">
        <f t="shared" si="158"/>
        <v>46.483442490025276</v>
      </c>
      <c r="BA571" s="816">
        <f t="shared" si="158"/>
        <v>45.472579641259209</v>
      </c>
      <c r="BB571" s="816">
        <f t="shared" si="158"/>
        <v>43.759135095568027</v>
      </c>
    </row>
    <row r="572" spans="1:54">
      <c r="P572" s="816"/>
      <c r="Q572" s="816"/>
      <c r="R572" s="816"/>
      <c r="S572" s="816"/>
      <c r="T572" s="816"/>
      <c r="U572" s="816"/>
      <c r="V572" s="816"/>
      <c r="W572" s="816"/>
      <c r="X572" s="816"/>
      <c r="Y572" s="816"/>
      <c r="Z572" s="816"/>
      <c r="AA572" s="816"/>
      <c r="AB572" s="817"/>
      <c r="AC572" s="816"/>
      <c r="AD572" s="816"/>
      <c r="AE572" s="816"/>
      <c r="AF572" s="816"/>
      <c r="AG572" s="816"/>
      <c r="AH572" s="816"/>
      <c r="AI572" s="816"/>
      <c r="AJ572" s="816"/>
      <c r="AK572" s="816"/>
      <c r="AL572" s="816"/>
      <c r="AM572" s="816"/>
      <c r="AN572" s="816"/>
      <c r="AO572" s="817"/>
      <c r="AP572" s="816"/>
      <c r="AQ572" s="816"/>
      <c r="AR572" s="816"/>
      <c r="AS572" s="816"/>
      <c r="AT572" s="816"/>
      <c r="AU572" s="816"/>
      <c r="AV572" s="816"/>
      <c r="AW572" s="816"/>
      <c r="AX572" s="816"/>
      <c r="AY572" s="816"/>
      <c r="AZ572" s="816"/>
      <c r="BA572" s="816"/>
      <c r="BB572" s="816"/>
    </row>
    <row r="573" spans="1:54">
      <c r="P573" s="816"/>
      <c r="Q573" s="816"/>
      <c r="R573" s="816"/>
      <c r="S573" s="816"/>
      <c r="T573" s="816"/>
      <c r="U573" s="816"/>
      <c r="V573" s="816"/>
      <c r="W573" s="816"/>
      <c r="X573" s="816"/>
      <c r="Y573" s="816"/>
      <c r="Z573" s="816"/>
      <c r="AA573" s="816"/>
      <c r="AB573" s="817"/>
      <c r="AC573" s="816"/>
      <c r="AD573" s="816"/>
      <c r="AE573" s="816"/>
      <c r="AF573" s="816"/>
      <c r="AG573" s="816"/>
      <c r="AH573" s="816"/>
      <c r="AI573" s="816"/>
      <c r="AJ573" s="816"/>
      <c r="AK573" s="816"/>
      <c r="AL573" s="816"/>
      <c r="AM573" s="816"/>
      <c r="AN573" s="816"/>
      <c r="AO573" s="817"/>
      <c r="AP573" s="816"/>
      <c r="AQ573" s="816"/>
      <c r="AR573" s="816"/>
      <c r="AS573" s="816"/>
      <c r="AT573" s="816"/>
      <c r="AU573" s="816"/>
      <c r="AV573" s="816"/>
      <c r="AW573" s="816"/>
      <c r="AX573" s="816"/>
      <c r="AY573" s="816"/>
      <c r="AZ573" s="816"/>
      <c r="BA573" s="816"/>
      <c r="BB573" s="816"/>
    </row>
    <row r="574" spans="1:54">
      <c r="P574" s="816"/>
      <c r="Q574" s="816"/>
      <c r="R574" s="816"/>
      <c r="S574" s="816"/>
      <c r="T574" s="816"/>
      <c r="U574" s="816"/>
      <c r="V574" s="816"/>
      <c r="W574" s="816"/>
      <c r="X574" s="816"/>
      <c r="Y574" s="816"/>
      <c r="Z574" s="816"/>
      <c r="AA574" s="816"/>
      <c r="AB574" s="817"/>
      <c r="AC574" s="816"/>
      <c r="AD574" s="816"/>
      <c r="AE574" s="816"/>
      <c r="AF574" s="816"/>
      <c r="AG574" s="816"/>
      <c r="AH574" s="816"/>
      <c r="AI574" s="816"/>
      <c r="AJ574" s="816"/>
      <c r="AK574" s="816"/>
      <c r="AL574" s="816"/>
      <c r="AM574" s="816"/>
      <c r="AN574" s="816"/>
      <c r="AO574" s="817"/>
      <c r="AP574" s="816"/>
      <c r="AQ574" s="816"/>
      <c r="AR574" s="816"/>
      <c r="AS574" s="816"/>
      <c r="AT574" s="816"/>
      <c r="AU574" s="816"/>
      <c r="AV574" s="816"/>
      <c r="AW574" s="816"/>
      <c r="AX574" s="816"/>
      <c r="AY574" s="816"/>
      <c r="AZ574" s="816"/>
      <c r="BA574" s="816"/>
      <c r="BB574" s="816"/>
    </row>
    <row r="575" spans="1:54">
      <c r="G575" s="319"/>
      <c r="H575" s="16"/>
      <c r="I575" s="16"/>
      <c r="J575" s="16"/>
      <c r="K575" s="16"/>
      <c r="L575" s="16"/>
      <c r="M575" s="16"/>
      <c r="N575" s="16"/>
      <c r="O575" s="170"/>
      <c r="P575" s="816">
        <f t="shared" ref="P575:BB575" si="159">SUM(P160:P162)</f>
        <v>3.6428441489837127</v>
      </c>
      <c r="Q575" s="816">
        <f t="shared" si="159"/>
        <v>3.3293684988670091</v>
      </c>
      <c r="R575" s="816">
        <f t="shared" si="159"/>
        <v>3.7575693470405365</v>
      </c>
      <c r="S575" s="816">
        <f t="shared" si="159"/>
        <v>3.6410272813395355</v>
      </c>
      <c r="T575" s="816">
        <f t="shared" si="159"/>
        <v>3.755492432519989</v>
      </c>
      <c r="U575" s="816">
        <f t="shared" si="159"/>
        <v>3.5939647314181395</v>
      </c>
      <c r="V575" s="816">
        <f t="shared" si="159"/>
        <v>3.7093483763226738</v>
      </c>
      <c r="W575" s="816">
        <f t="shared" si="159"/>
        <v>3.7483371563226742</v>
      </c>
      <c r="X575" s="816">
        <f t="shared" si="159"/>
        <v>3.6145886156647151</v>
      </c>
      <c r="Y575" s="816">
        <f t="shared" si="159"/>
        <v>3.7242243157747281</v>
      </c>
      <c r="Z575" s="816">
        <f t="shared" si="159"/>
        <v>3.5834406231989613</v>
      </c>
      <c r="AA575" s="816">
        <f t="shared" si="159"/>
        <v>3.6638158057747283</v>
      </c>
      <c r="AB575" s="817">
        <f t="shared" si="159"/>
        <v>43.764021333227404</v>
      </c>
      <c r="AC575" s="816">
        <f t="shared" si="159"/>
        <v>3.5982363056377427</v>
      </c>
      <c r="AD575" s="816">
        <f t="shared" si="159"/>
        <v>3.3251390268145484</v>
      </c>
      <c r="AE575" s="816">
        <f t="shared" si="159"/>
        <v>3.6150747426240439</v>
      </c>
      <c r="AF575" s="816">
        <f t="shared" si="159"/>
        <v>3.4693814148427964</v>
      </c>
      <c r="AG575" s="816">
        <f t="shared" si="159"/>
        <v>3.520108739473359</v>
      </c>
      <c r="AH575" s="816">
        <f t="shared" si="159"/>
        <v>3.3541757444318381</v>
      </c>
      <c r="AI575" s="816">
        <f t="shared" si="159"/>
        <v>3.4713126572815778</v>
      </c>
      <c r="AJ575" s="816">
        <f t="shared" si="159"/>
        <v>3.8539955472815781</v>
      </c>
      <c r="AK575" s="816">
        <f t="shared" si="159"/>
        <v>3.7250107649797841</v>
      </c>
      <c r="AL575" s="816">
        <f t="shared" si="159"/>
        <v>3.833473727829523</v>
      </c>
      <c r="AM575" s="816">
        <f t="shared" si="159"/>
        <v>3.7426967474455375</v>
      </c>
      <c r="AN575" s="816">
        <f t="shared" si="159"/>
        <v>3.8655906678295229</v>
      </c>
      <c r="AO575" s="817">
        <f t="shared" si="159"/>
        <v>43.374196086471848</v>
      </c>
      <c r="AP575" s="816">
        <f t="shared" si="159"/>
        <v>44.976487421266384</v>
      </c>
      <c r="AQ575" s="816">
        <f t="shared" si="159"/>
        <v>44.672409374892375</v>
      </c>
      <c r="AR575" s="816">
        <f t="shared" si="159"/>
        <v>44.206542919961926</v>
      </c>
      <c r="AS575" s="816">
        <f t="shared" si="159"/>
        <v>43.766983546389184</v>
      </c>
      <c r="AT575" s="816">
        <f t="shared" si="159"/>
        <v>43.148955270668409</v>
      </c>
      <c r="AU575" s="816">
        <f t="shared" si="159"/>
        <v>41.004442082276199</v>
      </c>
      <c r="AV575" s="816">
        <f t="shared" si="159"/>
        <v>38.438829329304767</v>
      </c>
      <c r="AW575" s="816">
        <f t="shared" si="159"/>
        <v>36.835931680612312</v>
      </c>
      <c r="AX575" s="816">
        <f t="shared" si="159"/>
        <v>36.211901813359063</v>
      </c>
      <c r="AY575" s="816">
        <f t="shared" si="159"/>
        <v>48.067977230992554</v>
      </c>
      <c r="AZ575" s="816">
        <f t="shared" si="159"/>
        <v>46.483442490025276</v>
      </c>
      <c r="BA575" s="816">
        <f t="shared" si="159"/>
        <v>45.472579641259209</v>
      </c>
      <c r="BB575" s="816">
        <f t="shared" si="159"/>
        <v>43.759135095568027</v>
      </c>
    </row>
    <row r="576" spans="1:54">
      <c r="G576" s="319"/>
      <c r="H576" s="16"/>
      <c r="I576" s="16"/>
      <c r="J576" s="16"/>
      <c r="K576" s="16"/>
      <c r="L576" s="16"/>
      <c r="M576" s="16"/>
      <c r="N576" s="16"/>
      <c r="O576" s="170"/>
      <c r="P576" s="816">
        <f t="shared" ref="P576:BB576" si="160">P571-P575</f>
        <v>0</v>
      </c>
      <c r="Q576" s="816">
        <f t="shared" si="160"/>
        <v>0</v>
      </c>
      <c r="R576" s="816">
        <f t="shared" si="160"/>
        <v>0</v>
      </c>
      <c r="S576" s="816">
        <f t="shared" si="160"/>
        <v>0</v>
      </c>
      <c r="T576" s="816">
        <f t="shared" si="160"/>
        <v>0</v>
      </c>
      <c r="U576" s="816">
        <f t="shared" si="160"/>
        <v>0</v>
      </c>
      <c r="V576" s="816">
        <f t="shared" si="160"/>
        <v>0</v>
      </c>
      <c r="W576" s="816">
        <f t="shared" si="160"/>
        <v>0</v>
      </c>
      <c r="X576" s="816">
        <f t="shared" si="160"/>
        <v>0</v>
      </c>
      <c r="Y576" s="816">
        <f t="shared" si="160"/>
        <v>0</v>
      </c>
      <c r="Z576" s="816">
        <f t="shared" si="160"/>
        <v>0</v>
      </c>
      <c r="AA576" s="816">
        <f t="shared" si="160"/>
        <v>0</v>
      </c>
      <c r="AB576" s="817">
        <f t="shared" si="160"/>
        <v>0</v>
      </c>
      <c r="AC576" s="816">
        <f t="shared" si="160"/>
        <v>0</v>
      </c>
      <c r="AD576" s="816">
        <f t="shared" si="160"/>
        <v>0</v>
      </c>
      <c r="AE576" s="816">
        <f t="shared" si="160"/>
        <v>0</v>
      </c>
      <c r="AF576" s="816">
        <f t="shared" si="160"/>
        <v>0</v>
      </c>
      <c r="AG576" s="816">
        <f t="shared" si="160"/>
        <v>0</v>
      </c>
      <c r="AH576" s="816">
        <f t="shared" si="160"/>
        <v>0</v>
      </c>
      <c r="AI576" s="816">
        <f t="shared" si="160"/>
        <v>0</v>
      </c>
      <c r="AJ576" s="816">
        <f t="shared" si="160"/>
        <v>0</v>
      </c>
      <c r="AK576" s="816">
        <f t="shared" si="160"/>
        <v>0</v>
      </c>
      <c r="AL576" s="816">
        <f t="shared" si="160"/>
        <v>0</v>
      </c>
      <c r="AM576" s="816">
        <f t="shared" si="160"/>
        <v>0</v>
      </c>
      <c r="AN576" s="816">
        <f t="shared" si="160"/>
        <v>0</v>
      </c>
      <c r="AO576" s="817">
        <f t="shared" si="160"/>
        <v>0</v>
      </c>
      <c r="AP576" s="816">
        <f t="shared" si="160"/>
        <v>0</v>
      </c>
      <c r="AQ576" s="816">
        <f t="shared" si="160"/>
        <v>0</v>
      </c>
      <c r="AR576" s="816">
        <f t="shared" si="160"/>
        <v>0</v>
      </c>
      <c r="AS576" s="816">
        <f t="shared" si="160"/>
        <v>0</v>
      </c>
      <c r="AT576" s="816">
        <f t="shared" si="160"/>
        <v>0</v>
      </c>
      <c r="AU576" s="816">
        <f t="shared" si="160"/>
        <v>0</v>
      </c>
      <c r="AV576" s="816">
        <f t="shared" si="160"/>
        <v>0</v>
      </c>
      <c r="AW576" s="816">
        <f t="shared" si="160"/>
        <v>0</v>
      </c>
      <c r="AX576" s="816">
        <f t="shared" si="160"/>
        <v>0</v>
      </c>
      <c r="AY576" s="816">
        <f t="shared" si="160"/>
        <v>0</v>
      </c>
      <c r="AZ576" s="816">
        <f t="shared" si="160"/>
        <v>0</v>
      </c>
      <c r="BA576" s="816">
        <f t="shared" si="160"/>
        <v>0</v>
      </c>
      <c r="BB576" s="816">
        <f t="shared" si="160"/>
        <v>0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BR577"/>
  <sheetViews>
    <sheetView workbookViewId="0">
      <pane xSplit="3" ySplit="2" topLeftCell="AR3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D22" sqref="D22"/>
    </sheetView>
  </sheetViews>
  <sheetFormatPr defaultRowHeight="12.75"/>
  <cols>
    <col min="1" max="1" width="8.28515625" customWidth="1"/>
    <col min="2" max="2" width="34.5703125" customWidth="1"/>
    <col min="3" max="3" width="14.42578125" customWidth="1"/>
    <col min="4" max="4" width="10.5703125" customWidth="1"/>
    <col min="5" max="5" width="8.42578125" style="88" customWidth="1"/>
    <col min="6" max="6" width="10.28515625" customWidth="1"/>
    <col min="7" max="7" width="12" customWidth="1"/>
    <col min="8" max="10" width="11.7109375" customWidth="1"/>
    <col min="11" max="11" width="11.85546875" customWidth="1"/>
    <col min="12" max="12" width="11.5703125" customWidth="1"/>
    <col min="13" max="13" width="12.28515625" customWidth="1"/>
    <col min="14" max="14" width="13.28515625" bestFit="1" customWidth="1"/>
    <col min="15" max="15" width="10.85546875" customWidth="1"/>
    <col min="16" max="17" width="11.5703125" customWidth="1"/>
    <col min="18" max="18" width="8.85546875" style="88" customWidth="1"/>
    <col min="19" max="19" width="14.42578125" bestFit="1" customWidth="1"/>
    <col min="20" max="29" width="13.28515625" bestFit="1" customWidth="1"/>
    <col min="30" max="30" width="10.7109375" customWidth="1"/>
    <col min="31" max="31" width="8.85546875" style="88" customWidth="1"/>
    <col min="32" max="33" width="9.7109375" bestFit="1" customWidth="1"/>
    <col min="48" max="48" width="9.7109375" customWidth="1"/>
  </cols>
  <sheetData>
    <row r="1" spans="2:70" s="1" customFormat="1">
      <c r="D1" s="180"/>
      <c r="E1" s="181"/>
      <c r="F1" s="180">
        <f>'Stmts RUS'!G1</f>
        <v>2013</v>
      </c>
      <c r="G1" s="180">
        <f>'Stmts RUS'!H1</f>
        <v>2013</v>
      </c>
      <c r="H1" s="180">
        <f>'Stmts RUS'!I1</f>
        <v>2013</v>
      </c>
      <c r="I1" s="180">
        <f>'Stmts RUS'!J1</f>
        <v>2013</v>
      </c>
      <c r="J1" s="180">
        <f>'Stmts RUS'!K1</f>
        <v>2013</v>
      </c>
      <c r="K1" s="180">
        <f>'Stmts RUS'!L1</f>
        <v>2013</v>
      </c>
      <c r="L1" s="180">
        <f>'Stmts RUS'!M1</f>
        <v>2013</v>
      </c>
      <c r="M1" s="180">
        <f>'Stmts RUS'!N1</f>
        <v>2013</v>
      </c>
      <c r="N1" s="180">
        <f>'Stmts RUS'!O1</f>
        <v>2013</v>
      </c>
      <c r="O1" s="180">
        <f>'Stmts RUS'!P1</f>
        <v>2013</v>
      </c>
      <c r="P1" s="180">
        <f>'Stmts RUS'!Q1</f>
        <v>2013</v>
      </c>
      <c r="Q1" s="180">
        <f>'Stmts RUS'!R1</f>
        <v>2013</v>
      </c>
      <c r="R1" s="181">
        <f>'Stmts RUS'!S1</f>
        <v>0</v>
      </c>
      <c r="S1" s="180">
        <f>'Stmts RUS'!T1</f>
        <v>2014</v>
      </c>
      <c r="T1" s="180">
        <f>'Stmts RUS'!U1</f>
        <v>2014</v>
      </c>
      <c r="U1" s="180">
        <f>'Stmts RUS'!V1</f>
        <v>2014</v>
      </c>
      <c r="V1" s="180">
        <f>'Stmts RUS'!W1</f>
        <v>2014</v>
      </c>
      <c r="W1" s="180">
        <f>'Stmts RUS'!X1</f>
        <v>2014</v>
      </c>
      <c r="X1" s="180">
        <f>'Stmts RUS'!Y1</f>
        <v>2014</v>
      </c>
      <c r="Y1" s="180">
        <f>'Stmts RUS'!Z1</f>
        <v>2014</v>
      </c>
      <c r="Z1" s="180">
        <f>'Stmts RUS'!AA1</f>
        <v>2014</v>
      </c>
      <c r="AA1" s="180">
        <f>'Stmts RUS'!AB1</f>
        <v>2014</v>
      </c>
      <c r="AB1" s="180">
        <f>'Stmts RUS'!AC1</f>
        <v>2014</v>
      </c>
      <c r="AC1" s="180">
        <f>'Stmts RUS'!AD1</f>
        <v>2014</v>
      </c>
      <c r="AD1" s="180">
        <f>'Stmts RUS'!AE1</f>
        <v>2014</v>
      </c>
      <c r="AE1" s="181">
        <f>'Stmts RUS'!AF1</f>
        <v>0</v>
      </c>
    </row>
    <row r="2" spans="2:70" s="1" customFormat="1">
      <c r="B2" s="223"/>
      <c r="D2" s="180">
        <f>'Stmts RUS'!E2</f>
        <v>2012</v>
      </c>
      <c r="E2" s="181"/>
      <c r="F2" s="180" t="str">
        <f>'Stmts RUS'!G2</f>
        <v>January</v>
      </c>
      <c r="G2" s="180" t="str">
        <f>'Stmts RUS'!H2</f>
        <v>February</v>
      </c>
      <c r="H2" s="180" t="str">
        <f>'Stmts RUS'!I2</f>
        <v>March</v>
      </c>
      <c r="I2" s="180" t="str">
        <f>'Stmts RUS'!J2</f>
        <v>April</v>
      </c>
      <c r="J2" s="180" t="str">
        <f>'Stmts RUS'!K2</f>
        <v>May</v>
      </c>
      <c r="K2" s="180" t="str">
        <f>'Stmts RUS'!L2</f>
        <v>June</v>
      </c>
      <c r="L2" s="180" t="str">
        <f>'Stmts RUS'!M2</f>
        <v>July</v>
      </c>
      <c r="M2" s="180" t="str">
        <f>'Stmts RUS'!N2</f>
        <v>August</v>
      </c>
      <c r="N2" s="180" t="str">
        <f>'Stmts RUS'!O2</f>
        <v>September</v>
      </c>
      <c r="O2" s="180" t="str">
        <f>'Stmts RUS'!P2</f>
        <v>October</v>
      </c>
      <c r="P2" s="180" t="str">
        <f>'Stmts RUS'!Q2</f>
        <v>November</v>
      </c>
      <c r="Q2" s="180" t="str">
        <f>'Stmts RUS'!R2</f>
        <v>December</v>
      </c>
      <c r="R2" s="181">
        <f>'Stmts RUS'!S2</f>
        <v>2013</v>
      </c>
      <c r="S2" s="180" t="str">
        <f>'Stmts RUS'!T2</f>
        <v>January</v>
      </c>
      <c r="T2" s="180" t="str">
        <f>'Stmts RUS'!U2</f>
        <v>February</v>
      </c>
      <c r="U2" s="180" t="str">
        <f>'Stmts RUS'!V2</f>
        <v>March</v>
      </c>
      <c r="V2" s="180" t="str">
        <f>'Stmts RUS'!W2</f>
        <v>April</v>
      </c>
      <c r="W2" s="180" t="str">
        <f>'Stmts RUS'!X2</f>
        <v>May</v>
      </c>
      <c r="X2" s="180" t="str">
        <f>'Stmts RUS'!Y2</f>
        <v>June</v>
      </c>
      <c r="Y2" s="180" t="str">
        <f>'Stmts RUS'!Z2</f>
        <v>July</v>
      </c>
      <c r="Z2" s="180" t="str">
        <f>'Stmts RUS'!AA2</f>
        <v>August</v>
      </c>
      <c r="AA2" s="180" t="str">
        <f>'Stmts RUS'!AB2</f>
        <v>September</v>
      </c>
      <c r="AB2" s="180" t="str">
        <f>'Stmts RUS'!AC2</f>
        <v>October</v>
      </c>
      <c r="AC2" s="180" t="str">
        <f>'Stmts RUS'!AD2</f>
        <v>November</v>
      </c>
      <c r="AD2" s="180" t="str">
        <f>'Stmts RUS'!AE2</f>
        <v>December</v>
      </c>
      <c r="AE2" s="181">
        <f>'Stmts RUS'!AF2</f>
        <v>2014</v>
      </c>
      <c r="AF2" s="208">
        <f>'Stmts RUS'!AG2</f>
        <v>2015</v>
      </c>
      <c r="AG2" s="208">
        <f>'Stmts RUS'!AH2</f>
        <v>2016</v>
      </c>
      <c r="AH2" s="208">
        <f>'Stmts RUS'!AI2</f>
        <v>2017</v>
      </c>
      <c r="AI2" s="208">
        <f>'Stmts RUS'!AJ2</f>
        <v>2018</v>
      </c>
      <c r="AJ2" s="208">
        <f>'Stmts RUS'!AK2</f>
        <v>2019</v>
      </c>
      <c r="AK2" s="208">
        <f>'Stmts RUS'!AL2</f>
        <v>2020</v>
      </c>
      <c r="AL2" s="208">
        <f>'Stmts RUS'!AM2</f>
        <v>2021</v>
      </c>
      <c r="AM2" s="208">
        <f>'Stmts RUS'!AN2</f>
        <v>2022</v>
      </c>
      <c r="AN2" s="208">
        <f>'Stmts RUS'!AO2</f>
        <v>2023</v>
      </c>
      <c r="AO2" s="208">
        <f>'Stmts RUS'!AP2</f>
        <v>2024</v>
      </c>
      <c r="AP2" s="208">
        <f>AO2+1</f>
        <v>2025</v>
      </c>
      <c r="AQ2" s="208">
        <f t="shared" ref="AQ2:BJ2" si="0">AP2+1</f>
        <v>2026</v>
      </c>
      <c r="AR2" s="208">
        <f t="shared" si="0"/>
        <v>2027</v>
      </c>
      <c r="AS2" s="208">
        <f t="shared" si="0"/>
        <v>2028</v>
      </c>
      <c r="AT2" s="208">
        <f t="shared" si="0"/>
        <v>2029</v>
      </c>
      <c r="AU2" s="208">
        <f t="shared" si="0"/>
        <v>2030</v>
      </c>
      <c r="AV2" s="208">
        <f t="shared" si="0"/>
        <v>2031</v>
      </c>
      <c r="AW2" s="208">
        <f t="shared" si="0"/>
        <v>2032</v>
      </c>
      <c r="AX2" s="208">
        <f t="shared" si="0"/>
        <v>2033</v>
      </c>
      <c r="AY2" s="208">
        <f t="shared" si="0"/>
        <v>2034</v>
      </c>
      <c r="AZ2" s="208">
        <f t="shared" si="0"/>
        <v>2035</v>
      </c>
      <c r="BA2" s="208">
        <f t="shared" si="0"/>
        <v>2036</v>
      </c>
      <c r="BB2" s="208">
        <f t="shared" si="0"/>
        <v>2037</v>
      </c>
      <c r="BC2" s="208">
        <f t="shared" si="0"/>
        <v>2038</v>
      </c>
      <c r="BD2" s="208">
        <f t="shared" si="0"/>
        <v>2039</v>
      </c>
      <c r="BE2" s="208">
        <f t="shared" si="0"/>
        <v>2040</v>
      </c>
      <c r="BF2" s="208">
        <f t="shared" si="0"/>
        <v>2041</v>
      </c>
      <c r="BG2" s="208">
        <f t="shared" si="0"/>
        <v>2042</v>
      </c>
      <c r="BH2" s="208">
        <f t="shared" si="0"/>
        <v>2043</v>
      </c>
      <c r="BI2" s="208">
        <f t="shared" si="0"/>
        <v>2044</v>
      </c>
      <c r="BJ2" s="208">
        <f t="shared" si="0"/>
        <v>2045</v>
      </c>
      <c r="BK2" s="223"/>
    </row>
    <row r="3" spans="2:70" s="1" customFormat="1">
      <c r="B3" s="223"/>
      <c r="D3" s="180"/>
      <c r="E3" s="181"/>
      <c r="F3" s="180">
        <f>Debt!P5</f>
        <v>31</v>
      </c>
      <c r="G3" s="180">
        <f>Debt!Q5</f>
        <v>28</v>
      </c>
      <c r="H3" s="180">
        <f>Debt!R5</f>
        <v>31</v>
      </c>
      <c r="I3" s="180">
        <f>Debt!S5</f>
        <v>30</v>
      </c>
      <c r="J3" s="180">
        <f>Debt!T5</f>
        <v>31</v>
      </c>
      <c r="K3" s="180">
        <f>Debt!U5</f>
        <v>30</v>
      </c>
      <c r="L3" s="180">
        <f>Debt!V5</f>
        <v>31</v>
      </c>
      <c r="M3" s="180">
        <f>Debt!W5</f>
        <v>31</v>
      </c>
      <c r="N3" s="180">
        <f>Debt!X5</f>
        <v>30</v>
      </c>
      <c r="O3" s="180">
        <f>Debt!Y5</f>
        <v>31</v>
      </c>
      <c r="P3" s="180">
        <f>Debt!Z5</f>
        <v>30</v>
      </c>
      <c r="Q3" s="180">
        <f>Debt!AA5</f>
        <v>31</v>
      </c>
      <c r="R3" s="169">
        <f>Debt!AB5</f>
        <v>365</v>
      </c>
      <c r="S3" s="180">
        <f>Debt!AC5</f>
        <v>31</v>
      </c>
      <c r="T3" s="180">
        <f>Debt!AD5</f>
        <v>28</v>
      </c>
      <c r="U3" s="180">
        <f>Debt!AE5</f>
        <v>31</v>
      </c>
      <c r="V3" s="180">
        <f>Debt!AF5</f>
        <v>30</v>
      </c>
      <c r="W3" s="180">
        <f>Debt!AG5</f>
        <v>31</v>
      </c>
      <c r="X3" s="180">
        <f>Debt!AH5</f>
        <v>30</v>
      </c>
      <c r="Y3" s="180">
        <f>Debt!AI5</f>
        <v>31</v>
      </c>
      <c r="Z3" s="180">
        <f>Debt!AJ5</f>
        <v>31</v>
      </c>
      <c r="AA3" s="180">
        <f>Debt!AK5</f>
        <v>30</v>
      </c>
      <c r="AB3" s="180">
        <f>Debt!AL5</f>
        <v>31</v>
      </c>
      <c r="AC3" s="180">
        <f>Debt!AM5</f>
        <v>30</v>
      </c>
      <c r="AD3" s="180">
        <f>Debt!AN5</f>
        <v>31</v>
      </c>
      <c r="AE3" s="169">
        <f>Debt!AO5</f>
        <v>365</v>
      </c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223"/>
    </row>
    <row r="4" spans="2:70">
      <c r="B4" s="97" t="s">
        <v>375</v>
      </c>
      <c r="C4" s="1"/>
      <c r="D4" s="1"/>
      <c r="E4" s="16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6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69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2:70">
      <c r="B5" s="9" t="s">
        <v>779</v>
      </c>
      <c r="C5" s="1"/>
      <c r="D5" s="604"/>
      <c r="E5" s="605"/>
      <c r="F5" s="750"/>
      <c r="G5" s="750"/>
      <c r="H5" s="750">
        <v>0.72443014783125004</v>
      </c>
      <c r="I5" s="750"/>
      <c r="J5" s="750"/>
      <c r="K5" s="750"/>
      <c r="L5" s="750"/>
      <c r="M5" s="750"/>
      <c r="N5" s="750"/>
      <c r="O5" s="750"/>
      <c r="P5" s="750"/>
      <c r="Q5" s="750"/>
      <c r="R5" s="605">
        <f>SUM(F5:Q5)</f>
        <v>0.72443014783125004</v>
      </c>
      <c r="S5" s="750"/>
      <c r="T5" s="750"/>
      <c r="U5" s="750">
        <v>1.6909910505600001</v>
      </c>
      <c r="V5" s="750"/>
      <c r="W5" s="750"/>
      <c r="X5" s="750"/>
      <c r="Y5" s="750"/>
      <c r="Z5" s="750"/>
      <c r="AA5" s="750"/>
      <c r="AB5" s="750"/>
      <c r="AC5" s="750"/>
      <c r="AD5" s="750"/>
      <c r="AE5" s="605">
        <f>SUM(S5:AD5)</f>
        <v>1.6909910505600001</v>
      </c>
      <c r="AF5" s="750">
        <v>1.6341329322674998</v>
      </c>
      <c r="AG5" s="750">
        <v>1.574525559075</v>
      </c>
      <c r="AH5" s="750">
        <v>1.5120359990137502</v>
      </c>
      <c r="AI5" s="750">
        <v>1.4465248920412501</v>
      </c>
      <c r="AJ5" s="750">
        <v>1.37784614438625</v>
      </c>
      <c r="AK5" s="750">
        <v>1.305846583755</v>
      </c>
      <c r="AL5" s="750">
        <v>1.2303656350387506</v>
      </c>
      <c r="AM5" s="750">
        <v>1.1512349773837496</v>
      </c>
      <c r="AN5" s="750">
        <v>1.0682781323025003</v>
      </c>
      <c r="AO5" s="750">
        <v>0.98131008906000061</v>
      </c>
      <c r="AP5" s="750">
        <v>0.89013688533000002</v>
      </c>
      <c r="AQ5" s="750">
        <v>0.79455521208000002</v>
      </c>
      <c r="AR5" s="750">
        <v>0.69435189731250047</v>
      </c>
      <c r="AS5" s="750">
        <v>0.58930346621999985</v>
      </c>
      <c r="AT5" s="750">
        <v>0.47917565288250052</v>
      </c>
      <c r="AU5" s="750">
        <v>0.36372285232499985</v>
      </c>
      <c r="AV5" s="750">
        <v>0.24268758189374953</v>
      </c>
      <c r="AW5" s="750">
        <v>0.11579990722125023</v>
      </c>
      <c r="AX5" s="750">
        <v>1.6822397602499463E-2</v>
      </c>
      <c r="AY5" s="750"/>
      <c r="AZ5" s="750"/>
      <c r="BA5" s="750"/>
      <c r="BB5" s="750"/>
      <c r="BC5" s="750"/>
      <c r="BD5" s="750"/>
      <c r="BE5" s="750"/>
      <c r="BF5" s="750"/>
      <c r="BG5" s="606"/>
      <c r="BH5" s="606"/>
      <c r="BI5" s="606"/>
      <c r="BJ5" s="606"/>
      <c r="BK5" s="9"/>
    </row>
    <row r="6" spans="2:70">
      <c r="B6" s="9" t="s">
        <v>780</v>
      </c>
      <c r="C6" s="1"/>
      <c r="D6" s="604"/>
      <c r="E6" s="605"/>
      <c r="F6" s="750"/>
      <c r="G6" s="750"/>
      <c r="H6" s="750">
        <v>0.51389450000000003</v>
      </c>
      <c r="I6" s="750"/>
      <c r="J6" s="750"/>
      <c r="K6" s="750"/>
      <c r="L6" s="750"/>
      <c r="M6" s="750"/>
      <c r="N6" s="750"/>
      <c r="O6" s="750"/>
      <c r="P6" s="750"/>
      <c r="Q6" s="750"/>
      <c r="R6" s="605">
        <f>SUM(F6:Q6)</f>
        <v>0.51389450000000003</v>
      </c>
      <c r="S6" s="750"/>
      <c r="T6" s="750"/>
      <c r="U6" s="750">
        <v>1.0154565</v>
      </c>
      <c r="V6" s="750"/>
      <c r="W6" s="750"/>
      <c r="X6" s="750"/>
      <c r="Y6" s="750"/>
      <c r="Z6" s="750"/>
      <c r="AA6" s="750"/>
      <c r="AB6" s="750"/>
      <c r="AC6" s="750"/>
      <c r="AD6" s="750"/>
      <c r="AE6" s="605">
        <f>SUM(S6:AD6)</f>
        <v>1.0154565</v>
      </c>
      <c r="AF6" s="750">
        <v>0.99021400000000004</v>
      </c>
      <c r="AG6" s="750">
        <v>0.96400949999999996</v>
      </c>
      <c r="AH6" s="750">
        <v>0.93656499999999998</v>
      </c>
      <c r="AI6" s="750">
        <v>0.90711850000000005</v>
      </c>
      <c r="AJ6" s="750">
        <v>0.87530600000000003</v>
      </c>
      <c r="AK6" s="750">
        <v>0.84045150000000002</v>
      </c>
      <c r="AL6" s="750">
        <v>0.80234249999999996</v>
      </c>
      <c r="AM6" s="750">
        <v>0.76125050000000005</v>
      </c>
      <c r="AN6" s="750">
        <v>0.71664099999999997</v>
      </c>
      <c r="AO6" s="750">
        <v>0.66852900000000004</v>
      </c>
      <c r="AP6" s="750">
        <v>0.61753800000000003</v>
      </c>
      <c r="AQ6" s="750">
        <v>0.56346099999999999</v>
      </c>
      <c r="AR6" s="750">
        <v>0.50610100000000002</v>
      </c>
      <c r="AS6" s="750">
        <v>0.44520300000000002</v>
      </c>
      <c r="AT6" s="750">
        <v>0.37690600000000002</v>
      </c>
      <c r="AU6" s="750">
        <v>0.30097499999999999</v>
      </c>
      <c r="AV6" s="750">
        <v>0.22082750000000001</v>
      </c>
      <c r="AW6" s="750">
        <v>0.13617099999999999</v>
      </c>
      <c r="AX6" s="750">
        <v>4.6289999999999998E-2</v>
      </c>
      <c r="AY6" s="750"/>
      <c r="AZ6" s="750"/>
      <c r="BA6" s="750"/>
      <c r="BB6" s="750"/>
      <c r="BC6" s="750"/>
      <c r="BD6" s="750"/>
      <c r="BE6" s="750"/>
      <c r="BF6" s="750"/>
      <c r="BG6" s="606"/>
      <c r="BH6" s="606"/>
      <c r="BI6" s="606"/>
      <c r="BJ6" s="606"/>
      <c r="BK6" s="9"/>
    </row>
    <row r="7" spans="2:70">
      <c r="B7" s="9" t="s">
        <v>781</v>
      </c>
      <c r="C7" s="1"/>
      <c r="D7" s="604"/>
      <c r="E7" s="605"/>
      <c r="F7" s="751"/>
      <c r="G7" s="751"/>
      <c r="H7" s="751"/>
      <c r="I7" s="751">
        <v>2.5000000000000001E-2</v>
      </c>
      <c r="J7" s="751"/>
      <c r="K7" s="751"/>
      <c r="L7" s="751"/>
      <c r="M7" s="751">
        <v>8.0000000000000002E-3</v>
      </c>
      <c r="N7" s="751"/>
      <c r="O7" s="751"/>
      <c r="P7" s="751"/>
      <c r="Q7" s="751"/>
      <c r="R7" s="608">
        <f>SUM(F7:Q7)</f>
        <v>3.3000000000000002E-2</v>
      </c>
      <c r="S7" s="751"/>
      <c r="T7" s="751"/>
      <c r="U7" s="751"/>
      <c r="V7" s="751"/>
      <c r="W7" s="751"/>
      <c r="X7" s="751"/>
      <c r="Y7" s="751"/>
      <c r="Z7" s="751"/>
      <c r="AA7" s="751"/>
      <c r="AB7" s="751"/>
      <c r="AC7" s="751"/>
      <c r="AD7" s="751"/>
      <c r="AE7" s="608">
        <f>SUM(S7:AD7)</f>
        <v>0</v>
      </c>
      <c r="AF7" s="751"/>
      <c r="AG7" s="751"/>
      <c r="AH7" s="751"/>
      <c r="AI7" s="751"/>
      <c r="AJ7" s="751"/>
      <c r="AK7" s="751"/>
      <c r="AL7" s="751"/>
      <c r="AM7" s="751"/>
      <c r="AN7" s="751"/>
      <c r="AO7" s="751"/>
      <c r="AP7" s="751"/>
      <c r="AQ7" s="751"/>
      <c r="AR7" s="751"/>
      <c r="AS7" s="751"/>
      <c r="AT7" s="751"/>
      <c r="AU7" s="751"/>
      <c r="AV7" s="751"/>
      <c r="AW7" s="751"/>
      <c r="AX7" s="751"/>
      <c r="AY7" s="751"/>
      <c r="AZ7" s="751"/>
      <c r="BA7" s="751"/>
      <c r="BB7" s="751"/>
      <c r="BC7" s="751"/>
      <c r="BD7" s="751"/>
      <c r="BE7" s="751"/>
      <c r="BF7" s="751"/>
      <c r="BG7" s="607"/>
      <c r="BH7" s="607"/>
      <c r="BI7" s="607"/>
      <c r="BJ7" s="607"/>
      <c r="BK7" s="9"/>
    </row>
    <row r="8" spans="2:70">
      <c r="B8" s="9" t="s">
        <v>131</v>
      </c>
      <c r="C8" s="1"/>
      <c r="D8" s="604"/>
      <c r="E8" s="605"/>
      <c r="F8" s="604">
        <f>SUM(F5:F7)</f>
        <v>0</v>
      </c>
      <c r="G8" s="604">
        <f t="shared" ref="G8:Q8" si="1">SUM(G5:G7)</f>
        <v>0</v>
      </c>
      <c r="H8" s="604">
        <f t="shared" si="1"/>
        <v>1.23832464783125</v>
      </c>
      <c r="I8" s="604">
        <f t="shared" si="1"/>
        <v>2.5000000000000001E-2</v>
      </c>
      <c r="J8" s="604">
        <f t="shared" si="1"/>
        <v>0</v>
      </c>
      <c r="K8" s="604">
        <f t="shared" si="1"/>
        <v>0</v>
      </c>
      <c r="L8" s="604">
        <f t="shared" si="1"/>
        <v>0</v>
      </c>
      <c r="M8" s="604">
        <f t="shared" si="1"/>
        <v>8.0000000000000002E-3</v>
      </c>
      <c r="N8" s="604">
        <f t="shared" si="1"/>
        <v>0</v>
      </c>
      <c r="O8" s="604">
        <f t="shared" si="1"/>
        <v>0</v>
      </c>
      <c r="P8" s="604">
        <f t="shared" si="1"/>
        <v>0</v>
      </c>
      <c r="Q8" s="604">
        <f t="shared" si="1"/>
        <v>0</v>
      </c>
      <c r="R8" s="605">
        <f>SUM(F8:Q8)</f>
        <v>1.2713246478312499</v>
      </c>
      <c r="S8" s="604">
        <f t="shared" ref="S8:AD8" si="2">SUM(S5:S7)</f>
        <v>0</v>
      </c>
      <c r="T8" s="604">
        <f t="shared" si="2"/>
        <v>0</v>
      </c>
      <c r="U8" s="604">
        <f t="shared" si="2"/>
        <v>2.7064475505600001</v>
      </c>
      <c r="V8" s="604">
        <f t="shared" si="2"/>
        <v>0</v>
      </c>
      <c r="W8" s="604">
        <f t="shared" si="2"/>
        <v>0</v>
      </c>
      <c r="X8" s="604">
        <f t="shared" si="2"/>
        <v>0</v>
      </c>
      <c r="Y8" s="604">
        <f t="shared" si="2"/>
        <v>0</v>
      </c>
      <c r="Z8" s="604">
        <f t="shared" si="2"/>
        <v>0</v>
      </c>
      <c r="AA8" s="604">
        <f t="shared" si="2"/>
        <v>0</v>
      </c>
      <c r="AB8" s="604">
        <f t="shared" si="2"/>
        <v>0</v>
      </c>
      <c r="AC8" s="604">
        <f t="shared" si="2"/>
        <v>0</v>
      </c>
      <c r="AD8" s="604">
        <f t="shared" si="2"/>
        <v>0</v>
      </c>
      <c r="AE8" s="605">
        <f>SUM(S8:AD8)</f>
        <v>2.7064475505600001</v>
      </c>
      <c r="AF8" s="604">
        <f t="shared" ref="AF8:BJ8" si="3">SUM(AF5:AF7)</f>
        <v>2.6243469322674997</v>
      </c>
      <c r="AG8" s="604">
        <f t="shared" si="3"/>
        <v>2.538535059075</v>
      </c>
      <c r="AH8" s="604">
        <f t="shared" si="3"/>
        <v>2.4486009990137503</v>
      </c>
      <c r="AI8" s="604">
        <f t="shared" si="3"/>
        <v>2.3536433920412501</v>
      </c>
      <c r="AJ8" s="604">
        <f t="shared" si="3"/>
        <v>2.2531521443862501</v>
      </c>
      <c r="AK8" s="604">
        <f t="shared" si="3"/>
        <v>2.1462980837550001</v>
      </c>
      <c r="AL8" s="604">
        <f t="shared" si="3"/>
        <v>2.0327081350387504</v>
      </c>
      <c r="AM8" s="604">
        <f t="shared" si="3"/>
        <v>1.9124854773837496</v>
      </c>
      <c r="AN8" s="604">
        <f t="shared" si="3"/>
        <v>1.7849191323025004</v>
      </c>
      <c r="AO8" s="604">
        <f t="shared" si="3"/>
        <v>1.6498390890600008</v>
      </c>
      <c r="AP8" s="604">
        <f t="shared" si="3"/>
        <v>1.5076748853300002</v>
      </c>
      <c r="AQ8" s="604">
        <f t="shared" si="3"/>
        <v>1.3580162120799999</v>
      </c>
      <c r="AR8" s="604">
        <f t="shared" si="3"/>
        <v>1.2004528973125006</v>
      </c>
      <c r="AS8" s="604">
        <f t="shared" si="3"/>
        <v>1.0345064662199999</v>
      </c>
      <c r="AT8" s="604">
        <f t="shared" si="3"/>
        <v>0.8560816528825006</v>
      </c>
      <c r="AU8" s="604">
        <f t="shared" si="3"/>
        <v>0.66469785232499978</v>
      </c>
      <c r="AV8" s="604">
        <f t="shared" si="3"/>
        <v>0.46351508189374957</v>
      </c>
      <c r="AW8" s="604">
        <f t="shared" si="3"/>
        <v>0.25197090722125021</v>
      </c>
      <c r="AX8" s="604">
        <f t="shared" si="3"/>
        <v>6.3112397602499454E-2</v>
      </c>
      <c r="AY8" s="604">
        <f t="shared" si="3"/>
        <v>0</v>
      </c>
      <c r="AZ8" s="604">
        <f t="shared" si="3"/>
        <v>0</v>
      </c>
      <c r="BA8" s="604">
        <f t="shared" si="3"/>
        <v>0</v>
      </c>
      <c r="BB8" s="604">
        <f t="shared" si="3"/>
        <v>0</v>
      </c>
      <c r="BC8" s="604">
        <f t="shared" si="3"/>
        <v>0</v>
      </c>
      <c r="BD8" s="604">
        <f t="shared" si="3"/>
        <v>0</v>
      </c>
      <c r="BE8" s="604">
        <f t="shared" si="3"/>
        <v>0</v>
      </c>
      <c r="BF8" s="604">
        <f t="shared" si="3"/>
        <v>0</v>
      </c>
      <c r="BG8" s="604">
        <f t="shared" si="3"/>
        <v>0</v>
      </c>
      <c r="BH8" s="604">
        <f t="shared" si="3"/>
        <v>0</v>
      </c>
      <c r="BI8" s="604">
        <f t="shared" si="3"/>
        <v>0</v>
      </c>
      <c r="BJ8" s="604">
        <f t="shared" si="3"/>
        <v>0</v>
      </c>
      <c r="BK8" s="9"/>
    </row>
    <row r="9" spans="2:70">
      <c r="B9" s="9"/>
      <c r="C9" s="1"/>
      <c r="D9" s="604"/>
      <c r="E9" s="605"/>
      <c r="F9" s="604"/>
      <c r="G9" s="604"/>
      <c r="H9" s="604"/>
      <c r="I9" s="604"/>
      <c r="J9" s="604"/>
      <c r="K9" s="604"/>
      <c r="L9" s="604"/>
      <c r="M9" s="604"/>
      <c r="N9" s="604"/>
      <c r="O9" s="604"/>
      <c r="P9" s="604"/>
      <c r="Q9" s="604"/>
      <c r="R9" s="605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4"/>
      <c r="AD9" s="604"/>
      <c r="AE9" s="605"/>
      <c r="AF9" s="604"/>
      <c r="AG9" s="604"/>
      <c r="AH9" s="604"/>
      <c r="AI9" s="604"/>
      <c r="AJ9" s="604"/>
      <c r="AK9" s="604"/>
      <c r="AL9" s="604"/>
      <c r="AM9" s="604"/>
      <c r="AN9" s="604"/>
      <c r="AO9" s="604"/>
      <c r="AP9" s="604"/>
      <c r="AQ9" s="604"/>
      <c r="AR9" s="604"/>
      <c r="AS9" s="604"/>
      <c r="AT9" s="604"/>
      <c r="AU9" s="604"/>
      <c r="AV9" s="604"/>
      <c r="AW9" s="604"/>
      <c r="AX9" s="604"/>
      <c r="AY9" s="604"/>
      <c r="AZ9" s="604"/>
      <c r="BA9" s="604"/>
      <c r="BB9" s="604"/>
      <c r="BC9" s="604"/>
      <c r="BD9" s="604"/>
      <c r="BE9" s="604"/>
      <c r="BF9" s="604"/>
      <c r="BG9" s="604"/>
      <c r="BH9" s="604"/>
      <c r="BI9" s="604"/>
      <c r="BJ9" s="604"/>
      <c r="BK9" s="9"/>
    </row>
    <row r="10" spans="2:70">
      <c r="B10" s="9" t="s">
        <v>785</v>
      </c>
      <c r="C10" s="1"/>
      <c r="D10" s="604"/>
      <c r="E10" s="605"/>
      <c r="F10" s="750"/>
      <c r="G10" s="750"/>
      <c r="H10" s="750">
        <v>0.51890771152500004</v>
      </c>
      <c r="I10" s="750"/>
      <c r="J10" s="750"/>
      <c r="K10" s="750"/>
      <c r="L10" s="750"/>
      <c r="M10" s="750"/>
      <c r="N10" s="750"/>
      <c r="O10" s="750"/>
      <c r="P10" s="750"/>
      <c r="Q10" s="750"/>
      <c r="R10" s="605">
        <f>SUM(F10:Q10)</f>
        <v>0.51890771152500004</v>
      </c>
      <c r="S10" s="750"/>
      <c r="T10" s="750"/>
      <c r="U10" s="750">
        <v>1.2112531468800001</v>
      </c>
      <c r="V10" s="750"/>
      <c r="W10" s="750"/>
      <c r="X10" s="750"/>
      <c r="Y10" s="750"/>
      <c r="Z10" s="750"/>
      <c r="AA10" s="750"/>
      <c r="AB10" s="750"/>
      <c r="AC10" s="750"/>
      <c r="AD10" s="750"/>
      <c r="AE10" s="605">
        <f>SUM(S10:AD10)</f>
        <v>1.2112531468800001</v>
      </c>
      <c r="AF10" s="750">
        <v>1.1705258025900001</v>
      </c>
      <c r="AG10" s="750">
        <v>1.1278291731000001</v>
      </c>
      <c r="AH10" s="750">
        <v>1.0830680395350001</v>
      </c>
      <c r="AI10" s="750">
        <v>1.036142578605</v>
      </c>
      <c r="AJ10" s="750">
        <v>0.98694814366499994</v>
      </c>
      <c r="AK10" s="750">
        <v>0.93537501774000009</v>
      </c>
      <c r="AL10" s="750">
        <v>0.88130818123499999</v>
      </c>
      <c r="AM10" s="750">
        <v>0.82462706629500004</v>
      </c>
      <c r="AN10" s="750">
        <v>0.76520526177000003</v>
      </c>
      <c r="AO10" s="750">
        <v>0.70291024487999998</v>
      </c>
      <c r="AP10" s="750">
        <v>0.63760308084000006</v>
      </c>
      <c r="AQ10" s="750">
        <v>0.56913813983999995</v>
      </c>
      <c r="AR10" s="750">
        <v>0.49736272724999997</v>
      </c>
      <c r="AS10" s="750">
        <v>0.42211676856000002</v>
      </c>
      <c r="AT10" s="750">
        <v>0.34323245961000004</v>
      </c>
      <c r="AU10" s="750">
        <v>0.26053387410000001</v>
      </c>
      <c r="AV10" s="750">
        <v>0.173836577775</v>
      </c>
      <c r="AW10" s="750">
        <v>8.294721724500001E-2</v>
      </c>
      <c r="AX10" s="750">
        <v>0.10754245854250083</v>
      </c>
      <c r="AY10" s="750">
        <v>1.0530490559999999</v>
      </c>
      <c r="AZ10" s="750">
        <v>0.95521060800000002</v>
      </c>
      <c r="BA10" s="750">
        <v>0.85264140800000032</v>
      </c>
      <c r="BB10" s="750">
        <v>0.74511269999999996</v>
      </c>
      <c r="BC10" s="750">
        <v>0.63238467199999981</v>
      </c>
      <c r="BD10" s="750">
        <v>0.5142059320000002</v>
      </c>
      <c r="BE10" s="750">
        <v>0.39031292000000001</v>
      </c>
      <c r="BF10" s="750">
        <v>0.26042933000000001</v>
      </c>
      <c r="BG10" s="750">
        <v>0.124265494</v>
      </c>
      <c r="BH10" s="750">
        <v>1.8052203999999999E-2</v>
      </c>
      <c r="BI10" s="750">
        <v>0</v>
      </c>
      <c r="BJ10" s="750"/>
      <c r="BK10" s="9"/>
    </row>
    <row r="11" spans="2:70">
      <c r="B11" s="9" t="s">
        <v>784</v>
      </c>
      <c r="C11" s="1"/>
      <c r="D11" s="604"/>
      <c r="E11" s="605"/>
      <c r="F11" s="750"/>
      <c r="G11" s="750"/>
      <c r="H11" s="750">
        <v>0.25694725000000002</v>
      </c>
      <c r="I11" s="750"/>
      <c r="J11" s="750"/>
      <c r="K11" s="750"/>
      <c r="L11" s="750"/>
      <c r="M11" s="750"/>
      <c r="N11" s="750"/>
      <c r="O11" s="750"/>
      <c r="P11" s="750"/>
      <c r="Q11" s="750"/>
      <c r="R11" s="605">
        <f>SUM(F11:Q11)</f>
        <v>0.25694725000000002</v>
      </c>
      <c r="S11" s="750"/>
      <c r="T11" s="750"/>
      <c r="U11" s="750">
        <v>0.50772824999999999</v>
      </c>
      <c r="V11" s="750"/>
      <c r="W11" s="750"/>
      <c r="X11" s="750"/>
      <c r="Y11" s="750"/>
      <c r="Z11" s="750"/>
      <c r="AA11" s="750"/>
      <c r="AB11" s="750"/>
      <c r="AC11" s="750"/>
      <c r="AD11" s="750"/>
      <c r="AE11" s="605">
        <f>SUM(S11:AD11)</f>
        <v>0.50772824999999999</v>
      </c>
      <c r="AF11" s="750">
        <v>0.49510700000000002</v>
      </c>
      <c r="AG11" s="750">
        <v>0.48200474999999998</v>
      </c>
      <c r="AH11" s="750">
        <v>0.46828249999999999</v>
      </c>
      <c r="AI11" s="750">
        <v>0.45355925000000002</v>
      </c>
      <c r="AJ11" s="750">
        <v>0.43765300000000001</v>
      </c>
      <c r="AK11" s="750">
        <v>0.42022575000000001</v>
      </c>
      <c r="AL11" s="750">
        <v>0.40117124999999998</v>
      </c>
      <c r="AM11" s="750">
        <v>0.38062525000000003</v>
      </c>
      <c r="AN11" s="750">
        <v>0.35832049999999999</v>
      </c>
      <c r="AO11" s="750">
        <v>0.33426450000000002</v>
      </c>
      <c r="AP11" s="750">
        <v>0.30876900000000002</v>
      </c>
      <c r="AQ11" s="750">
        <v>0.28173049999999999</v>
      </c>
      <c r="AR11" s="750">
        <v>0.25305050000000001</v>
      </c>
      <c r="AS11" s="750">
        <v>0.22260150000000001</v>
      </c>
      <c r="AT11" s="750">
        <v>0.18845300000000001</v>
      </c>
      <c r="AU11" s="750">
        <v>0.1504875</v>
      </c>
      <c r="AV11" s="750">
        <v>0.11041375</v>
      </c>
      <c r="AW11" s="750">
        <v>6.8085499999999993E-2</v>
      </c>
      <c r="AX11" s="750">
        <v>2.3144999999999999E-2</v>
      </c>
      <c r="AY11" s="750">
        <v>0</v>
      </c>
      <c r="AZ11" s="750">
        <v>0</v>
      </c>
      <c r="BA11" s="750">
        <v>0</v>
      </c>
      <c r="BB11" s="750">
        <v>0</v>
      </c>
      <c r="BC11" s="750">
        <v>0.2569475</v>
      </c>
      <c r="BD11" s="750">
        <v>0.50772850000000003</v>
      </c>
      <c r="BE11" s="750">
        <v>0.49510700000000002</v>
      </c>
      <c r="BF11" s="750">
        <v>0.48200500000000002</v>
      </c>
      <c r="BG11" s="750">
        <v>0.468283</v>
      </c>
      <c r="BH11" s="750">
        <v>0.4535595</v>
      </c>
      <c r="BI11" s="750">
        <v>0.43765300000000001</v>
      </c>
      <c r="BJ11" s="750"/>
      <c r="BK11" s="9"/>
      <c r="BL11" s="492"/>
      <c r="BM11" s="492"/>
      <c r="BN11" s="492"/>
      <c r="BO11" s="492"/>
      <c r="BP11" s="492"/>
      <c r="BQ11" s="492"/>
      <c r="BR11" s="492"/>
    </row>
    <row r="12" spans="2:70">
      <c r="B12" s="9" t="s">
        <v>783</v>
      </c>
      <c r="C12" s="1"/>
      <c r="D12" s="604"/>
      <c r="E12" s="605"/>
      <c r="F12" s="752"/>
      <c r="G12" s="752"/>
      <c r="H12" s="752"/>
      <c r="I12" s="752">
        <v>1.6250000000000001E-2</v>
      </c>
      <c r="J12" s="752"/>
      <c r="K12" s="752"/>
      <c r="L12" s="752"/>
      <c r="M12" s="752">
        <v>5.5999999999999999E-3</v>
      </c>
      <c r="N12" s="752"/>
      <c r="O12" s="752"/>
      <c r="P12" s="752"/>
      <c r="Q12" s="752"/>
      <c r="R12" s="608">
        <f>SUM(F12:Q12)</f>
        <v>2.1850000000000001E-2</v>
      </c>
      <c r="S12" s="752"/>
      <c r="T12" s="752"/>
      <c r="U12" s="752">
        <v>0.82598055999999997</v>
      </c>
      <c r="V12" s="752"/>
      <c r="W12" s="752"/>
      <c r="X12" s="752"/>
      <c r="Y12" s="752"/>
      <c r="Z12" s="752"/>
      <c r="AA12" s="752"/>
      <c r="AB12" s="752"/>
      <c r="AC12" s="752"/>
      <c r="AD12" s="752"/>
      <c r="AE12" s="608">
        <f>SUM(S12:AD12)</f>
        <v>0.82598055999999997</v>
      </c>
      <c r="AF12" s="752">
        <v>1.5569999999999999</v>
      </c>
      <c r="AG12" s="752">
        <v>1.0935065500000001</v>
      </c>
      <c r="AH12" s="751"/>
      <c r="AI12" s="751"/>
      <c r="AJ12" s="751"/>
      <c r="AK12" s="751"/>
      <c r="AL12" s="751"/>
      <c r="AM12" s="751"/>
      <c r="AN12" s="751"/>
      <c r="AO12" s="751"/>
      <c r="AP12" s="751"/>
      <c r="AQ12" s="751"/>
      <c r="AR12" s="751"/>
      <c r="AS12" s="751"/>
      <c r="AT12" s="751"/>
      <c r="AU12" s="751"/>
      <c r="AV12" s="751"/>
      <c r="AW12" s="751"/>
      <c r="AX12" s="751"/>
      <c r="AY12" s="751"/>
      <c r="AZ12" s="751"/>
      <c r="BA12" s="751"/>
      <c r="BB12" s="751"/>
      <c r="BC12" s="751"/>
      <c r="BD12" s="751"/>
      <c r="BE12" s="751"/>
      <c r="BF12" s="751"/>
      <c r="BG12" s="751"/>
      <c r="BH12" s="751"/>
      <c r="BI12" s="751"/>
      <c r="BJ12" s="751"/>
      <c r="BK12" s="9"/>
    </row>
    <row r="13" spans="2:70">
      <c r="B13" s="9" t="s">
        <v>131</v>
      </c>
      <c r="C13" s="1"/>
      <c r="D13" s="604"/>
      <c r="E13" s="605"/>
      <c r="F13" s="604">
        <f t="shared" ref="F13:Q13" si="4">SUM(F10:F12)</f>
        <v>0</v>
      </c>
      <c r="G13" s="604">
        <f t="shared" si="4"/>
        <v>0</v>
      </c>
      <c r="H13" s="604">
        <f t="shared" si="4"/>
        <v>0.77585496152500011</v>
      </c>
      <c r="I13" s="604">
        <f t="shared" si="4"/>
        <v>1.6250000000000001E-2</v>
      </c>
      <c r="J13" s="604">
        <f t="shared" si="4"/>
        <v>0</v>
      </c>
      <c r="K13" s="604">
        <f t="shared" si="4"/>
        <v>0</v>
      </c>
      <c r="L13" s="604">
        <f t="shared" si="4"/>
        <v>0</v>
      </c>
      <c r="M13" s="604">
        <f t="shared" si="4"/>
        <v>5.5999999999999999E-3</v>
      </c>
      <c r="N13" s="604">
        <f t="shared" si="4"/>
        <v>0</v>
      </c>
      <c r="O13" s="604">
        <f t="shared" si="4"/>
        <v>0</v>
      </c>
      <c r="P13" s="604">
        <f t="shared" si="4"/>
        <v>0</v>
      </c>
      <c r="Q13" s="604">
        <f t="shared" si="4"/>
        <v>0</v>
      </c>
      <c r="R13" s="605">
        <f>SUM(F13:Q13)</f>
        <v>0.79770496152500014</v>
      </c>
      <c r="S13" s="604">
        <f t="shared" ref="S13:AD13" si="5">SUM(S10:S12)</f>
        <v>0</v>
      </c>
      <c r="T13" s="604">
        <f t="shared" si="5"/>
        <v>0</v>
      </c>
      <c r="U13" s="604">
        <f t="shared" si="5"/>
        <v>2.5449619568799999</v>
      </c>
      <c r="V13" s="604">
        <f t="shared" si="5"/>
        <v>0</v>
      </c>
      <c r="W13" s="604">
        <f t="shared" si="5"/>
        <v>0</v>
      </c>
      <c r="X13" s="604">
        <f t="shared" si="5"/>
        <v>0</v>
      </c>
      <c r="Y13" s="604">
        <f t="shared" si="5"/>
        <v>0</v>
      </c>
      <c r="Z13" s="604">
        <f t="shared" si="5"/>
        <v>0</v>
      </c>
      <c r="AA13" s="604">
        <f t="shared" si="5"/>
        <v>0</v>
      </c>
      <c r="AB13" s="604">
        <f t="shared" si="5"/>
        <v>0</v>
      </c>
      <c r="AC13" s="604">
        <f t="shared" si="5"/>
        <v>0</v>
      </c>
      <c r="AD13" s="604">
        <f t="shared" si="5"/>
        <v>0</v>
      </c>
      <c r="AE13" s="605">
        <f>SUM(S13:AD13)</f>
        <v>2.5449619568799999</v>
      </c>
      <c r="AF13" s="604">
        <f t="shared" ref="AF13:BJ13" si="6">SUM(AF10:AF12)</f>
        <v>3.2226328025899997</v>
      </c>
      <c r="AG13" s="604">
        <f t="shared" si="6"/>
        <v>2.7033404730999999</v>
      </c>
      <c r="AH13" s="604">
        <f t="shared" si="6"/>
        <v>1.551350539535</v>
      </c>
      <c r="AI13" s="604">
        <f t="shared" si="6"/>
        <v>1.4897018286050001</v>
      </c>
      <c r="AJ13" s="604">
        <f t="shared" si="6"/>
        <v>1.4246011436649999</v>
      </c>
      <c r="AK13" s="604">
        <f t="shared" si="6"/>
        <v>1.3556007677400002</v>
      </c>
      <c r="AL13" s="604">
        <f t="shared" si="6"/>
        <v>1.2824794312350001</v>
      </c>
      <c r="AM13" s="604">
        <f t="shared" si="6"/>
        <v>1.2052523162950002</v>
      </c>
      <c r="AN13" s="604">
        <f t="shared" si="6"/>
        <v>1.1235257617700001</v>
      </c>
      <c r="AO13" s="604">
        <f t="shared" si="6"/>
        <v>1.0371747448799999</v>
      </c>
      <c r="AP13" s="604">
        <f t="shared" si="6"/>
        <v>0.94637208084000002</v>
      </c>
      <c r="AQ13" s="604">
        <f t="shared" si="6"/>
        <v>0.85086863983999994</v>
      </c>
      <c r="AR13" s="604">
        <f t="shared" si="6"/>
        <v>0.75041322724999993</v>
      </c>
      <c r="AS13" s="604">
        <f t="shared" si="6"/>
        <v>0.64471826856000003</v>
      </c>
      <c r="AT13" s="604">
        <f t="shared" si="6"/>
        <v>0.53168545961000002</v>
      </c>
      <c r="AU13" s="604">
        <f t="shared" si="6"/>
        <v>0.4110213741</v>
      </c>
      <c r="AV13" s="604">
        <f t="shared" si="6"/>
        <v>0.28425032777500003</v>
      </c>
      <c r="AW13" s="604">
        <f t="shared" si="6"/>
        <v>0.151032717245</v>
      </c>
      <c r="AX13" s="604">
        <f t="shared" si="6"/>
        <v>0.13068745854250083</v>
      </c>
      <c r="AY13" s="604">
        <f t="shared" si="6"/>
        <v>1.0530490559999999</v>
      </c>
      <c r="AZ13" s="604">
        <f t="shared" si="6"/>
        <v>0.95521060800000002</v>
      </c>
      <c r="BA13" s="604">
        <f t="shared" si="6"/>
        <v>0.85264140800000032</v>
      </c>
      <c r="BB13" s="604">
        <f t="shared" si="6"/>
        <v>0.74511269999999996</v>
      </c>
      <c r="BC13" s="604">
        <f t="shared" si="6"/>
        <v>0.88933217199999981</v>
      </c>
      <c r="BD13" s="604">
        <f t="shared" si="6"/>
        <v>1.0219344320000001</v>
      </c>
      <c r="BE13" s="604">
        <f t="shared" si="6"/>
        <v>0.88541992000000003</v>
      </c>
      <c r="BF13" s="604">
        <f t="shared" si="6"/>
        <v>0.74243433000000003</v>
      </c>
      <c r="BG13" s="604">
        <f t="shared" si="6"/>
        <v>0.59254849399999998</v>
      </c>
      <c r="BH13" s="604">
        <f t="shared" si="6"/>
        <v>0.47161170400000002</v>
      </c>
      <c r="BI13" s="604">
        <f t="shared" si="6"/>
        <v>0.43765300000000001</v>
      </c>
      <c r="BJ13" s="604">
        <f t="shared" si="6"/>
        <v>0</v>
      </c>
      <c r="BK13" s="9"/>
    </row>
    <row r="14" spans="2:70">
      <c r="B14" s="9"/>
      <c r="C14" s="1"/>
      <c r="D14" s="604"/>
      <c r="E14" s="605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5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5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9"/>
    </row>
    <row r="15" spans="2:70">
      <c r="B15" s="9" t="s">
        <v>778</v>
      </c>
      <c r="C15" s="9"/>
      <c r="D15" s="604"/>
      <c r="E15" s="605"/>
      <c r="F15" s="609">
        <f>F8</f>
        <v>0</v>
      </c>
      <c r="G15" s="609">
        <f t="shared" ref="G15:Q15" si="7">G8</f>
        <v>0</v>
      </c>
      <c r="H15" s="609">
        <f t="shared" si="7"/>
        <v>1.23832464783125</v>
      </c>
      <c r="I15" s="609">
        <f t="shared" si="7"/>
        <v>2.5000000000000001E-2</v>
      </c>
      <c r="J15" s="609">
        <f t="shared" si="7"/>
        <v>0</v>
      </c>
      <c r="K15" s="609">
        <f t="shared" si="7"/>
        <v>0</v>
      </c>
      <c r="L15" s="609">
        <f t="shared" si="7"/>
        <v>0</v>
      </c>
      <c r="M15" s="609">
        <f t="shared" si="7"/>
        <v>8.0000000000000002E-3</v>
      </c>
      <c r="N15" s="609">
        <f t="shared" si="7"/>
        <v>0</v>
      </c>
      <c r="O15" s="609">
        <f t="shared" si="7"/>
        <v>0</v>
      </c>
      <c r="P15" s="609">
        <f t="shared" si="7"/>
        <v>0</v>
      </c>
      <c r="Q15" s="609">
        <f t="shared" si="7"/>
        <v>0</v>
      </c>
      <c r="R15" s="610">
        <f>SUM(F15:Q15)</f>
        <v>1.2713246478312499</v>
      </c>
      <c r="S15" s="609">
        <f>S8</f>
        <v>0</v>
      </c>
      <c r="T15" s="609">
        <f t="shared" ref="T15:AD15" si="8">T8</f>
        <v>0</v>
      </c>
      <c r="U15" s="609">
        <f t="shared" si="8"/>
        <v>2.7064475505600001</v>
      </c>
      <c r="V15" s="609">
        <f t="shared" si="8"/>
        <v>0</v>
      </c>
      <c r="W15" s="609">
        <f t="shared" si="8"/>
        <v>0</v>
      </c>
      <c r="X15" s="609">
        <f t="shared" si="8"/>
        <v>0</v>
      </c>
      <c r="Y15" s="609">
        <f t="shared" si="8"/>
        <v>0</v>
      </c>
      <c r="Z15" s="609">
        <f t="shared" si="8"/>
        <v>0</v>
      </c>
      <c r="AA15" s="609">
        <f t="shared" si="8"/>
        <v>0</v>
      </c>
      <c r="AB15" s="609">
        <f t="shared" si="8"/>
        <v>0</v>
      </c>
      <c r="AC15" s="609">
        <f t="shared" si="8"/>
        <v>0</v>
      </c>
      <c r="AD15" s="609">
        <f t="shared" si="8"/>
        <v>0</v>
      </c>
      <c r="AE15" s="610">
        <f>SUM(S15:AD15)</f>
        <v>2.7064475505600001</v>
      </c>
      <c r="AF15" s="609">
        <f>AF8</f>
        <v>2.6243469322674997</v>
      </c>
      <c r="AG15" s="609">
        <f t="shared" ref="AG15:AQ15" si="9">AG8</f>
        <v>2.538535059075</v>
      </c>
      <c r="AH15" s="609">
        <f t="shared" si="9"/>
        <v>2.4486009990137503</v>
      </c>
      <c r="AI15" s="609">
        <f t="shared" si="9"/>
        <v>2.3536433920412501</v>
      </c>
      <c r="AJ15" s="609">
        <f t="shared" si="9"/>
        <v>2.2531521443862501</v>
      </c>
      <c r="AK15" s="609">
        <f t="shared" si="9"/>
        <v>2.1462980837550001</v>
      </c>
      <c r="AL15" s="609">
        <f t="shared" si="9"/>
        <v>2.0327081350387504</v>
      </c>
      <c r="AM15" s="609">
        <f t="shared" si="9"/>
        <v>1.9124854773837496</v>
      </c>
      <c r="AN15" s="609">
        <f t="shared" si="9"/>
        <v>1.7849191323025004</v>
      </c>
      <c r="AO15" s="609">
        <f t="shared" si="9"/>
        <v>1.6498390890600008</v>
      </c>
      <c r="AP15" s="609">
        <f t="shared" si="9"/>
        <v>1.5076748853300002</v>
      </c>
      <c r="AQ15" s="609">
        <f t="shared" si="9"/>
        <v>1.3580162120799999</v>
      </c>
      <c r="AR15" s="609">
        <f t="shared" ref="AR15:BJ15" si="10">AR8</f>
        <v>1.2004528973125006</v>
      </c>
      <c r="AS15" s="609">
        <f t="shared" si="10"/>
        <v>1.0345064662199999</v>
      </c>
      <c r="AT15" s="609">
        <f t="shared" si="10"/>
        <v>0.8560816528825006</v>
      </c>
      <c r="AU15" s="609">
        <f t="shared" si="10"/>
        <v>0.66469785232499978</v>
      </c>
      <c r="AV15" s="609">
        <f t="shared" si="10"/>
        <v>0.46351508189374957</v>
      </c>
      <c r="AW15" s="609">
        <f t="shared" si="10"/>
        <v>0.25197090722125021</v>
      </c>
      <c r="AX15" s="609">
        <f t="shared" si="10"/>
        <v>6.3112397602499454E-2</v>
      </c>
      <c r="AY15" s="609">
        <f t="shared" si="10"/>
        <v>0</v>
      </c>
      <c r="AZ15" s="609">
        <f t="shared" si="10"/>
        <v>0</v>
      </c>
      <c r="BA15" s="609">
        <f t="shared" si="10"/>
        <v>0</v>
      </c>
      <c r="BB15" s="609">
        <f t="shared" si="10"/>
        <v>0</v>
      </c>
      <c r="BC15" s="609">
        <f t="shared" si="10"/>
        <v>0</v>
      </c>
      <c r="BD15" s="609">
        <f t="shared" si="10"/>
        <v>0</v>
      </c>
      <c r="BE15" s="609">
        <f t="shared" si="10"/>
        <v>0</v>
      </c>
      <c r="BF15" s="609">
        <f t="shared" si="10"/>
        <v>0</v>
      </c>
      <c r="BG15" s="609">
        <f t="shared" si="10"/>
        <v>0</v>
      </c>
      <c r="BH15" s="609">
        <f t="shared" si="10"/>
        <v>0</v>
      </c>
      <c r="BI15" s="609">
        <f t="shared" si="10"/>
        <v>0</v>
      </c>
      <c r="BJ15" s="609">
        <f t="shared" si="10"/>
        <v>0</v>
      </c>
      <c r="BK15" s="9"/>
    </row>
    <row r="16" spans="2:70">
      <c r="B16" s="9" t="s">
        <v>777</v>
      </c>
      <c r="C16" s="9"/>
      <c r="D16" s="611"/>
      <c r="E16" s="605"/>
      <c r="F16" s="612">
        <f>F13</f>
        <v>0</v>
      </c>
      <c r="G16" s="612">
        <f t="shared" ref="G16:Q16" si="11">G13</f>
        <v>0</v>
      </c>
      <c r="H16" s="612">
        <f t="shared" si="11"/>
        <v>0.77585496152500011</v>
      </c>
      <c r="I16" s="612">
        <f t="shared" si="11"/>
        <v>1.6250000000000001E-2</v>
      </c>
      <c r="J16" s="612">
        <f t="shared" si="11"/>
        <v>0</v>
      </c>
      <c r="K16" s="612">
        <f t="shared" si="11"/>
        <v>0</v>
      </c>
      <c r="L16" s="612">
        <f t="shared" si="11"/>
        <v>0</v>
      </c>
      <c r="M16" s="612">
        <f t="shared" si="11"/>
        <v>5.5999999999999999E-3</v>
      </c>
      <c r="N16" s="612">
        <f t="shared" si="11"/>
        <v>0</v>
      </c>
      <c r="O16" s="612">
        <f t="shared" si="11"/>
        <v>0</v>
      </c>
      <c r="P16" s="612">
        <f t="shared" si="11"/>
        <v>0</v>
      </c>
      <c r="Q16" s="612">
        <f t="shared" si="11"/>
        <v>0</v>
      </c>
      <c r="R16" s="610">
        <f>SUM(F16:Q16)</f>
        <v>0.79770496152500014</v>
      </c>
      <c r="S16" s="612">
        <f>S13</f>
        <v>0</v>
      </c>
      <c r="T16" s="612">
        <f t="shared" ref="T16:AD16" si="12">T13</f>
        <v>0</v>
      </c>
      <c r="U16" s="612">
        <f t="shared" si="12"/>
        <v>2.5449619568799999</v>
      </c>
      <c r="V16" s="612">
        <f t="shared" si="12"/>
        <v>0</v>
      </c>
      <c r="W16" s="612">
        <f t="shared" si="12"/>
        <v>0</v>
      </c>
      <c r="X16" s="612">
        <f t="shared" si="12"/>
        <v>0</v>
      </c>
      <c r="Y16" s="612">
        <f t="shared" si="12"/>
        <v>0</v>
      </c>
      <c r="Z16" s="612">
        <f t="shared" si="12"/>
        <v>0</v>
      </c>
      <c r="AA16" s="612">
        <f t="shared" si="12"/>
        <v>0</v>
      </c>
      <c r="AB16" s="612">
        <f t="shared" si="12"/>
        <v>0</v>
      </c>
      <c r="AC16" s="612">
        <f t="shared" si="12"/>
        <v>0</v>
      </c>
      <c r="AD16" s="612">
        <f t="shared" si="12"/>
        <v>0</v>
      </c>
      <c r="AE16" s="610">
        <f>SUM(S16:AD16)</f>
        <v>2.5449619568799999</v>
      </c>
      <c r="AF16" s="612">
        <f>AF13</f>
        <v>3.2226328025899997</v>
      </c>
      <c r="AG16" s="612">
        <f t="shared" ref="AG16:AQ16" si="13">AG13</f>
        <v>2.7033404730999999</v>
      </c>
      <c r="AH16" s="612">
        <f t="shared" si="13"/>
        <v>1.551350539535</v>
      </c>
      <c r="AI16" s="612">
        <f t="shared" si="13"/>
        <v>1.4897018286050001</v>
      </c>
      <c r="AJ16" s="612">
        <f t="shared" si="13"/>
        <v>1.4246011436649999</v>
      </c>
      <c r="AK16" s="612">
        <f t="shared" si="13"/>
        <v>1.3556007677400002</v>
      </c>
      <c r="AL16" s="612">
        <f t="shared" si="13"/>
        <v>1.2824794312350001</v>
      </c>
      <c r="AM16" s="612">
        <f t="shared" si="13"/>
        <v>1.2052523162950002</v>
      </c>
      <c r="AN16" s="612">
        <f t="shared" si="13"/>
        <v>1.1235257617700001</v>
      </c>
      <c r="AO16" s="612">
        <f t="shared" si="13"/>
        <v>1.0371747448799999</v>
      </c>
      <c r="AP16" s="612">
        <f t="shared" si="13"/>
        <v>0.94637208084000002</v>
      </c>
      <c r="AQ16" s="612">
        <f t="shared" si="13"/>
        <v>0.85086863983999994</v>
      </c>
      <c r="AR16" s="612">
        <f t="shared" ref="AR16:BJ16" si="14">AR13</f>
        <v>0.75041322724999993</v>
      </c>
      <c r="AS16" s="612">
        <f t="shared" si="14"/>
        <v>0.64471826856000003</v>
      </c>
      <c r="AT16" s="612">
        <f t="shared" si="14"/>
        <v>0.53168545961000002</v>
      </c>
      <c r="AU16" s="612">
        <f t="shared" si="14"/>
        <v>0.4110213741</v>
      </c>
      <c r="AV16" s="612">
        <f t="shared" si="14"/>
        <v>0.28425032777500003</v>
      </c>
      <c r="AW16" s="612">
        <f t="shared" si="14"/>
        <v>0.151032717245</v>
      </c>
      <c r="AX16" s="612">
        <f t="shared" si="14"/>
        <v>0.13068745854250083</v>
      </c>
      <c r="AY16" s="612">
        <f t="shared" si="14"/>
        <v>1.0530490559999999</v>
      </c>
      <c r="AZ16" s="612">
        <f t="shared" si="14"/>
        <v>0.95521060800000002</v>
      </c>
      <c r="BA16" s="612">
        <f t="shared" si="14"/>
        <v>0.85264140800000032</v>
      </c>
      <c r="BB16" s="612">
        <f t="shared" si="14"/>
        <v>0.74511269999999996</v>
      </c>
      <c r="BC16" s="612">
        <f t="shared" si="14"/>
        <v>0.88933217199999981</v>
      </c>
      <c r="BD16" s="612">
        <f t="shared" si="14"/>
        <v>1.0219344320000001</v>
      </c>
      <c r="BE16" s="612">
        <f t="shared" si="14"/>
        <v>0.88541992000000003</v>
      </c>
      <c r="BF16" s="612">
        <f t="shared" si="14"/>
        <v>0.74243433000000003</v>
      </c>
      <c r="BG16" s="612">
        <f t="shared" si="14"/>
        <v>0.59254849399999998</v>
      </c>
      <c r="BH16" s="612">
        <f t="shared" si="14"/>
        <v>0.47161170400000002</v>
      </c>
      <c r="BI16" s="612">
        <f t="shared" si="14"/>
        <v>0.43765300000000001</v>
      </c>
      <c r="BJ16" s="612">
        <f t="shared" si="14"/>
        <v>0</v>
      </c>
      <c r="BK16" s="9"/>
    </row>
    <row r="17" spans="2:63">
      <c r="B17" s="9" t="s">
        <v>782</v>
      </c>
      <c r="C17" s="83"/>
      <c r="D17" s="753">
        <v>3.68291251</v>
      </c>
      <c r="E17" s="613"/>
      <c r="F17" s="614">
        <f>D17+F15-F16</f>
        <v>3.68291251</v>
      </c>
      <c r="G17" s="614">
        <f>F17+G15-G16</f>
        <v>3.68291251</v>
      </c>
      <c r="H17" s="614">
        <f>G17+H15-H16</f>
        <v>4.14538219630625</v>
      </c>
      <c r="I17" s="614">
        <f>H17+I15-I16</f>
        <v>4.1541321963062501</v>
      </c>
      <c r="J17" s="614">
        <f t="shared" ref="J17:Q17" si="15">I17+J15-J16</f>
        <v>4.1541321963062501</v>
      </c>
      <c r="K17" s="614">
        <f t="shared" si="15"/>
        <v>4.1541321963062501</v>
      </c>
      <c r="L17" s="614">
        <f t="shared" si="15"/>
        <v>4.1541321963062501</v>
      </c>
      <c r="M17" s="614">
        <f t="shared" si="15"/>
        <v>4.1565321963062498</v>
      </c>
      <c r="N17" s="614">
        <f t="shared" si="15"/>
        <v>4.1565321963062498</v>
      </c>
      <c r="O17" s="614">
        <f t="shared" si="15"/>
        <v>4.1565321963062498</v>
      </c>
      <c r="P17" s="614">
        <f t="shared" si="15"/>
        <v>4.1565321963062498</v>
      </c>
      <c r="Q17" s="614">
        <f t="shared" si="15"/>
        <v>4.1565321963062498</v>
      </c>
      <c r="R17" s="605"/>
      <c r="S17" s="604">
        <f>Q17+S15-S16</f>
        <v>4.1565321963062498</v>
      </c>
      <c r="T17" s="604">
        <f>S17+T15-T16</f>
        <v>4.1565321963062498</v>
      </c>
      <c r="U17" s="604">
        <f t="shared" ref="U17:AD17" si="16">T17+U15-U16</f>
        <v>4.31801778998625</v>
      </c>
      <c r="V17" s="604">
        <f t="shared" si="16"/>
        <v>4.31801778998625</v>
      </c>
      <c r="W17" s="604">
        <f t="shared" si="16"/>
        <v>4.31801778998625</v>
      </c>
      <c r="X17" s="604">
        <f t="shared" si="16"/>
        <v>4.31801778998625</v>
      </c>
      <c r="Y17" s="604">
        <f t="shared" si="16"/>
        <v>4.31801778998625</v>
      </c>
      <c r="Z17" s="604">
        <f t="shared" si="16"/>
        <v>4.31801778998625</v>
      </c>
      <c r="AA17" s="604">
        <f t="shared" si="16"/>
        <v>4.31801778998625</v>
      </c>
      <c r="AB17" s="604">
        <f t="shared" si="16"/>
        <v>4.31801778998625</v>
      </c>
      <c r="AC17" s="604">
        <f t="shared" si="16"/>
        <v>4.31801778998625</v>
      </c>
      <c r="AD17" s="604">
        <f t="shared" si="16"/>
        <v>4.31801778998625</v>
      </c>
      <c r="AE17" s="605"/>
      <c r="AF17" s="604">
        <f>AD17+AF15-AF16</f>
        <v>3.7197319196637499</v>
      </c>
      <c r="AG17" s="604">
        <f t="shared" ref="AG17:AO17" si="17">AF17+AG15-AG16</f>
        <v>3.5549265056387496</v>
      </c>
      <c r="AH17" s="604">
        <f t="shared" si="17"/>
        <v>4.4521769651174994</v>
      </c>
      <c r="AI17" s="604">
        <f t="shared" si="17"/>
        <v>5.3161185285537496</v>
      </c>
      <c r="AJ17" s="604">
        <f t="shared" si="17"/>
        <v>6.1446695292750002</v>
      </c>
      <c r="AK17" s="604">
        <f t="shared" si="17"/>
        <v>6.9353668452899999</v>
      </c>
      <c r="AL17" s="604">
        <f t="shared" si="17"/>
        <v>7.6855955490937511</v>
      </c>
      <c r="AM17" s="604">
        <f t="shared" si="17"/>
        <v>8.392828710182501</v>
      </c>
      <c r="AN17" s="604">
        <f t="shared" si="17"/>
        <v>9.0542220807150002</v>
      </c>
      <c r="AO17" s="604">
        <f t="shared" si="17"/>
        <v>9.6668864248950008</v>
      </c>
      <c r="AP17" s="604">
        <f>AO17+AP15-AP16</f>
        <v>10.228189229385002</v>
      </c>
      <c r="AQ17" s="604">
        <f t="shared" ref="AQ17:BJ17" si="18">AP17+AQ15-AQ16</f>
        <v>10.735336801625001</v>
      </c>
      <c r="AR17" s="604">
        <f t="shared" si="18"/>
        <v>11.185376471687501</v>
      </c>
      <c r="AS17" s="604">
        <f t="shared" si="18"/>
        <v>11.575164669347501</v>
      </c>
      <c r="AT17" s="604">
        <f t="shared" si="18"/>
        <v>11.899560862620003</v>
      </c>
      <c r="AU17" s="604">
        <f t="shared" si="18"/>
        <v>12.153237340845003</v>
      </c>
      <c r="AV17" s="604">
        <f t="shared" si="18"/>
        <v>12.332502094963752</v>
      </c>
      <c r="AW17" s="604">
        <f t="shared" si="18"/>
        <v>12.433440284940003</v>
      </c>
      <c r="AX17" s="604">
        <f t="shared" si="18"/>
        <v>12.365865224000002</v>
      </c>
      <c r="AY17" s="604">
        <f t="shared" si="18"/>
        <v>11.312816168000001</v>
      </c>
      <c r="AZ17" s="604">
        <f t="shared" si="18"/>
        <v>10.357605560000001</v>
      </c>
      <c r="BA17" s="604">
        <f t="shared" si="18"/>
        <v>9.5049641520000012</v>
      </c>
      <c r="BB17" s="604">
        <f t="shared" si="18"/>
        <v>8.7598514520000013</v>
      </c>
      <c r="BC17" s="604">
        <f t="shared" si="18"/>
        <v>7.8705192800000017</v>
      </c>
      <c r="BD17" s="604">
        <f t="shared" si="18"/>
        <v>6.8485848480000016</v>
      </c>
      <c r="BE17" s="604">
        <f t="shared" si="18"/>
        <v>5.9631649280000012</v>
      </c>
      <c r="BF17" s="604">
        <f t="shared" si="18"/>
        <v>5.2207305980000012</v>
      </c>
      <c r="BG17" s="604">
        <f t="shared" si="18"/>
        <v>4.6281821040000013</v>
      </c>
      <c r="BH17" s="604">
        <f t="shared" si="18"/>
        <v>4.1565704000000014</v>
      </c>
      <c r="BI17" s="604">
        <f t="shared" si="18"/>
        <v>3.7189174000000014</v>
      </c>
      <c r="BJ17" s="604">
        <f t="shared" si="18"/>
        <v>3.7189174000000014</v>
      </c>
      <c r="BK17" s="9"/>
    </row>
    <row r="18" spans="2:63">
      <c r="B18" s="9"/>
      <c r="C18" s="9"/>
      <c r="D18" s="604"/>
      <c r="E18" s="605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5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5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9"/>
    </row>
    <row r="19" spans="2:63">
      <c r="B19" s="9"/>
      <c r="C19" s="9"/>
      <c r="D19" s="604"/>
      <c r="E19" s="605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5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5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604"/>
      <c r="BG19" s="604"/>
      <c r="BH19" s="604"/>
      <c r="BI19" s="604"/>
      <c r="BJ19" s="604"/>
      <c r="BK19" s="9"/>
    </row>
    <row r="20" spans="2:63">
      <c r="B20" s="97" t="s">
        <v>943</v>
      </c>
      <c r="C20" s="4"/>
      <c r="D20" s="604"/>
      <c r="E20" s="605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5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5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9"/>
    </row>
    <row r="21" spans="2:63">
      <c r="B21" s="4" t="s">
        <v>367</v>
      </c>
      <c r="C21" s="4"/>
      <c r="D21" s="754">
        <v>42.844899140000003</v>
      </c>
      <c r="E21" s="605"/>
      <c r="F21" s="604">
        <f>D21</f>
        <v>42.844899140000003</v>
      </c>
      <c r="G21" s="604">
        <f t="shared" ref="G21:Q21" si="19">F21-F24</f>
        <v>42.844899140000003</v>
      </c>
      <c r="H21" s="604">
        <f t="shared" si="19"/>
        <v>42.529839986042084</v>
      </c>
      <c r="I21" s="604">
        <f t="shared" si="19"/>
        <v>42.529839986042084</v>
      </c>
      <c r="J21" s="604">
        <f t="shared" si="19"/>
        <v>42.529839986042084</v>
      </c>
      <c r="K21" s="604">
        <f t="shared" si="19"/>
        <v>42.210566916042083</v>
      </c>
      <c r="L21" s="604">
        <f t="shared" si="19"/>
        <v>42.210566916042083</v>
      </c>
      <c r="M21" s="604">
        <f t="shared" si="19"/>
        <v>42.210566916042083</v>
      </c>
      <c r="N21" s="604">
        <f t="shared" si="19"/>
        <v>41.887023566042082</v>
      </c>
      <c r="O21" s="604">
        <f t="shared" si="19"/>
        <v>41.887023566042082</v>
      </c>
      <c r="P21" s="604">
        <f t="shared" si="19"/>
        <v>41.887023566042082</v>
      </c>
      <c r="Q21" s="604">
        <f t="shared" si="19"/>
        <v>41.55915282604208</v>
      </c>
      <c r="R21" s="605"/>
      <c r="S21" s="604">
        <f>Q21-Q24</f>
        <v>41.55915282604208</v>
      </c>
      <c r="T21" s="604">
        <f>S21-S24</f>
        <v>41.55915282604208</v>
      </c>
      <c r="U21" s="604">
        <f t="shared" ref="U21:AD21" si="20">T21-T24</f>
        <v>41.226896816042078</v>
      </c>
      <c r="V21" s="604">
        <f t="shared" si="20"/>
        <v>41.226896816042078</v>
      </c>
      <c r="W21" s="604">
        <f t="shared" si="20"/>
        <v>41.226896816042078</v>
      </c>
      <c r="X21" s="604">
        <f t="shared" si="20"/>
        <v>40.890196876042076</v>
      </c>
      <c r="Y21" s="604">
        <f t="shared" si="20"/>
        <v>40.890196876042076</v>
      </c>
      <c r="Z21" s="604">
        <f t="shared" si="20"/>
        <v>40.890196876042076</v>
      </c>
      <c r="AA21" s="604">
        <f t="shared" si="20"/>
        <v>40.548993576042079</v>
      </c>
      <c r="AB21" s="604">
        <f t="shared" si="20"/>
        <v>40.548993576042079</v>
      </c>
      <c r="AC21" s="604">
        <f t="shared" si="20"/>
        <v>40.548993576042079</v>
      </c>
      <c r="AD21" s="604">
        <f t="shared" si="20"/>
        <v>40.203226686042079</v>
      </c>
      <c r="AE21" s="605"/>
      <c r="AF21" s="604">
        <f>AD21-AD24</f>
        <v>40.203226686042079</v>
      </c>
      <c r="AG21" s="604">
        <f>AF21-AF24</f>
        <v>38.773290106042076</v>
      </c>
      <c r="AH21" s="604">
        <f t="shared" ref="AH21:BJ21" si="21">AG21-AG24</f>
        <v>37.265303386042078</v>
      </c>
      <c r="AI21" s="604">
        <f t="shared" si="21"/>
        <v>35.675006296042078</v>
      </c>
      <c r="AJ21" s="604">
        <f t="shared" si="21"/>
        <v>33.997906116042074</v>
      </c>
      <c r="AK21" s="604">
        <f t="shared" si="21"/>
        <v>32.229264846042071</v>
      </c>
      <c r="AL21" s="604">
        <f t="shared" si="21"/>
        <v>30.36408593604207</v>
      </c>
      <c r="AM21" s="604">
        <f t="shared" si="21"/>
        <v>28.397100066042071</v>
      </c>
      <c r="AN21" s="604">
        <f t="shared" si="21"/>
        <v>26.322750306042071</v>
      </c>
      <c r="AO21" s="604">
        <f t="shared" si="21"/>
        <v>24.135176426042072</v>
      </c>
      <c r="AP21" s="604">
        <f t="shared" si="21"/>
        <v>21.828198316042073</v>
      </c>
      <c r="AQ21" s="604">
        <f t="shared" si="21"/>
        <v>19.395298546042071</v>
      </c>
      <c r="AR21" s="604">
        <f t="shared" si="21"/>
        <v>16.82960394604207</v>
      </c>
      <c r="AS21" s="604">
        <f t="shared" si="21"/>
        <v>14.12386616604207</v>
      </c>
      <c r="AT21" s="604">
        <f t="shared" si="21"/>
        <v>11.270441256042069</v>
      </c>
      <c r="AU21" s="604">
        <f t="shared" si="21"/>
        <v>8.2612679960420685</v>
      </c>
      <c r="AV21" s="604">
        <f t="shared" si="21"/>
        <v>5.0878451960420676</v>
      </c>
      <c r="AW21" s="604">
        <f t="shared" si="21"/>
        <v>1.7412076360420676</v>
      </c>
      <c r="AX21" s="604">
        <f t="shared" si="21"/>
        <v>-3.9579324262462023E-9</v>
      </c>
      <c r="AY21" s="604">
        <f t="shared" si="21"/>
        <v>-3.9579324262462023E-9</v>
      </c>
      <c r="AZ21" s="604">
        <f t="shared" si="21"/>
        <v>-3.9579324262462023E-9</v>
      </c>
      <c r="BA21" s="604">
        <f t="shared" si="21"/>
        <v>-3.9579324262462023E-9</v>
      </c>
      <c r="BB21" s="604">
        <f t="shared" si="21"/>
        <v>-3.9579324262462023E-9</v>
      </c>
      <c r="BC21" s="604">
        <f t="shared" si="21"/>
        <v>-3.9579324262462023E-9</v>
      </c>
      <c r="BD21" s="604">
        <f t="shared" si="21"/>
        <v>-3.9579324262462023E-9</v>
      </c>
      <c r="BE21" s="604">
        <f t="shared" si="21"/>
        <v>-3.9579324262462023E-9</v>
      </c>
      <c r="BF21" s="604">
        <f t="shared" si="21"/>
        <v>-3.9579324262462023E-9</v>
      </c>
      <c r="BG21" s="604">
        <f t="shared" si="21"/>
        <v>-3.9579324262462023E-9</v>
      </c>
      <c r="BH21" s="604">
        <f t="shared" si="21"/>
        <v>-3.9579324262462023E-9</v>
      </c>
      <c r="BI21" s="604">
        <f t="shared" si="21"/>
        <v>-3.9579324262462023E-9</v>
      </c>
      <c r="BJ21" s="604">
        <f t="shared" si="21"/>
        <v>-3.9579324262462023E-9</v>
      </c>
      <c r="BK21" s="9"/>
    </row>
    <row r="22" spans="2:63">
      <c r="B22" s="4" t="s">
        <v>377</v>
      </c>
      <c r="C22" s="4"/>
      <c r="D22" s="4"/>
      <c r="E22" s="89"/>
      <c r="F22" s="755">
        <v>5.3499999999999999E-2</v>
      </c>
      <c r="G22" s="495">
        <f t="shared" ref="G22:L22" si="22">$F$22</f>
        <v>5.3499999999999999E-2</v>
      </c>
      <c r="H22" s="495">
        <f t="shared" si="22"/>
        <v>5.3499999999999999E-2</v>
      </c>
      <c r="I22" s="495">
        <f t="shared" si="22"/>
        <v>5.3499999999999999E-2</v>
      </c>
      <c r="J22" s="495">
        <f t="shared" si="22"/>
        <v>5.3499999999999999E-2</v>
      </c>
      <c r="K22" s="495">
        <f t="shared" si="22"/>
        <v>5.3499999999999999E-2</v>
      </c>
      <c r="L22" s="495">
        <f t="shared" si="22"/>
        <v>5.3499999999999999E-2</v>
      </c>
      <c r="M22" s="495">
        <f>$F$22</f>
        <v>5.3499999999999999E-2</v>
      </c>
      <c r="N22" s="495">
        <f t="shared" ref="N22:BJ22" si="23">$F$22</f>
        <v>5.3499999999999999E-2</v>
      </c>
      <c r="O22" s="495">
        <f t="shared" si="23"/>
        <v>5.3499999999999999E-2</v>
      </c>
      <c r="P22" s="495">
        <f t="shared" si="23"/>
        <v>5.3499999999999999E-2</v>
      </c>
      <c r="Q22" s="495">
        <f t="shared" si="23"/>
        <v>5.3499999999999999E-2</v>
      </c>
      <c r="R22" s="225"/>
      <c r="S22" s="495">
        <f t="shared" si="23"/>
        <v>5.3499999999999999E-2</v>
      </c>
      <c r="T22" s="495">
        <f t="shared" si="23"/>
        <v>5.3499999999999999E-2</v>
      </c>
      <c r="U22" s="495">
        <f t="shared" si="23"/>
        <v>5.3499999999999999E-2</v>
      </c>
      <c r="V22" s="495">
        <f t="shared" si="23"/>
        <v>5.3499999999999999E-2</v>
      </c>
      <c r="W22" s="495">
        <f t="shared" si="23"/>
        <v>5.3499999999999999E-2</v>
      </c>
      <c r="X22" s="495">
        <f t="shared" si="23"/>
        <v>5.3499999999999999E-2</v>
      </c>
      <c r="Y22" s="495">
        <f t="shared" si="23"/>
        <v>5.3499999999999999E-2</v>
      </c>
      <c r="Z22" s="495">
        <f t="shared" si="23"/>
        <v>5.3499999999999999E-2</v>
      </c>
      <c r="AA22" s="495">
        <f t="shared" si="23"/>
        <v>5.3499999999999999E-2</v>
      </c>
      <c r="AB22" s="495">
        <f t="shared" si="23"/>
        <v>5.3499999999999999E-2</v>
      </c>
      <c r="AC22" s="495">
        <f t="shared" si="23"/>
        <v>5.3499999999999999E-2</v>
      </c>
      <c r="AD22" s="495">
        <f t="shared" si="23"/>
        <v>5.3499999999999999E-2</v>
      </c>
      <c r="AE22" s="225"/>
      <c r="AF22" s="495">
        <f t="shared" si="23"/>
        <v>5.3499999999999999E-2</v>
      </c>
      <c r="AG22" s="495">
        <f t="shared" si="23"/>
        <v>5.3499999999999999E-2</v>
      </c>
      <c r="AH22" s="495">
        <f t="shared" si="23"/>
        <v>5.3499999999999999E-2</v>
      </c>
      <c r="AI22" s="495">
        <f t="shared" si="23"/>
        <v>5.3499999999999999E-2</v>
      </c>
      <c r="AJ22" s="495">
        <f t="shared" si="23"/>
        <v>5.3499999999999999E-2</v>
      </c>
      <c r="AK22" s="495">
        <f t="shared" si="23"/>
        <v>5.3499999999999999E-2</v>
      </c>
      <c r="AL22" s="495">
        <f t="shared" si="23"/>
        <v>5.3499999999999999E-2</v>
      </c>
      <c r="AM22" s="495">
        <f t="shared" si="23"/>
        <v>5.3499999999999999E-2</v>
      </c>
      <c r="AN22" s="495">
        <f t="shared" si="23"/>
        <v>5.3499999999999999E-2</v>
      </c>
      <c r="AO22" s="495">
        <f t="shared" si="23"/>
        <v>5.3499999999999999E-2</v>
      </c>
      <c r="AP22" s="495">
        <f t="shared" si="23"/>
        <v>5.3499999999999999E-2</v>
      </c>
      <c r="AQ22" s="495">
        <f t="shared" si="23"/>
        <v>5.3499999999999999E-2</v>
      </c>
      <c r="AR22" s="495">
        <f t="shared" si="23"/>
        <v>5.3499999999999999E-2</v>
      </c>
      <c r="AS22" s="495">
        <f t="shared" si="23"/>
        <v>5.3499999999999999E-2</v>
      </c>
      <c r="AT22" s="495">
        <f t="shared" si="23"/>
        <v>5.3499999999999999E-2</v>
      </c>
      <c r="AU22" s="495">
        <f t="shared" si="23"/>
        <v>5.3499999999999999E-2</v>
      </c>
      <c r="AV22" s="495">
        <f t="shared" si="23"/>
        <v>5.3499999999999999E-2</v>
      </c>
      <c r="AW22" s="495">
        <f t="shared" si="23"/>
        <v>5.3499999999999999E-2</v>
      </c>
      <c r="AX22" s="495">
        <f t="shared" si="23"/>
        <v>5.3499999999999999E-2</v>
      </c>
      <c r="AY22" s="495">
        <f t="shared" si="23"/>
        <v>5.3499999999999999E-2</v>
      </c>
      <c r="AZ22" s="495">
        <f t="shared" si="23"/>
        <v>5.3499999999999999E-2</v>
      </c>
      <c r="BA22" s="495">
        <f t="shared" si="23"/>
        <v>5.3499999999999999E-2</v>
      </c>
      <c r="BB22" s="495">
        <f t="shared" si="23"/>
        <v>5.3499999999999999E-2</v>
      </c>
      <c r="BC22" s="495">
        <f t="shared" si="23"/>
        <v>5.3499999999999999E-2</v>
      </c>
      <c r="BD22" s="495">
        <f t="shared" si="23"/>
        <v>5.3499999999999999E-2</v>
      </c>
      <c r="BE22" s="495">
        <f t="shared" si="23"/>
        <v>5.3499999999999999E-2</v>
      </c>
      <c r="BF22" s="495">
        <f t="shared" si="23"/>
        <v>5.3499999999999999E-2</v>
      </c>
      <c r="BG22" s="495">
        <f t="shared" si="23"/>
        <v>5.3499999999999999E-2</v>
      </c>
      <c r="BH22" s="495">
        <f t="shared" si="23"/>
        <v>5.3499999999999999E-2</v>
      </c>
      <c r="BI22" s="495">
        <f t="shared" si="23"/>
        <v>5.3499999999999999E-2</v>
      </c>
      <c r="BJ22" s="495">
        <f t="shared" si="23"/>
        <v>5.3499999999999999E-2</v>
      </c>
      <c r="BK22" s="9"/>
    </row>
    <row r="23" spans="2:63">
      <c r="B23" s="4" t="s">
        <v>306</v>
      </c>
      <c r="C23" s="4"/>
      <c r="D23" s="80"/>
      <c r="E23" s="615"/>
      <c r="F23" s="735">
        <v>0.19101684201402777</v>
      </c>
      <c r="G23" s="735">
        <v>0.19101684201402777</v>
      </c>
      <c r="H23" s="735">
        <v>0.18961220328596537</v>
      </c>
      <c r="I23" s="735">
        <v>0.18961220328596537</v>
      </c>
      <c r="J23" s="735">
        <v>0.18961220328596537</v>
      </c>
      <c r="K23" s="735">
        <v>0.18818877751554872</v>
      </c>
      <c r="L23" s="735">
        <v>0.18818877751554872</v>
      </c>
      <c r="M23" s="735">
        <v>0.18818877751554872</v>
      </c>
      <c r="N23" s="735">
        <v>0.18674631341346537</v>
      </c>
      <c r="O23" s="735">
        <v>0.18674631341346537</v>
      </c>
      <c r="P23" s="735">
        <v>0.18674631341346537</v>
      </c>
      <c r="Q23" s="735">
        <v>0.18528455636429869</v>
      </c>
      <c r="R23" s="615">
        <f>SUM(F23:Q23)</f>
        <v>2.2609601230372922</v>
      </c>
      <c r="S23" s="735">
        <v>0.18528455636429869</v>
      </c>
      <c r="T23" s="735">
        <v>0.18528455636429869</v>
      </c>
      <c r="U23" s="735">
        <v>0.18380324831971537</v>
      </c>
      <c r="V23" s="735">
        <v>0.18380324831971537</v>
      </c>
      <c r="W23" s="735">
        <v>0.18380324831971537</v>
      </c>
      <c r="X23" s="735">
        <v>0.18230212775388205</v>
      </c>
      <c r="Y23" s="735">
        <v>0.18230212775388205</v>
      </c>
      <c r="Z23" s="735">
        <v>0.18230212775388205</v>
      </c>
      <c r="AA23" s="735">
        <v>0.18078092970804874</v>
      </c>
      <c r="AB23" s="735">
        <v>0.18078092970804874</v>
      </c>
      <c r="AC23" s="735">
        <v>0.18078092970804874</v>
      </c>
      <c r="AD23" s="735">
        <v>0.17923938565679873</v>
      </c>
      <c r="AE23" s="615">
        <f>SUM(S23:AD23)</f>
        <v>2.190467415730335</v>
      </c>
      <c r="AF23" s="735">
        <v>2.1161270089224176</v>
      </c>
      <c r="AG23" s="735">
        <v>2.0377288838253347</v>
      </c>
      <c r="AH23" s="735">
        <v>1.9550515580628347</v>
      </c>
      <c r="AI23" s="735">
        <v>1.8678614604432517</v>
      </c>
      <c r="AJ23" s="735">
        <v>1.775912270011585</v>
      </c>
      <c r="AK23" s="735">
        <v>1.6789442217532518</v>
      </c>
      <c r="AL23" s="735">
        <v>1.5766833718161684</v>
      </c>
      <c r="AM23" s="735">
        <v>1.4688408234103354</v>
      </c>
      <c r="AN23" s="735">
        <v>1.3551119110220022</v>
      </c>
      <c r="AO23" s="735">
        <v>1.2351753389745024</v>
      </c>
      <c r="AP23" s="735">
        <v>1.1086922759853355</v>
      </c>
      <c r="AQ23" s="735">
        <v>0.9753053947520024</v>
      </c>
      <c r="AR23" s="735">
        <v>0.83463786441325216</v>
      </c>
      <c r="AS23" s="735">
        <v>0.68629228594366876</v>
      </c>
      <c r="AT23" s="735">
        <v>0.52984956883200218</v>
      </c>
      <c r="AU23" s="735">
        <v>0.36486774708158565</v>
      </c>
      <c r="AV23" s="735">
        <v>0.19088073127825228</v>
      </c>
      <c r="AW23" s="735">
        <v>2.724743901816068E-2</v>
      </c>
      <c r="AX23" s="735"/>
      <c r="AY23" s="735"/>
      <c r="AZ23" s="735"/>
      <c r="BA23" s="735"/>
      <c r="BB23" s="735"/>
      <c r="BC23" s="735"/>
      <c r="BD23" s="735"/>
      <c r="BE23" s="735"/>
      <c r="BF23" s="735"/>
      <c r="BG23" s="735"/>
      <c r="BH23" s="735"/>
      <c r="BI23" s="735"/>
      <c r="BJ23" s="735"/>
      <c r="BK23" s="9"/>
    </row>
    <row r="24" spans="2:63">
      <c r="B24" s="4" t="s">
        <v>305</v>
      </c>
      <c r="C24" s="4"/>
      <c r="D24" s="80"/>
      <c r="E24" s="615"/>
      <c r="F24" s="734"/>
      <c r="G24" s="734">
        <v>0.31505915395791678</v>
      </c>
      <c r="H24" s="734"/>
      <c r="I24" s="734"/>
      <c r="J24" s="734">
        <v>0.31927307000000005</v>
      </c>
      <c r="K24" s="734"/>
      <c r="L24" s="734"/>
      <c r="M24" s="734">
        <v>0.32354335000000012</v>
      </c>
      <c r="N24" s="734"/>
      <c r="O24" s="734"/>
      <c r="P24" s="734">
        <v>0.3278707400000001</v>
      </c>
      <c r="Q24" s="734"/>
      <c r="R24" s="618"/>
      <c r="S24" s="734"/>
      <c r="T24" s="734">
        <v>0.33225600999999999</v>
      </c>
      <c r="U24" s="734"/>
      <c r="V24" s="734"/>
      <c r="W24" s="734">
        <v>0.33669994000000009</v>
      </c>
      <c r="X24" s="734"/>
      <c r="Y24" s="734"/>
      <c r="Z24" s="734">
        <v>0.34120330000000004</v>
      </c>
      <c r="AA24" s="734"/>
      <c r="AB24" s="734"/>
      <c r="AC24" s="734">
        <v>0.34576688999999999</v>
      </c>
      <c r="AD24" s="734"/>
      <c r="AE24" s="618"/>
      <c r="AF24" s="734">
        <v>1.4299365800000001</v>
      </c>
      <c r="AG24" s="734">
        <v>1.5079867200000001</v>
      </c>
      <c r="AH24" s="734">
        <v>1.5902970900000002</v>
      </c>
      <c r="AI24" s="734">
        <v>1.6771001800000005</v>
      </c>
      <c r="AJ24" s="734">
        <v>1.7686412700000003</v>
      </c>
      <c r="AK24" s="734">
        <v>1.8651789100000002</v>
      </c>
      <c r="AL24" s="734">
        <v>1.96698587</v>
      </c>
      <c r="AM24" s="734">
        <v>2.07434976</v>
      </c>
      <c r="AN24" s="734">
        <v>2.1875738800000004</v>
      </c>
      <c r="AO24" s="734">
        <v>2.3069781100000002</v>
      </c>
      <c r="AP24" s="734">
        <v>2.4328997700000006</v>
      </c>
      <c r="AQ24" s="734">
        <v>2.5656946</v>
      </c>
      <c r="AR24" s="734">
        <v>2.7057377800000002</v>
      </c>
      <c r="AS24" s="734">
        <v>2.8534249100000002</v>
      </c>
      <c r="AT24" s="734">
        <v>3.0091732600000003</v>
      </c>
      <c r="AU24" s="734">
        <v>3.1734228000000004</v>
      </c>
      <c r="AV24" s="734">
        <v>3.34663756</v>
      </c>
      <c r="AW24" s="734">
        <v>1.7412076400000001</v>
      </c>
      <c r="AX24" s="734"/>
      <c r="AY24" s="734"/>
      <c r="AZ24" s="734"/>
      <c r="BA24" s="734"/>
      <c r="BB24" s="734"/>
      <c r="BC24" s="734"/>
      <c r="BD24" s="734"/>
      <c r="BE24" s="734"/>
      <c r="BF24" s="734"/>
      <c r="BG24" s="734"/>
      <c r="BH24" s="734"/>
      <c r="BI24" s="734"/>
      <c r="BJ24" s="734"/>
      <c r="BK24" s="9"/>
    </row>
    <row r="25" spans="2:63">
      <c r="B25" s="4" t="s">
        <v>939</v>
      </c>
      <c r="C25" s="4"/>
      <c r="D25" s="80"/>
      <c r="E25" s="615"/>
      <c r="F25" s="735"/>
      <c r="G25" s="735">
        <v>0.88810968000000001</v>
      </c>
      <c r="H25" s="735"/>
      <c r="I25" s="735"/>
      <c r="J25" s="735">
        <v>0.88810968000000001</v>
      </c>
      <c r="K25" s="735"/>
      <c r="L25" s="735"/>
      <c r="M25" s="735">
        <v>0.88810968000000001</v>
      </c>
      <c r="N25" s="735"/>
      <c r="O25" s="735"/>
      <c r="P25" s="735">
        <v>0.88810968000000001</v>
      </c>
      <c r="Q25" s="735"/>
      <c r="R25" s="615"/>
      <c r="S25" s="735"/>
      <c r="T25" s="735">
        <v>0.88810968000000001</v>
      </c>
      <c r="U25" s="735"/>
      <c r="V25" s="735"/>
      <c r="W25" s="735">
        <v>0.88810968000000001</v>
      </c>
      <c r="X25" s="735"/>
      <c r="Y25" s="735"/>
      <c r="Z25" s="735">
        <v>0.88810968000000001</v>
      </c>
      <c r="AA25" s="735"/>
      <c r="AB25" s="735"/>
      <c r="AC25" s="735">
        <v>0.88810968000000001</v>
      </c>
      <c r="AD25" s="735"/>
      <c r="AE25" s="615"/>
      <c r="AF25" s="735">
        <v>3.55243872</v>
      </c>
      <c r="AG25" s="735">
        <v>3.55243872</v>
      </c>
      <c r="AH25" s="735">
        <v>3.55243872</v>
      </c>
      <c r="AI25" s="735">
        <v>3.55243872</v>
      </c>
      <c r="AJ25" s="735">
        <v>3.55243872</v>
      </c>
      <c r="AK25" s="735">
        <v>3.55243872</v>
      </c>
      <c r="AL25" s="735">
        <v>3.55243872</v>
      </c>
      <c r="AM25" s="735">
        <v>3.55243872</v>
      </c>
      <c r="AN25" s="735">
        <v>3.55243872</v>
      </c>
      <c r="AO25" s="735">
        <v>3.55243872</v>
      </c>
      <c r="AP25" s="735">
        <v>3.55243872</v>
      </c>
      <c r="AQ25" s="735">
        <v>3.55243872</v>
      </c>
      <c r="AR25" s="735">
        <v>3.55243872</v>
      </c>
      <c r="AS25" s="735">
        <v>3.55243872</v>
      </c>
      <c r="AT25" s="735">
        <v>3.55243872</v>
      </c>
      <c r="AU25" s="735">
        <v>3.55243872</v>
      </c>
      <c r="AV25" s="735">
        <v>3.55243872</v>
      </c>
      <c r="AW25" s="735">
        <v>1.7762179599999999</v>
      </c>
      <c r="AX25" s="735">
        <f t="shared" ref="AX25:BJ25" si="24">AX23+AX24</f>
        <v>0</v>
      </c>
      <c r="AY25" s="735">
        <f t="shared" si="24"/>
        <v>0</v>
      </c>
      <c r="AZ25" s="735">
        <f t="shared" si="24"/>
        <v>0</v>
      </c>
      <c r="BA25" s="735">
        <f t="shared" si="24"/>
        <v>0</v>
      </c>
      <c r="BB25" s="735">
        <f t="shared" si="24"/>
        <v>0</v>
      </c>
      <c r="BC25" s="735">
        <f t="shared" si="24"/>
        <v>0</v>
      </c>
      <c r="BD25" s="735">
        <f t="shared" si="24"/>
        <v>0</v>
      </c>
      <c r="BE25" s="735">
        <f t="shared" si="24"/>
        <v>0</v>
      </c>
      <c r="BF25" s="735">
        <f t="shared" si="24"/>
        <v>0</v>
      </c>
      <c r="BG25" s="735">
        <f t="shared" si="24"/>
        <v>0</v>
      </c>
      <c r="BH25" s="735">
        <f t="shared" si="24"/>
        <v>0</v>
      </c>
      <c r="BI25" s="735">
        <f t="shared" si="24"/>
        <v>0</v>
      </c>
      <c r="BJ25" s="735">
        <f t="shared" si="24"/>
        <v>0</v>
      </c>
      <c r="BK25" s="9"/>
    </row>
    <row r="26" spans="2:63">
      <c r="B26" s="4"/>
      <c r="C26" s="4"/>
      <c r="D26" s="80"/>
      <c r="E26" s="615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615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615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9"/>
    </row>
    <row r="27" spans="2:63">
      <c r="B27" s="43" t="s">
        <v>941</v>
      </c>
      <c r="C27" s="4"/>
      <c r="D27" s="80"/>
      <c r="E27" s="615"/>
      <c r="F27" s="80">
        <f>F23-F25+F24</f>
        <v>0.19101684201402777</v>
      </c>
      <c r="G27" s="80">
        <f>F27+G23-G25+G24</f>
        <v>-0.19101684201402774</v>
      </c>
      <c r="H27" s="80">
        <f t="shared" ref="H27:AD27" si="25">G27+H23-H25+H24</f>
        <v>-1.404638728062374E-3</v>
      </c>
      <c r="I27" s="80">
        <f t="shared" si="25"/>
        <v>0.188207564557903</v>
      </c>
      <c r="J27" s="80">
        <f t="shared" si="25"/>
        <v>-0.19101684215613157</v>
      </c>
      <c r="K27" s="80">
        <f t="shared" si="25"/>
        <v>-2.8280646405828558E-3</v>
      </c>
      <c r="L27" s="80">
        <f t="shared" si="25"/>
        <v>0.18536071287496586</v>
      </c>
      <c r="M27" s="80">
        <f t="shared" si="25"/>
        <v>-0.19101683960948534</v>
      </c>
      <c r="N27" s="80">
        <f t="shared" si="25"/>
        <v>-4.2705261960199747E-3</v>
      </c>
      <c r="O27" s="80">
        <f t="shared" si="25"/>
        <v>0.1824757872174454</v>
      </c>
      <c r="P27" s="80">
        <f t="shared" si="25"/>
        <v>-0.19101683936908914</v>
      </c>
      <c r="Q27" s="80">
        <f t="shared" si="25"/>
        <v>-5.7322830047904505E-3</v>
      </c>
      <c r="R27" s="615"/>
      <c r="S27" s="80">
        <f>Q27+S23-S25+S24</f>
        <v>0.17955227335950824</v>
      </c>
      <c r="T27" s="80">
        <f t="shared" si="25"/>
        <v>-0.19101684027619309</v>
      </c>
      <c r="U27" s="80">
        <f t="shared" si="25"/>
        <v>-7.2135919564777218E-3</v>
      </c>
      <c r="V27" s="80">
        <f t="shared" si="25"/>
        <v>0.17658965636323765</v>
      </c>
      <c r="W27" s="80">
        <f t="shared" si="25"/>
        <v>-0.19101683531704688</v>
      </c>
      <c r="X27" s="80">
        <f t="shared" si="25"/>
        <v>-8.7147075631648363E-3</v>
      </c>
      <c r="Y27" s="80">
        <f t="shared" si="25"/>
        <v>0.17358742019071721</v>
      </c>
      <c r="Z27" s="80">
        <f t="shared" si="25"/>
        <v>-0.19101683205540071</v>
      </c>
      <c r="AA27" s="80">
        <f t="shared" si="25"/>
        <v>-1.0235902347351972E-2</v>
      </c>
      <c r="AB27" s="80">
        <f t="shared" si="25"/>
        <v>0.17054502736069677</v>
      </c>
      <c r="AC27" s="80">
        <f t="shared" si="25"/>
        <v>-0.19101683293125454</v>
      </c>
      <c r="AD27" s="80">
        <f t="shared" si="25"/>
        <v>-1.1777447274455816E-2</v>
      </c>
      <c r="AE27" s="615"/>
      <c r="AF27" s="80">
        <f>AD27+AF23-AF25+AF24</f>
        <v>-1.8152578352037985E-2</v>
      </c>
      <c r="AG27" s="80">
        <f>AF27+AG23-AG25+AG24</f>
        <v>-2.487569452670324E-2</v>
      </c>
      <c r="AH27" s="80">
        <f t="shared" ref="AH27:BJ27" si="26">AG27+AH23-AH25+AH24</f>
        <v>-3.1965766463868395E-2</v>
      </c>
      <c r="AI27" s="80">
        <f t="shared" si="26"/>
        <v>-3.9442846020616207E-2</v>
      </c>
      <c r="AJ27" s="80">
        <f t="shared" si="26"/>
        <v>-4.7328026009030966E-2</v>
      </c>
      <c r="AK27" s="80">
        <f t="shared" si="26"/>
        <v>-5.5643614255779017E-2</v>
      </c>
      <c r="AL27" s="80">
        <f t="shared" si="26"/>
        <v>-6.4413092439610908E-2</v>
      </c>
      <c r="AM27" s="80">
        <f t="shared" si="26"/>
        <v>-7.3661229029275521E-2</v>
      </c>
      <c r="AN27" s="80">
        <f t="shared" si="26"/>
        <v>-8.3414158007272921E-2</v>
      </c>
      <c r="AO27" s="80">
        <f t="shared" si="26"/>
        <v>-9.3699429032770176E-2</v>
      </c>
      <c r="AP27" s="80">
        <f t="shared" si="26"/>
        <v>-0.10454610304743417</v>
      </c>
      <c r="AQ27" s="80">
        <f t="shared" si="26"/>
        <v>-0.11598482829543189</v>
      </c>
      <c r="AR27" s="80">
        <f t="shared" si="26"/>
        <v>-0.12804790388217979</v>
      </c>
      <c r="AS27" s="80">
        <f t="shared" si="26"/>
        <v>-0.14076942793851099</v>
      </c>
      <c r="AT27" s="80">
        <f t="shared" si="26"/>
        <v>-0.15418531910650879</v>
      </c>
      <c r="AU27" s="80">
        <f t="shared" si="26"/>
        <v>-0.16833349202492265</v>
      </c>
      <c r="AV27" s="80">
        <f t="shared" si="26"/>
        <v>-0.18325392074667057</v>
      </c>
      <c r="AW27" s="80">
        <f t="shared" si="26"/>
        <v>-0.19101680172850966</v>
      </c>
      <c r="AX27" s="80">
        <f t="shared" si="26"/>
        <v>-0.19101680172850966</v>
      </c>
      <c r="AY27" s="80">
        <f t="shared" si="26"/>
        <v>-0.19101680172850966</v>
      </c>
      <c r="AZ27" s="80">
        <f t="shared" si="26"/>
        <v>-0.19101680172850966</v>
      </c>
      <c r="BA27" s="80">
        <f t="shared" si="26"/>
        <v>-0.19101680172850966</v>
      </c>
      <c r="BB27" s="80">
        <f t="shared" si="26"/>
        <v>-0.19101680172850966</v>
      </c>
      <c r="BC27" s="80">
        <f t="shared" si="26"/>
        <v>-0.19101680172850966</v>
      </c>
      <c r="BD27" s="80">
        <f t="shared" si="26"/>
        <v>-0.19101680172850966</v>
      </c>
      <c r="BE27" s="80">
        <f t="shared" si="26"/>
        <v>-0.19101680172850966</v>
      </c>
      <c r="BF27" s="80">
        <f t="shared" si="26"/>
        <v>-0.19101680172850966</v>
      </c>
      <c r="BG27" s="80">
        <f t="shared" si="26"/>
        <v>-0.19101680172850966</v>
      </c>
      <c r="BH27" s="80">
        <f t="shared" si="26"/>
        <v>-0.19101680172850966</v>
      </c>
      <c r="BI27" s="80">
        <f t="shared" si="26"/>
        <v>-0.19101680172850966</v>
      </c>
      <c r="BJ27" s="80">
        <f t="shared" si="26"/>
        <v>-0.19101680172850966</v>
      </c>
      <c r="BK27" s="9"/>
    </row>
    <row r="28" spans="2:63">
      <c r="B28" s="4"/>
      <c r="C28" s="4"/>
      <c r="D28" s="80"/>
      <c r="E28" s="615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615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615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9"/>
    </row>
    <row r="29" spans="2:63">
      <c r="B29" s="97" t="s">
        <v>938</v>
      </c>
      <c r="C29" s="4"/>
      <c r="D29" s="80"/>
      <c r="E29" s="615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615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615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9"/>
    </row>
    <row r="30" spans="2:63">
      <c r="B30" s="4" t="s">
        <v>367</v>
      </c>
      <c r="C30" s="4"/>
      <c r="D30" s="80">
        <f>D21</f>
        <v>42.844899140000003</v>
      </c>
      <c r="E30" s="615"/>
      <c r="F30" s="80">
        <f>D30</f>
        <v>42.844899140000003</v>
      </c>
      <c r="G30" s="80">
        <f t="shared" ref="G30:Q30" si="27">F30+F33</f>
        <v>42.844899140000003</v>
      </c>
      <c r="H30" s="80">
        <f t="shared" si="27"/>
        <v>42.529839986042084</v>
      </c>
      <c r="I30" s="80">
        <f t="shared" si="27"/>
        <v>42.529839986042084</v>
      </c>
      <c r="J30" s="80">
        <f t="shared" si="27"/>
        <v>42.529839986042084</v>
      </c>
      <c r="K30" s="80">
        <f t="shared" si="27"/>
        <v>42.210566916042083</v>
      </c>
      <c r="L30" s="80">
        <f t="shared" si="27"/>
        <v>42.210566916042083</v>
      </c>
      <c r="M30" s="80">
        <f t="shared" si="27"/>
        <v>42.210566916042083</v>
      </c>
      <c r="N30" s="80">
        <f t="shared" si="27"/>
        <v>41.887023566042082</v>
      </c>
      <c r="O30" s="80">
        <f t="shared" si="27"/>
        <v>41.887023566042082</v>
      </c>
      <c r="P30" s="80">
        <f t="shared" si="27"/>
        <v>41.887023566042082</v>
      </c>
      <c r="Q30" s="80">
        <f t="shared" si="27"/>
        <v>41.55915282604208</v>
      </c>
      <c r="R30" s="615"/>
      <c r="S30" s="80">
        <f>Q30+Q33</f>
        <v>41.55915282604208</v>
      </c>
      <c r="T30" s="80">
        <f>S30+S33</f>
        <v>41.55915282604208</v>
      </c>
      <c r="U30" s="80">
        <f t="shared" ref="U30:AD30" si="28">T30+T33</f>
        <v>41.226896816042078</v>
      </c>
      <c r="V30" s="80">
        <f t="shared" si="28"/>
        <v>41.226896816042078</v>
      </c>
      <c r="W30" s="80">
        <f t="shared" si="28"/>
        <v>41.226896816042078</v>
      </c>
      <c r="X30" s="80">
        <f t="shared" si="28"/>
        <v>40.890196876042076</v>
      </c>
      <c r="Y30" s="80">
        <f t="shared" si="28"/>
        <v>40.890196876042076</v>
      </c>
      <c r="Z30" s="80">
        <f t="shared" si="28"/>
        <v>40.890196876042076</v>
      </c>
      <c r="AA30" s="80">
        <f t="shared" si="28"/>
        <v>40.548993576042079</v>
      </c>
      <c r="AB30" s="80">
        <f t="shared" si="28"/>
        <v>40.548993576042079</v>
      </c>
      <c r="AC30" s="80">
        <f t="shared" si="28"/>
        <v>40.548993576042079</v>
      </c>
      <c r="AD30" s="80">
        <f t="shared" si="28"/>
        <v>40.203226686042079</v>
      </c>
      <c r="AE30" s="615"/>
      <c r="AF30" s="80">
        <f>AD30+AD33</f>
        <v>40.203226686042079</v>
      </c>
      <c r="AG30" s="80">
        <f>AF30+AF33</f>
        <v>38.773290106042076</v>
      </c>
      <c r="AH30" s="80">
        <f t="shared" ref="AH30:BJ30" si="29">AG30+AG33</f>
        <v>37.265303386042078</v>
      </c>
      <c r="AI30" s="80">
        <f t="shared" si="29"/>
        <v>35.675006296042078</v>
      </c>
      <c r="AJ30" s="80">
        <f t="shared" si="29"/>
        <v>33.997906116042074</v>
      </c>
      <c r="AK30" s="80">
        <f t="shared" si="29"/>
        <v>32.229264846042071</v>
      </c>
      <c r="AL30" s="80">
        <f t="shared" si="29"/>
        <v>30.36408593604207</v>
      </c>
      <c r="AM30" s="80">
        <f t="shared" si="29"/>
        <v>28.397100066042071</v>
      </c>
      <c r="AN30" s="80">
        <f t="shared" si="29"/>
        <v>26.322750306042071</v>
      </c>
      <c r="AO30" s="80">
        <f t="shared" si="29"/>
        <v>24.135176426042072</v>
      </c>
      <c r="AP30" s="80">
        <f t="shared" si="29"/>
        <v>21.828198316042073</v>
      </c>
      <c r="AQ30" s="80">
        <f t="shared" si="29"/>
        <v>19.395298546042071</v>
      </c>
      <c r="AR30" s="80">
        <f t="shared" si="29"/>
        <v>16.82960394604207</v>
      </c>
      <c r="AS30" s="80">
        <f t="shared" si="29"/>
        <v>14.12386616604207</v>
      </c>
      <c r="AT30" s="80">
        <f t="shared" si="29"/>
        <v>11.270441256042069</v>
      </c>
      <c r="AU30" s="80">
        <f t="shared" si="29"/>
        <v>8.2612679960420685</v>
      </c>
      <c r="AV30" s="80">
        <f t="shared" si="29"/>
        <v>5.0878451960420676</v>
      </c>
      <c r="AW30" s="80">
        <f t="shared" si="29"/>
        <v>1.7412076360420676</v>
      </c>
      <c r="AX30" s="80">
        <f t="shared" si="29"/>
        <v>-3.9579324262462023E-9</v>
      </c>
      <c r="AY30" s="80">
        <f t="shared" si="29"/>
        <v>-3.9579324262462023E-9</v>
      </c>
      <c r="AZ30" s="80">
        <f t="shared" si="29"/>
        <v>-3.9579324262462023E-9</v>
      </c>
      <c r="BA30" s="80">
        <f t="shared" si="29"/>
        <v>-3.9579324262462023E-9</v>
      </c>
      <c r="BB30" s="80">
        <f t="shared" si="29"/>
        <v>-3.9579324262462023E-9</v>
      </c>
      <c r="BC30" s="80">
        <f t="shared" si="29"/>
        <v>-3.9579324262462023E-9</v>
      </c>
      <c r="BD30" s="80">
        <f t="shared" si="29"/>
        <v>-3.9579324262462023E-9</v>
      </c>
      <c r="BE30" s="80">
        <f t="shared" si="29"/>
        <v>-3.9579324262462023E-9</v>
      </c>
      <c r="BF30" s="80">
        <f t="shared" si="29"/>
        <v>-3.9579324262462023E-9</v>
      </c>
      <c r="BG30" s="80">
        <f t="shared" si="29"/>
        <v>-3.9579324262462023E-9</v>
      </c>
      <c r="BH30" s="80">
        <f t="shared" si="29"/>
        <v>-3.9579324262462023E-9</v>
      </c>
      <c r="BI30" s="80">
        <f t="shared" si="29"/>
        <v>-3.9579324262462023E-9</v>
      </c>
      <c r="BJ30" s="80">
        <f t="shared" si="29"/>
        <v>-3.9579324262462023E-9</v>
      </c>
      <c r="BK30" s="9"/>
    </row>
    <row r="31" spans="2:63">
      <c r="B31" s="4" t="s">
        <v>377</v>
      </c>
      <c r="C31" s="4"/>
      <c r="D31" s="80"/>
      <c r="E31" s="615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615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615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9"/>
    </row>
    <row r="32" spans="2:63">
      <c r="B32" s="43" t="s">
        <v>129</v>
      </c>
      <c r="C32" s="4"/>
      <c r="D32" s="80"/>
      <c r="E32" s="615"/>
      <c r="F32" s="80">
        <f t="shared" ref="F32:K32" si="30">F23*0.8</f>
        <v>0.15281347361122222</v>
      </c>
      <c r="G32" s="80">
        <f t="shared" si="30"/>
        <v>0.15281347361122222</v>
      </c>
      <c r="H32" s="80">
        <f t="shared" si="30"/>
        <v>0.15168976262877232</v>
      </c>
      <c r="I32" s="80">
        <f t="shared" si="30"/>
        <v>0.15168976262877232</v>
      </c>
      <c r="J32" s="80">
        <f t="shared" si="30"/>
        <v>0.15168976262877232</v>
      </c>
      <c r="K32" s="80">
        <f t="shared" si="30"/>
        <v>0.15055102201243897</v>
      </c>
      <c r="L32" s="80">
        <f>L23*0.8</f>
        <v>0.15055102201243897</v>
      </c>
      <c r="M32" s="80">
        <f t="shared" ref="M32:BJ32" si="31">M23*0.8</f>
        <v>0.15055102201243897</v>
      </c>
      <c r="N32" s="80">
        <f t="shared" si="31"/>
        <v>0.14939705073077231</v>
      </c>
      <c r="O32" s="80">
        <f t="shared" si="31"/>
        <v>0.14939705073077231</v>
      </c>
      <c r="P32" s="80">
        <f t="shared" si="31"/>
        <v>0.14939705073077231</v>
      </c>
      <c r="Q32" s="80">
        <f t="shared" si="31"/>
        <v>0.14822764509143896</v>
      </c>
      <c r="R32" s="615">
        <f>SUM(F32:Q32)</f>
        <v>1.8087680984298342</v>
      </c>
      <c r="S32" s="80">
        <f t="shared" si="31"/>
        <v>0.14822764509143896</v>
      </c>
      <c r="T32" s="80">
        <f t="shared" si="31"/>
        <v>0.14822764509143896</v>
      </c>
      <c r="U32" s="80">
        <f t="shared" si="31"/>
        <v>0.14704259865577229</v>
      </c>
      <c r="V32" s="80">
        <f t="shared" si="31"/>
        <v>0.14704259865577229</v>
      </c>
      <c r="W32" s="80">
        <f t="shared" si="31"/>
        <v>0.14704259865577229</v>
      </c>
      <c r="X32" s="80">
        <f t="shared" si="31"/>
        <v>0.14584170220310563</v>
      </c>
      <c r="Y32" s="80">
        <f t="shared" si="31"/>
        <v>0.14584170220310563</v>
      </c>
      <c r="Z32" s="80">
        <f t="shared" si="31"/>
        <v>0.14584170220310563</v>
      </c>
      <c r="AA32" s="80">
        <f t="shared" si="31"/>
        <v>0.144624743766439</v>
      </c>
      <c r="AB32" s="80">
        <f t="shared" si="31"/>
        <v>0.144624743766439</v>
      </c>
      <c r="AC32" s="80">
        <f t="shared" si="31"/>
        <v>0.144624743766439</v>
      </c>
      <c r="AD32" s="80">
        <f t="shared" si="31"/>
        <v>0.143391508525439</v>
      </c>
      <c r="AE32" s="615">
        <f>SUM(S32:AD32)</f>
        <v>1.7523739325842673</v>
      </c>
      <c r="AF32" s="80">
        <f t="shared" si="31"/>
        <v>1.6929016071379341</v>
      </c>
      <c r="AG32" s="80">
        <f t="shared" si="31"/>
        <v>1.6301831070602679</v>
      </c>
      <c r="AH32" s="80">
        <f t="shared" si="31"/>
        <v>1.5640412464502678</v>
      </c>
      <c r="AI32" s="80">
        <f t="shared" si="31"/>
        <v>1.4942891683546016</v>
      </c>
      <c r="AJ32" s="80">
        <f t="shared" si="31"/>
        <v>1.4207298160092681</v>
      </c>
      <c r="AK32" s="80">
        <f t="shared" si="31"/>
        <v>1.3431553774026015</v>
      </c>
      <c r="AL32" s="80">
        <f t="shared" si="31"/>
        <v>1.2613466974529348</v>
      </c>
      <c r="AM32" s="80">
        <f t="shared" si="31"/>
        <v>1.1750726587282683</v>
      </c>
      <c r="AN32" s="80">
        <f t="shared" si="31"/>
        <v>1.0840895288176018</v>
      </c>
      <c r="AO32" s="80">
        <f t="shared" si="31"/>
        <v>0.9881402711796019</v>
      </c>
      <c r="AP32" s="80">
        <f t="shared" si="31"/>
        <v>0.88695382078826845</v>
      </c>
      <c r="AQ32" s="80">
        <f t="shared" si="31"/>
        <v>0.78024431580160192</v>
      </c>
      <c r="AR32" s="80">
        <f t="shared" si="31"/>
        <v>0.6677102915306018</v>
      </c>
      <c r="AS32" s="80">
        <f t="shared" si="31"/>
        <v>0.549033828754935</v>
      </c>
      <c r="AT32" s="80">
        <f t="shared" si="31"/>
        <v>0.42387965506560177</v>
      </c>
      <c r="AU32" s="80">
        <f t="shared" si="31"/>
        <v>0.29189419766526853</v>
      </c>
      <c r="AV32" s="80">
        <f t="shared" si="31"/>
        <v>0.15270458502260184</v>
      </c>
      <c r="AW32" s="80">
        <f t="shared" si="31"/>
        <v>2.1797951214528544E-2</v>
      </c>
      <c r="AX32" s="80">
        <f t="shared" si="31"/>
        <v>0</v>
      </c>
      <c r="AY32" s="80">
        <f t="shared" si="31"/>
        <v>0</v>
      </c>
      <c r="AZ32" s="80">
        <f t="shared" si="31"/>
        <v>0</v>
      </c>
      <c r="BA32" s="80">
        <f t="shared" si="31"/>
        <v>0</v>
      </c>
      <c r="BB32" s="80">
        <f t="shared" si="31"/>
        <v>0</v>
      </c>
      <c r="BC32" s="80">
        <f t="shared" si="31"/>
        <v>0</v>
      </c>
      <c r="BD32" s="80">
        <f t="shared" si="31"/>
        <v>0</v>
      </c>
      <c r="BE32" s="80">
        <f t="shared" si="31"/>
        <v>0</v>
      </c>
      <c r="BF32" s="80">
        <f t="shared" si="31"/>
        <v>0</v>
      </c>
      <c r="BG32" s="80">
        <f t="shared" si="31"/>
        <v>0</v>
      </c>
      <c r="BH32" s="80">
        <f t="shared" si="31"/>
        <v>0</v>
      </c>
      <c r="BI32" s="80">
        <f t="shared" si="31"/>
        <v>0</v>
      </c>
      <c r="BJ32" s="80">
        <f t="shared" si="31"/>
        <v>0</v>
      </c>
      <c r="BK32" s="9"/>
    </row>
    <row r="33" spans="1:63">
      <c r="B33" s="43" t="s">
        <v>940</v>
      </c>
      <c r="C33" s="4"/>
      <c r="D33" s="80"/>
      <c r="E33" s="615"/>
      <c r="F33" s="80"/>
      <c r="G33" s="80">
        <f>-G24</f>
        <v>-0.31505915395791678</v>
      </c>
      <c r="H33" s="80"/>
      <c r="I33" s="80"/>
      <c r="J33" s="80">
        <f>-J24</f>
        <v>-0.31927307000000005</v>
      </c>
      <c r="K33" s="80"/>
      <c r="L33" s="80"/>
      <c r="M33" s="80">
        <f>-M24</f>
        <v>-0.32354335000000012</v>
      </c>
      <c r="N33" s="80"/>
      <c r="O33" s="80"/>
      <c r="P33" s="80">
        <f>-P24</f>
        <v>-0.3278707400000001</v>
      </c>
      <c r="Q33" s="80"/>
      <c r="R33" s="615"/>
      <c r="S33" s="80"/>
      <c r="T33" s="80">
        <f>-T24</f>
        <v>-0.33225600999999999</v>
      </c>
      <c r="U33" s="80"/>
      <c r="V33" s="80"/>
      <c r="W33" s="80">
        <f>-W24</f>
        <v>-0.33669994000000009</v>
      </c>
      <c r="X33" s="80"/>
      <c r="Y33" s="80"/>
      <c r="Z33" s="80">
        <f>-Z24</f>
        <v>-0.34120330000000004</v>
      </c>
      <c r="AA33" s="80"/>
      <c r="AB33" s="80"/>
      <c r="AC33" s="80">
        <f>-AC24</f>
        <v>-0.34576688999999999</v>
      </c>
      <c r="AD33" s="80"/>
      <c r="AE33" s="615"/>
      <c r="AF33" s="80">
        <f>-AF24</f>
        <v>-1.4299365800000001</v>
      </c>
      <c r="AG33" s="80">
        <f t="shared" ref="AG33:BJ33" si="32">-AG24</f>
        <v>-1.5079867200000001</v>
      </c>
      <c r="AH33" s="80">
        <f t="shared" si="32"/>
        <v>-1.5902970900000002</v>
      </c>
      <c r="AI33" s="80">
        <f t="shared" si="32"/>
        <v>-1.6771001800000005</v>
      </c>
      <c r="AJ33" s="80">
        <f t="shared" si="32"/>
        <v>-1.7686412700000003</v>
      </c>
      <c r="AK33" s="80">
        <f t="shared" si="32"/>
        <v>-1.8651789100000002</v>
      </c>
      <c r="AL33" s="80">
        <f t="shared" si="32"/>
        <v>-1.96698587</v>
      </c>
      <c r="AM33" s="80">
        <f t="shared" si="32"/>
        <v>-2.07434976</v>
      </c>
      <c r="AN33" s="80">
        <f t="shared" si="32"/>
        <v>-2.1875738800000004</v>
      </c>
      <c r="AO33" s="80">
        <f t="shared" si="32"/>
        <v>-2.3069781100000002</v>
      </c>
      <c r="AP33" s="80">
        <f t="shared" si="32"/>
        <v>-2.4328997700000006</v>
      </c>
      <c r="AQ33" s="80">
        <f t="shared" si="32"/>
        <v>-2.5656946</v>
      </c>
      <c r="AR33" s="80">
        <f t="shared" si="32"/>
        <v>-2.7057377800000002</v>
      </c>
      <c r="AS33" s="80">
        <f t="shared" si="32"/>
        <v>-2.8534249100000002</v>
      </c>
      <c r="AT33" s="80">
        <f t="shared" si="32"/>
        <v>-3.0091732600000003</v>
      </c>
      <c r="AU33" s="80">
        <f t="shared" si="32"/>
        <v>-3.1734228000000004</v>
      </c>
      <c r="AV33" s="80">
        <f t="shared" si="32"/>
        <v>-3.34663756</v>
      </c>
      <c r="AW33" s="80">
        <f t="shared" si="32"/>
        <v>-1.7412076400000001</v>
      </c>
      <c r="AX33" s="80">
        <f t="shared" si="32"/>
        <v>0</v>
      </c>
      <c r="AY33" s="80">
        <f t="shared" si="32"/>
        <v>0</v>
      </c>
      <c r="AZ33" s="80">
        <f t="shared" si="32"/>
        <v>0</v>
      </c>
      <c r="BA33" s="80">
        <f t="shared" si="32"/>
        <v>0</v>
      </c>
      <c r="BB33" s="80">
        <f t="shared" si="32"/>
        <v>0</v>
      </c>
      <c r="BC33" s="80">
        <f t="shared" si="32"/>
        <v>0</v>
      </c>
      <c r="BD33" s="80">
        <f t="shared" si="32"/>
        <v>0</v>
      </c>
      <c r="BE33" s="80">
        <f t="shared" si="32"/>
        <v>0</v>
      </c>
      <c r="BF33" s="80">
        <f t="shared" si="32"/>
        <v>0</v>
      </c>
      <c r="BG33" s="80">
        <f t="shared" si="32"/>
        <v>0</v>
      </c>
      <c r="BH33" s="80">
        <f t="shared" si="32"/>
        <v>0</v>
      </c>
      <c r="BI33" s="80">
        <f t="shared" si="32"/>
        <v>0</v>
      </c>
      <c r="BJ33" s="80">
        <f t="shared" si="32"/>
        <v>0</v>
      </c>
      <c r="BK33" s="9"/>
    </row>
    <row r="34" spans="1:63">
      <c r="B34" s="4"/>
      <c r="C34" s="4"/>
      <c r="D34" s="4"/>
      <c r="E34" s="8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225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25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>
      <c r="B35" s="4"/>
      <c r="C35" s="4"/>
      <c r="D35" s="4"/>
      <c r="E35" s="8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225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225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7" spans="1:63">
      <c r="B37" s="9"/>
      <c r="C37" s="9"/>
      <c r="D37" s="9"/>
      <c r="E37" s="225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5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225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1:63">
      <c r="B38" s="9"/>
      <c r="C38" s="9"/>
      <c r="D38" s="9"/>
      <c r="E38" s="225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225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225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>
      <c r="B39" s="9"/>
      <c r="C39" s="9"/>
      <c r="D39" s="9"/>
      <c r="E39" s="225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225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225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>
      <c r="B40" s="9"/>
      <c r="C40" s="9"/>
      <c r="D40" s="9"/>
      <c r="E40" s="22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225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225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>
      <c r="B41" s="9"/>
      <c r="C41" s="9"/>
      <c r="D41" s="9"/>
      <c r="E41" s="225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225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225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>
      <c r="B42" s="9" t="s">
        <v>401</v>
      </c>
      <c r="C42" s="9"/>
      <c r="D42" s="9"/>
      <c r="E42" s="225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225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225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>
      <c r="A43">
        <v>419</v>
      </c>
      <c r="B43" s="503" t="s">
        <v>129</v>
      </c>
      <c r="C43" s="9"/>
      <c r="D43" s="9"/>
      <c r="E43" s="225"/>
      <c r="F43" s="30">
        <f>-F32</f>
        <v>-0.15281347361122222</v>
      </c>
      <c r="G43" s="30">
        <f t="shared" ref="G43:Q43" si="33">-G32</f>
        <v>-0.15281347361122222</v>
      </c>
      <c r="H43" s="30">
        <f t="shared" si="33"/>
        <v>-0.15168976262877232</v>
      </c>
      <c r="I43" s="30">
        <f t="shared" si="33"/>
        <v>-0.15168976262877232</v>
      </c>
      <c r="J43" s="30">
        <f t="shared" si="33"/>
        <v>-0.15168976262877232</v>
      </c>
      <c r="K43" s="30">
        <f t="shared" si="33"/>
        <v>-0.15055102201243897</v>
      </c>
      <c r="L43" s="30">
        <f t="shared" si="33"/>
        <v>-0.15055102201243897</v>
      </c>
      <c r="M43" s="30">
        <f t="shared" si="33"/>
        <v>-0.15055102201243897</v>
      </c>
      <c r="N43" s="30">
        <f t="shared" si="33"/>
        <v>-0.14939705073077231</v>
      </c>
      <c r="O43" s="30">
        <f t="shared" si="33"/>
        <v>-0.14939705073077231</v>
      </c>
      <c r="P43" s="30">
        <f t="shared" si="33"/>
        <v>-0.14939705073077231</v>
      </c>
      <c r="Q43" s="30">
        <f t="shared" si="33"/>
        <v>-0.14822764509143896</v>
      </c>
      <c r="R43" s="227">
        <f>SUM(F43:Q43)</f>
        <v>-1.8087680984298342</v>
      </c>
      <c r="S43" s="30">
        <f>-S32</f>
        <v>-0.14822764509143896</v>
      </c>
      <c r="T43" s="30">
        <f t="shared" ref="T43:AD43" si="34">-T32</f>
        <v>-0.14822764509143896</v>
      </c>
      <c r="U43" s="30">
        <f t="shared" si="34"/>
        <v>-0.14704259865577229</v>
      </c>
      <c r="V43" s="30">
        <f t="shared" si="34"/>
        <v>-0.14704259865577229</v>
      </c>
      <c r="W43" s="30">
        <f t="shared" si="34"/>
        <v>-0.14704259865577229</v>
      </c>
      <c r="X43" s="30">
        <f t="shared" si="34"/>
        <v>-0.14584170220310563</v>
      </c>
      <c r="Y43" s="30">
        <f t="shared" si="34"/>
        <v>-0.14584170220310563</v>
      </c>
      <c r="Z43" s="30">
        <f t="shared" si="34"/>
        <v>-0.14584170220310563</v>
      </c>
      <c r="AA43" s="30">
        <f t="shared" si="34"/>
        <v>-0.144624743766439</v>
      </c>
      <c r="AB43" s="30">
        <f t="shared" si="34"/>
        <v>-0.144624743766439</v>
      </c>
      <c r="AC43" s="30">
        <f t="shared" si="34"/>
        <v>-0.144624743766439</v>
      </c>
      <c r="AD43" s="30">
        <f t="shared" si="34"/>
        <v>-0.143391508525439</v>
      </c>
      <c r="AE43" s="227">
        <f>SUM(S43:AD43)</f>
        <v>-1.7523739325842673</v>
      </c>
      <c r="AF43" s="30">
        <f>-AF32</f>
        <v>-1.6929016071379341</v>
      </c>
      <c r="AG43" s="30">
        <f t="shared" ref="AG43:AY43" si="35">-AG32</f>
        <v>-1.6301831070602679</v>
      </c>
      <c r="AH43" s="30">
        <f t="shared" si="35"/>
        <v>-1.5640412464502678</v>
      </c>
      <c r="AI43" s="30">
        <f t="shared" si="35"/>
        <v>-1.4942891683546016</v>
      </c>
      <c r="AJ43" s="30">
        <f t="shared" si="35"/>
        <v>-1.4207298160092681</v>
      </c>
      <c r="AK43" s="30">
        <f t="shared" si="35"/>
        <v>-1.3431553774026015</v>
      </c>
      <c r="AL43" s="30">
        <f t="shared" si="35"/>
        <v>-1.2613466974529348</v>
      </c>
      <c r="AM43" s="30">
        <f t="shared" si="35"/>
        <v>-1.1750726587282683</v>
      </c>
      <c r="AN43" s="30">
        <f t="shared" si="35"/>
        <v>-1.0840895288176018</v>
      </c>
      <c r="AO43" s="30">
        <f t="shared" si="35"/>
        <v>-0.9881402711796019</v>
      </c>
      <c r="AP43" s="30">
        <f t="shared" si="35"/>
        <v>-0.88695382078826845</v>
      </c>
      <c r="AQ43" s="30">
        <f t="shared" si="35"/>
        <v>-0.78024431580160192</v>
      </c>
      <c r="AR43" s="30">
        <f t="shared" si="35"/>
        <v>-0.6677102915306018</v>
      </c>
      <c r="AS43" s="30">
        <f t="shared" si="35"/>
        <v>-0.549033828754935</v>
      </c>
      <c r="AT43" s="30">
        <f t="shared" si="35"/>
        <v>-0.42387965506560177</v>
      </c>
      <c r="AU43" s="30">
        <f t="shared" si="35"/>
        <v>-0.29189419766526853</v>
      </c>
      <c r="AV43" s="30">
        <f t="shared" si="35"/>
        <v>-0.15270458502260184</v>
      </c>
      <c r="AW43" s="30">
        <f t="shared" si="35"/>
        <v>-2.1797951214528544E-2</v>
      </c>
      <c r="AX43" s="30">
        <f t="shared" si="35"/>
        <v>0</v>
      </c>
      <c r="AY43" s="30">
        <f t="shared" si="35"/>
        <v>0</v>
      </c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>
      <c r="A44" s="78">
        <v>427.1</v>
      </c>
      <c r="B44" t="s">
        <v>402</v>
      </c>
      <c r="C44" s="9"/>
      <c r="D44" s="9"/>
      <c r="E44" s="225"/>
      <c r="F44" s="30">
        <f>F23</f>
        <v>0.19101684201402777</v>
      </c>
      <c r="G44" s="30">
        <f t="shared" ref="G44:AY44" si="36">G23</f>
        <v>0.19101684201402777</v>
      </c>
      <c r="H44" s="30">
        <f t="shared" si="36"/>
        <v>0.18961220328596537</v>
      </c>
      <c r="I44" s="30">
        <f t="shared" si="36"/>
        <v>0.18961220328596537</v>
      </c>
      <c r="J44" s="30">
        <f t="shared" si="36"/>
        <v>0.18961220328596537</v>
      </c>
      <c r="K44" s="30">
        <f t="shared" si="36"/>
        <v>0.18818877751554872</v>
      </c>
      <c r="L44" s="30">
        <f t="shared" si="36"/>
        <v>0.18818877751554872</v>
      </c>
      <c r="M44" s="30">
        <f t="shared" si="36"/>
        <v>0.18818877751554872</v>
      </c>
      <c r="N44" s="30">
        <f t="shared" si="36"/>
        <v>0.18674631341346537</v>
      </c>
      <c r="O44" s="30">
        <f t="shared" si="36"/>
        <v>0.18674631341346537</v>
      </c>
      <c r="P44" s="30">
        <f t="shared" si="36"/>
        <v>0.18674631341346537</v>
      </c>
      <c r="Q44" s="30">
        <f t="shared" si="36"/>
        <v>0.18528455636429869</v>
      </c>
      <c r="R44" s="227">
        <f>SUM(F44:Q44)</f>
        <v>2.2609601230372922</v>
      </c>
      <c r="S44" s="30">
        <f t="shared" si="36"/>
        <v>0.18528455636429869</v>
      </c>
      <c r="T44" s="30">
        <f t="shared" si="36"/>
        <v>0.18528455636429869</v>
      </c>
      <c r="U44" s="30">
        <f t="shared" si="36"/>
        <v>0.18380324831971537</v>
      </c>
      <c r="V44" s="30">
        <f t="shared" si="36"/>
        <v>0.18380324831971537</v>
      </c>
      <c r="W44" s="30">
        <f t="shared" si="36"/>
        <v>0.18380324831971537</v>
      </c>
      <c r="X44" s="30">
        <f t="shared" si="36"/>
        <v>0.18230212775388205</v>
      </c>
      <c r="Y44" s="30">
        <f t="shared" si="36"/>
        <v>0.18230212775388205</v>
      </c>
      <c r="Z44" s="30">
        <f t="shared" si="36"/>
        <v>0.18230212775388205</v>
      </c>
      <c r="AA44" s="30">
        <f t="shared" si="36"/>
        <v>0.18078092970804874</v>
      </c>
      <c r="AB44" s="30">
        <f t="shared" si="36"/>
        <v>0.18078092970804874</v>
      </c>
      <c r="AC44" s="30">
        <f t="shared" si="36"/>
        <v>0.18078092970804874</v>
      </c>
      <c r="AD44" s="30">
        <f t="shared" si="36"/>
        <v>0.17923938565679873</v>
      </c>
      <c r="AE44" s="227">
        <f>SUM(S44:AD44)</f>
        <v>2.190467415730335</v>
      </c>
      <c r="AF44" s="30">
        <f t="shared" si="36"/>
        <v>2.1161270089224176</v>
      </c>
      <c r="AG44" s="30">
        <f t="shared" si="36"/>
        <v>2.0377288838253347</v>
      </c>
      <c r="AH44" s="30">
        <f t="shared" si="36"/>
        <v>1.9550515580628347</v>
      </c>
      <c r="AI44" s="30">
        <f t="shared" si="36"/>
        <v>1.8678614604432517</v>
      </c>
      <c r="AJ44" s="30">
        <f t="shared" si="36"/>
        <v>1.775912270011585</v>
      </c>
      <c r="AK44" s="30">
        <f t="shared" si="36"/>
        <v>1.6789442217532518</v>
      </c>
      <c r="AL44" s="30">
        <f t="shared" si="36"/>
        <v>1.5766833718161684</v>
      </c>
      <c r="AM44" s="30">
        <f t="shared" si="36"/>
        <v>1.4688408234103354</v>
      </c>
      <c r="AN44" s="30">
        <f t="shared" si="36"/>
        <v>1.3551119110220022</v>
      </c>
      <c r="AO44" s="30">
        <f t="shared" si="36"/>
        <v>1.2351753389745024</v>
      </c>
      <c r="AP44" s="30">
        <f t="shared" si="36"/>
        <v>1.1086922759853355</v>
      </c>
      <c r="AQ44" s="30">
        <f t="shared" si="36"/>
        <v>0.9753053947520024</v>
      </c>
      <c r="AR44" s="30">
        <f t="shared" si="36"/>
        <v>0.83463786441325216</v>
      </c>
      <c r="AS44" s="30">
        <f t="shared" si="36"/>
        <v>0.68629228594366876</v>
      </c>
      <c r="AT44" s="30">
        <f t="shared" si="36"/>
        <v>0.52984956883200218</v>
      </c>
      <c r="AU44" s="30">
        <f t="shared" si="36"/>
        <v>0.36486774708158565</v>
      </c>
      <c r="AV44" s="30">
        <f t="shared" si="36"/>
        <v>0.19088073127825228</v>
      </c>
      <c r="AW44" s="30">
        <f t="shared" si="36"/>
        <v>2.724743901816068E-2</v>
      </c>
      <c r="AX44" s="30">
        <f t="shared" si="36"/>
        <v>0</v>
      </c>
      <c r="AY44" s="30">
        <f t="shared" si="36"/>
        <v>0</v>
      </c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>
      <c r="A45">
        <v>424</v>
      </c>
      <c r="B45" s="9" t="s">
        <v>387</v>
      </c>
      <c r="C45" s="7"/>
      <c r="D45" s="4"/>
      <c r="E45" s="225"/>
      <c r="F45" s="4">
        <f t="shared" ref="F45:Q45" si="37">-F15</f>
        <v>0</v>
      </c>
      <c r="G45" s="4">
        <f t="shared" si="37"/>
        <v>0</v>
      </c>
      <c r="H45" s="4">
        <f t="shared" si="37"/>
        <v>-1.23832464783125</v>
      </c>
      <c r="I45" s="4">
        <f t="shared" si="37"/>
        <v>-2.5000000000000001E-2</v>
      </c>
      <c r="J45" s="4">
        <f t="shared" si="37"/>
        <v>0</v>
      </c>
      <c r="K45" s="4">
        <f t="shared" si="37"/>
        <v>0</v>
      </c>
      <c r="L45" s="4">
        <f t="shared" si="37"/>
        <v>0</v>
      </c>
      <c r="M45" s="4">
        <f t="shared" si="37"/>
        <v>-8.0000000000000002E-3</v>
      </c>
      <c r="N45" s="4">
        <f t="shared" si="37"/>
        <v>0</v>
      </c>
      <c r="O45" s="4">
        <f t="shared" si="37"/>
        <v>0</v>
      </c>
      <c r="P45" s="4">
        <f t="shared" si="37"/>
        <v>0</v>
      </c>
      <c r="Q45" s="4">
        <f t="shared" si="37"/>
        <v>0</v>
      </c>
      <c r="R45" s="225">
        <f>SUM(F45:Q45)</f>
        <v>-1.2713246478312499</v>
      </c>
      <c r="S45" s="4">
        <f t="shared" ref="S45:AD45" si="38">-S15</f>
        <v>0</v>
      </c>
      <c r="T45" s="4">
        <f t="shared" si="38"/>
        <v>0</v>
      </c>
      <c r="U45" s="4">
        <f t="shared" si="38"/>
        <v>-2.7064475505600001</v>
      </c>
      <c r="V45" s="4">
        <f t="shared" si="38"/>
        <v>0</v>
      </c>
      <c r="W45" s="4">
        <f t="shared" si="38"/>
        <v>0</v>
      </c>
      <c r="X45" s="4">
        <f t="shared" si="38"/>
        <v>0</v>
      </c>
      <c r="Y45" s="4">
        <f t="shared" si="38"/>
        <v>0</v>
      </c>
      <c r="Z45" s="4">
        <f t="shared" si="38"/>
        <v>0</v>
      </c>
      <c r="AA45" s="4">
        <f t="shared" si="38"/>
        <v>0</v>
      </c>
      <c r="AB45" s="4">
        <f t="shared" si="38"/>
        <v>0</v>
      </c>
      <c r="AC45" s="4">
        <f t="shared" si="38"/>
        <v>0</v>
      </c>
      <c r="AD45" s="4">
        <f t="shared" si="38"/>
        <v>0</v>
      </c>
      <c r="AE45" s="225">
        <f>SUM(S45:AD45)</f>
        <v>-2.7064475505600001</v>
      </c>
      <c r="AF45" s="4">
        <f t="shared" ref="AF45:AY45" si="39">-AF15</f>
        <v>-2.6243469322674997</v>
      </c>
      <c r="AG45" s="4">
        <f t="shared" si="39"/>
        <v>-2.538535059075</v>
      </c>
      <c r="AH45" s="4">
        <f t="shared" si="39"/>
        <v>-2.4486009990137503</v>
      </c>
      <c r="AI45" s="4">
        <f t="shared" si="39"/>
        <v>-2.3536433920412501</v>
      </c>
      <c r="AJ45" s="4">
        <f t="shared" si="39"/>
        <v>-2.2531521443862501</v>
      </c>
      <c r="AK45" s="4">
        <f t="shared" si="39"/>
        <v>-2.1462980837550001</v>
      </c>
      <c r="AL45" s="4">
        <f t="shared" si="39"/>
        <v>-2.0327081350387504</v>
      </c>
      <c r="AM45" s="4">
        <f t="shared" si="39"/>
        <v>-1.9124854773837496</v>
      </c>
      <c r="AN45" s="4">
        <f t="shared" si="39"/>
        <v>-1.7849191323025004</v>
      </c>
      <c r="AO45" s="4">
        <f t="shared" si="39"/>
        <v>-1.6498390890600008</v>
      </c>
      <c r="AP45" s="4">
        <f t="shared" si="39"/>
        <v>-1.5076748853300002</v>
      </c>
      <c r="AQ45" s="4">
        <f t="shared" si="39"/>
        <v>-1.3580162120799999</v>
      </c>
      <c r="AR45" s="4">
        <f t="shared" si="39"/>
        <v>-1.2004528973125006</v>
      </c>
      <c r="AS45" s="4">
        <f t="shared" si="39"/>
        <v>-1.0345064662199999</v>
      </c>
      <c r="AT45" s="4">
        <f t="shared" si="39"/>
        <v>-0.8560816528825006</v>
      </c>
      <c r="AU45" s="4">
        <f t="shared" si="39"/>
        <v>-0.66469785232499978</v>
      </c>
      <c r="AV45" s="4">
        <f t="shared" si="39"/>
        <v>-0.46351508189374957</v>
      </c>
      <c r="AW45" s="4">
        <f t="shared" si="39"/>
        <v>-0.25197090722125021</v>
      </c>
      <c r="AX45" s="4">
        <f t="shared" si="39"/>
        <v>-6.3112397602499454E-2</v>
      </c>
      <c r="AY45" s="4">
        <f t="shared" si="39"/>
        <v>0</v>
      </c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>
      <c r="B46" s="9"/>
      <c r="C46" s="7"/>
      <c r="D46" s="7"/>
      <c r="E46" s="174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174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74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>
      <c r="C47" s="9"/>
      <c r="D47" s="9"/>
      <c r="E47" s="225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225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225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63">
      <c r="B48" s="9"/>
      <c r="C48" s="7"/>
      <c r="D48" s="7"/>
      <c r="E48" s="174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174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74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50" spans="2:63">
      <c r="B50" s="9"/>
      <c r="C50" s="7"/>
      <c r="D50" s="7"/>
      <c r="E50" s="174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7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74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2:63">
      <c r="B51" s="9"/>
      <c r="C51" s="7"/>
      <c r="D51" s="7"/>
      <c r="E51" s="17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7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7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2:63">
      <c r="C52" s="9"/>
      <c r="D52" s="9"/>
      <c r="E52" s="225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225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225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2:63">
      <c r="B53" s="9"/>
      <c r="C53" s="7"/>
      <c r="D53" s="7"/>
      <c r="E53" s="17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7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74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5" spans="2:63">
      <c r="B55" s="9"/>
      <c r="C55" s="7"/>
      <c r="D55" s="7"/>
      <c r="E55" s="174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74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74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8" spans="2:63">
      <c r="C58" s="105"/>
      <c r="D58" s="105"/>
      <c r="E58" s="226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226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226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</row>
    <row r="59" spans="2:63">
      <c r="C59" s="105"/>
      <c r="D59" s="105"/>
      <c r="E59" s="226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226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226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</row>
    <row r="60" spans="2:63">
      <c r="C60" s="105"/>
      <c r="D60" s="105"/>
      <c r="E60" s="226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226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226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</row>
    <row r="61" spans="2:63">
      <c r="AV61" s="105"/>
    </row>
    <row r="432" spans="1:2" ht="18">
      <c r="A432" s="267" t="s">
        <v>817</v>
      </c>
      <c r="B432" s="13"/>
    </row>
    <row r="433" spans="1:31">
      <c r="A433" s="859" t="s">
        <v>607</v>
      </c>
      <c r="B433" s="856" t="s">
        <v>1026</v>
      </c>
      <c r="R433" s="211">
        <f t="shared" ref="R433:R494" si="40">SUM(F433:Q433)</f>
        <v>0</v>
      </c>
      <c r="AE433" s="171">
        <f t="shared" ref="AE433:AE494" si="41">SUM(S433:AD433)</f>
        <v>0</v>
      </c>
    </row>
    <row r="434" spans="1:31">
      <c r="A434" s="859" t="s">
        <v>818</v>
      </c>
      <c r="B434" s="856" t="s">
        <v>1027</v>
      </c>
      <c r="R434" s="211">
        <f t="shared" si="40"/>
        <v>0</v>
      </c>
      <c r="AE434" s="171">
        <f t="shared" si="41"/>
        <v>0</v>
      </c>
    </row>
    <row r="435" spans="1:31">
      <c r="A435" s="859" t="s">
        <v>607</v>
      </c>
      <c r="B435" s="856" t="s">
        <v>1026</v>
      </c>
      <c r="R435" s="211">
        <f t="shared" si="40"/>
        <v>0</v>
      </c>
      <c r="AE435" s="171">
        <f t="shared" si="41"/>
        <v>0</v>
      </c>
    </row>
    <row r="436" spans="1:31">
      <c r="A436" s="859" t="s">
        <v>818</v>
      </c>
      <c r="B436" s="856" t="s">
        <v>1028</v>
      </c>
      <c r="R436" s="211">
        <f t="shared" si="40"/>
        <v>0</v>
      </c>
      <c r="AE436" s="171">
        <f t="shared" si="41"/>
        <v>0</v>
      </c>
    </row>
    <row r="437" spans="1:31">
      <c r="A437" s="859" t="s">
        <v>607</v>
      </c>
      <c r="B437" s="856" t="s">
        <v>1026</v>
      </c>
      <c r="R437" s="211">
        <f t="shared" si="40"/>
        <v>0</v>
      </c>
      <c r="AE437" s="171">
        <f t="shared" si="41"/>
        <v>0</v>
      </c>
    </row>
    <row r="438" spans="1:31">
      <c r="A438" s="859" t="s">
        <v>818</v>
      </c>
      <c r="B438" s="856" t="s">
        <v>1028</v>
      </c>
      <c r="R438" s="211">
        <f t="shared" si="40"/>
        <v>0</v>
      </c>
      <c r="AE438" s="171">
        <f t="shared" si="41"/>
        <v>0</v>
      </c>
    </row>
    <row r="439" spans="1:31">
      <c r="A439" s="859" t="s">
        <v>607</v>
      </c>
      <c r="B439" s="856" t="s">
        <v>1026</v>
      </c>
      <c r="R439" s="211">
        <f t="shared" si="40"/>
        <v>0</v>
      </c>
      <c r="AE439" s="171">
        <f t="shared" si="41"/>
        <v>0</v>
      </c>
    </row>
    <row r="440" spans="1:31">
      <c r="A440" s="859" t="s">
        <v>818</v>
      </c>
      <c r="B440" s="856" t="s">
        <v>1027</v>
      </c>
      <c r="R440" s="211">
        <f t="shared" si="40"/>
        <v>0</v>
      </c>
      <c r="AE440" s="171">
        <f t="shared" si="41"/>
        <v>0</v>
      </c>
    </row>
    <row r="441" spans="1:31">
      <c r="A441" s="859" t="s">
        <v>612</v>
      </c>
      <c r="B441" s="856" t="s">
        <v>819</v>
      </c>
      <c r="R441" s="211">
        <f t="shared" si="40"/>
        <v>0</v>
      </c>
      <c r="AE441" s="171">
        <f t="shared" si="41"/>
        <v>0</v>
      </c>
    </row>
    <row r="442" spans="1:31">
      <c r="A442" s="859">
        <v>403.5</v>
      </c>
      <c r="B442" s="856" t="s">
        <v>820</v>
      </c>
      <c r="R442" s="211">
        <f t="shared" si="40"/>
        <v>0</v>
      </c>
      <c r="AE442" s="171">
        <f t="shared" si="41"/>
        <v>0</v>
      </c>
    </row>
    <row r="443" spans="1:31">
      <c r="A443" s="859">
        <v>403.5</v>
      </c>
      <c r="B443" s="856" t="s">
        <v>821</v>
      </c>
      <c r="R443" s="211">
        <f t="shared" si="40"/>
        <v>0</v>
      </c>
      <c r="AE443" s="171">
        <f t="shared" si="41"/>
        <v>0</v>
      </c>
    </row>
    <row r="444" spans="1:31">
      <c r="A444" s="859" t="s">
        <v>586</v>
      </c>
      <c r="B444" s="856" t="s">
        <v>822</v>
      </c>
      <c r="R444" s="211">
        <f t="shared" si="40"/>
        <v>0</v>
      </c>
      <c r="AE444" s="171">
        <f t="shared" si="41"/>
        <v>0</v>
      </c>
    </row>
    <row r="445" spans="1:31">
      <c r="A445" s="859">
        <v>404.11</v>
      </c>
      <c r="B445" s="856" t="s">
        <v>1001</v>
      </c>
      <c r="R445" s="211">
        <f t="shared" si="40"/>
        <v>0</v>
      </c>
      <c r="AE445" s="171">
        <f t="shared" si="41"/>
        <v>0</v>
      </c>
    </row>
    <row r="446" spans="1:31">
      <c r="A446" s="859" t="s">
        <v>823</v>
      </c>
      <c r="B446" s="856" t="s">
        <v>824</v>
      </c>
      <c r="R446" s="211">
        <f t="shared" si="40"/>
        <v>0</v>
      </c>
      <c r="AE446" s="171">
        <f t="shared" si="41"/>
        <v>0</v>
      </c>
    </row>
    <row r="447" spans="1:31">
      <c r="A447" s="859" t="s">
        <v>825</v>
      </c>
      <c r="B447" s="856" t="s">
        <v>826</v>
      </c>
      <c r="R447" s="211">
        <f t="shared" si="40"/>
        <v>0</v>
      </c>
      <c r="AE447" s="171">
        <f t="shared" si="41"/>
        <v>0</v>
      </c>
    </row>
    <row r="448" spans="1:31">
      <c r="A448" s="859" t="s">
        <v>827</v>
      </c>
      <c r="B448" s="856" t="s">
        <v>828</v>
      </c>
      <c r="R448" s="211">
        <f t="shared" si="40"/>
        <v>0</v>
      </c>
      <c r="AE448" s="171">
        <f t="shared" si="41"/>
        <v>0</v>
      </c>
    </row>
    <row r="449" spans="1:51">
      <c r="A449" s="859" t="s">
        <v>830</v>
      </c>
      <c r="B449" s="856" t="s">
        <v>831</v>
      </c>
      <c r="F449" s="714">
        <f t="shared" ref="F449:Q449" si="42">F43</f>
        <v>-0.15281347361122222</v>
      </c>
      <c r="G449" s="714">
        <f t="shared" si="42"/>
        <v>-0.15281347361122222</v>
      </c>
      <c r="H449" s="714">
        <f t="shared" si="42"/>
        <v>-0.15168976262877232</v>
      </c>
      <c r="I449" s="714">
        <f t="shared" si="42"/>
        <v>-0.15168976262877232</v>
      </c>
      <c r="J449" s="714">
        <f t="shared" si="42"/>
        <v>-0.15168976262877232</v>
      </c>
      <c r="K449" s="714">
        <f t="shared" si="42"/>
        <v>-0.15055102201243897</v>
      </c>
      <c r="L449" s="714">
        <f t="shared" si="42"/>
        <v>-0.15055102201243897</v>
      </c>
      <c r="M449" s="714">
        <f t="shared" si="42"/>
        <v>-0.15055102201243897</v>
      </c>
      <c r="N449" s="714">
        <f t="shared" si="42"/>
        <v>-0.14939705073077231</v>
      </c>
      <c r="O449" s="714">
        <f t="shared" si="42"/>
        <v>-0.14939705073077231</v>
      </c>
      <c r="P449" s="714">
        <f t="shared" si="42"/>
        <v>-0.14939705073077231</v>
      </c>
      <c r="Q449" s="714">
        <f t="shared" si="42"/>
        <v>-0.14822764509143896</v>
      </c>
      <c r="R449" s="211">
        <f t="shared" si="40"/>
        <v>-1.8087680984298342</v>
      </c>
      <c r="S449" s="714">
        <f t="shared" ref="S449:AD449" si="43">S43</f>
        <v>-0.14822764509143896</v>
      </c>
      <c r="T449" s="714">
        <f t="shared" si="43"/>
        <v>-0.14822764509143896</v>
      </c>
      <c r="U449" s="714">
        <f t="shared" si="43"/>
        <v>-0.14704259865577229</v>
      </c>
      <c r="V449" s="714">
        <f t="shared" si="43"/>
        <v>-0.14704259865577229</v>
      </c>
      <c r="W449" s="714">
        <f t="shared" si="43"/>
        <v>-0.14704259865577229</v>
      </c>
      <c r="X449" s="714">
        <f t="shared" si="43"/>
        <v>-0.14584170220310563</v>
      </c>
      <c r="Y449" s="714">
        <f t="shared" si="43"/>
        <v>-0.14584170220310563</v>
      </c>
      <c r="Z449" s="714">
        <f t="shared" si="43"/>
        <v>-0.14584170220310563</v>
      </c>
      <c r="AA449" s="714">
        <f t="shared" si="43"/>
        <v>-0.144624743766439</v>
      </c>
      <c r="AB449" s="714">
        <f t="shared" si="43"/>
        <v>-0.144624743766439</v>
      </c>
      <c r="AC449" s="714">
        <f t="shared" si="43"/>
        <v>-0.144624743766439</v>
      </c>
      <c r="AD449" s="714">
        <f t="shared" si="43"/>
        <v>-0.143391508525439</v>
      </c>
      <c r="AE449" s="171">
        <f t="shared" si="41"/>
        <v>-1.7523739325842673</v>
      </c>
      <c r="AF449" s="714">
        <f t="shared" ref="AF449:AY449" si="44">AF43</f>
        <v>-1.6929016071379341</v>
      </c>
      <c r="AG449" s="714">
        <f t="shared" si="44"/>
        <v>-1.6301831070602679</v>
      </c>
      <c r="AH449" s="714">
        <f t="shared" si="44"/>
        <v>-1.5640412464502678</v>
      </c>
      <c r="AI449" s="714">
        <f t="shared" si="44"/>
        <v>-1.4942891683546016</v>
      </c>
      <c r="AJ449" s="714">
        <f t="shared" si="44"/>
        <v>-1.4207298160092681</v>
      </c>
      <c r="AK449" s="714">
        <f t="shared" si="44"/>
        <v>-1.3431553774026015</v>
      </c>
      <c r="AL449" s="714">
        <f t="shared" si="44"/>
        <v>-1.2613466974529348</v>
      </c>
      <c r="AM449" s="714">
        <f t="shared" si="44"/>
        <v>-1.1750726587282683</v>
      </c>
      <c r="AN449" s="714">
        <f t="shared" si="44"/>
        <v>-1.0840895288176018</v>
      </c>
      <c r="AO449" s="714">
        <f t="shared" si="44"/>
        <v>-0.9881402711796019</v>
      </c>
      <c r="AP449" s="714">
        <f t="shared" si="44"/>
        <v>-0.88695382078826845</v>
      </c>
      <c r="AQ449" s="714">
        <f t="shared" si="44"/>
        <v>-0.78024431580160192</v>
      </c>
      <c r="AR449" s="714">
        <f t="shared" si="44"/>
        <v>-0.6677102915306018</v>
      </c>
      <c r="AS449" s="714">
        <f t="shared" si="44"/>
        <v>-0.549033828754935</v>
      </c>
      <c r="AT449" s="714">
        <f t="shared" si="44"/>
        <v>-0.42387965506560177</v>
      </c>
      <c r="AU449" s="714">
        <f t="shared" si="44"/>
        <v>-0.29189419766526853</v>
      </c>
      <c r="AV449" s="714">
        <f t="shared" si="44"/>
        <v>-0.15270458502260184</v>
      </c>
      <c r="AW449" s="714">
        <f t="shared" si="44"/>
        <v>-2.1797951214528544E-2</v>
      </c>
      <c r="AX449" s="714">
        <f t="shared" si="44"/>
        <v>0</v>
      </c>
      <c r="AY449" s="714">
        <f t="shared" si="44"/>
        <v>0</v>
      </c>
    </row>
    <row r="450" spans="1:51">
      <c r="A450" s="859" t="s">
        <v>859</v>
      </c>
      <c r="B450" s="856" t="s">
        <v>860</v>
      </c>
      <c r="F450" s="714"/>
      <c r="G450" s="714"/>
      <c r="H450" s="714"/>
      <c r="I450" s="714"/>
      <c r="J450" s="714"/>
      <c r="K450" s="714"/>
      <c r="L450" s="714"/>
      <c r="M450" s="714"/>
      <c r="N450" s="714"/>
      <c r="O450" s="714"/>
      <c r="P450" s="714"/>
      <c r="Q450" s="714"/>
      <c r="R450" s="211">
        <f t="shared" si="40"/>
        <v>0</v>
      </c>
      <c r="S450" s="714"/>
      <c r="T450" s="714"/>
      <c r="U450" s="714"/>
      <c r="V450" s="714"/>
      <c r="W450" s="714"/>
      <c r="X450" s="714"/>
      <c r="Y450" s="714"/>
      <c r="Z450" s="714"/>
      <c r="AA450" s="714"/>
      <c r="AB450" s="714"/>
      <c r="AC450" s="714"/>
      <c r="AD450" s="714"/>
      <c r="AE450" s="171">
        <f t="shared" si="41"/>
        <v>0</v>
      </c>
      <c r="AF450" s="714"/>
      <c r="AG450" s="714"/>
      <c r="AH450" s="714"/>
      <c r="AI450" s="714"/>
      <c r="AJ450" s="714"/>
      <c r="AK450" s="714"/>
      <c r="AL450" s="714"/>
      <c r="AM450" s="714"/>
      <c r="AN450" s="714"/>
      <c r="AO450" s="714"/>
      <c r="AP450" s="714"/>
      <c r="AQ450" s="714"/>
      <c r="AR450" s="714"/>
      <c r="AS450" s="714"/>
      <c r="AT450" s="714"/>
      <c r="AU450" s="714"/>
      <c r="AV450" s="714"/>
      <c r="AW450" s="714"/>
      <c r="AX450" s="714"/>
      <c r="AY450" s="714"/>
    </row>
    <row r="451" spans="1:51">
      <c r="A451" s="859" t="s">
        <v>861</v>
      </c>
      <c r="B451" s="856" t="s">
        <v>862</v>
      </c>
      <c r="D451" s="4"/>
      <c r="F451" s="714">
        <f t="shared" ref="F451:Q451" si="45">+F45</f>
        <v>0</v>
      </c>
      <c r="G451" s="714">
        <f t="shared" si="45"/>
        <v>0</v>
      </c>
      <c r="H451" s="714">
        <f t="shared" si="45"/>
        <v>-1.23832464783125</v>
      </c>
      <c r="I451" s="714">
        <f t="shared" si="45"/>
        <v>-2.5000000000000001E-2</v>
      </c>
      <c r="J451" s="714">
        <f t="shared" si="45"/>
        <v>0</v>
      </c>
      <c r="K451" s="714">
        <f t="shared" si="45"/>
        <v>0</v>
      </c>
      <c r="L451" s="714">
        <f t="shared" si="45"/>
        <v>0</v>
      </c>
      <c r="M451" s="714">
        <f t="shared" si="45"/>
        <v>-8.0000000000000002E-3</v>
      </c>
      <c r="N451" s="714">
        <f t="shared" si="45"/>
        <v>0</v>
      </c>
      <c r="O451" s="714">
        <f t="shared" si="45"/>
        <v>0</v>
      </c>
      <c r="P451" s="714">
        <f t="shared" si="45"/>
        <v>0</v>
      </c>
      <c r="Q451" s="714">
        <f t="shared" si="45"/>
        <v>0</v>
      </c>
      <c r="R451" s="211">
        <f t="shared" si="40"/>
        <v>-1.2713246478312499</v>
      </c>
      <c r="S451" s="714">
        <f t="shared" ref="S451:AD451" si="46">+S45</f>
        <v>0</v>
      </c>
      <c r="T451" s="714">
        <f t="shared" si="46"/>
        <v>0</v>
      </c>
      <c r="U451" s="714">
        <f t="shared" si="46"/>
        <v>-2.7064475505600001</v>
      </c>
      <c r="V451" s="714">
        <f t="shared" si="46"/>
        <v>0</v>
      </c>
      <c r="W451" s="714">
        <f t="shared" si="46"/>
        <v>0</v>
      </c>
      <c r="X451" s="714">
        <f t="shared" si="46"/>
        <v>0</v>
      </c>
      <c r="Y451" s="714">
        <f t="shared" si="46"/>
        <v>0</v>
      </c>
      <c r="Z451" s="714">
        <f t="shared" si="46"/>
        <v>0</v>
      </c>
      <c r="AA451" s="714">
        <f t="shared" si="46"/>
        <v>0</v>
      </c>
      <c r="AB451" s="714">
        <f t="shared" si="46"/>
        <v>0</v>
      </c>
      <c r="AC451" s="714">
        <f t="shared" si="46"/>
        <v>0</v>
      </c>
      <c r="AD451" s="714">
        <f t="shared" si="46"/>
        <v>0</v>
      </c>
      <c r="AE451" s="171">
        <f t="shared" si="41"/>
        <v>-2.7064475505600001</v>
      </c>
      <c r="AF451" s="714">
        <f t="shared" ref="AF451:AY451" si="47">+AF45</f>
        <v>-2.6243469322674997</v>
      </c>
      <c r="AG451" s="714">
        <f t="shared" si="47"/>
        <v>-2.538535059075</v>
      </c>
      <c r="AH451" s="714">
        <f t="shared" si="47"/>
        <v>-2.4486009990137503</v>
      </c>
      <c r="AI451" s="714">
        <f t="shared" si="47"/>
        <v>-2.3536433920412501</v>
      </c>
      <c r="AJ451" s="714">
        <f t="shared" si="47"/>
        <v>-2.2531521443862501</v>
      </c>
      <c r="AK451" s="714">
        <f t="shared" si="47"/>
        <v>-2.1462980837550001</v>
      </c>
      <c r="AL451" s="714">
        <f t="shared" si="47"/>
        <v>-2.0327081350387504</v>
      </c>
      <c r="AM451" s="714">
        <f t="shared" si="47"/>
        <v>-1.9124854773837496</v>
      </c>
      <c r="AN451" s="714">
        <f t="shared" si="47"/>
        <v>-1.7849191323025004</v>
      </c>
      <c r="AO451" s="714">
        <f t="shared" si="47"/>
        <v>-1.6498390890600008</v>
      </c>
      <c r="AP451" s="714">
        <f t="shared" si="47"/>
        <v>-1.5076748853300002</v>
      </c>
      <c r="AQ451" s="714">
        <f t="shared" si="47"/>
        <v>-1.3580162120799999</v>
      </c>
      <c r="AR451" s="714">
        <f t="shared" si="47"/>
        <v>-1.2004528973125006</v>
      </c>
      <c r="AS451" s="714">
        <f t="shared" si="47"/>
        <v>-1.0345064662199999</v>
      </c>
      <c r="AT451" s="714">
        <f t="shared" si="47"/>
        <v>-0.8560816528825006</v>
      </c>
      <c r="AU451" s="714">
        <f t="shared" si="47"/>
        <v>-0.66469785232499978</v>
      </c>
      <c r="AV451" s="714">
        <f t="shared" si="47"/>
        <v>-0.46351508189374957</v>
      </c>
      <c r="AW451" s="714">
        <f t="shared" si="47"/>
        <v>-0.25197090722125021</v>
      </c>
      <c r="AX451" s="714">
        <f t="shared" si="47"/>
        <v>-6.3112397602499454E-2</v>
      </c>
      <c r="AY451" s="714">
        <f t="shared" si="47"/>
        <v>0</v>
      </c>
    </row>
    <row r="452" spans="1:51">
      <c r="A452" s="859" t="s">
        <v>863</v>
      </c>
      <c r="B452" s="856" t="s">
        <v>864</v>
      </c>
      <c r="F452" s="714"/>
      <c r="G452" s="714"/>
      <c r="H452" s="714"/>
      <c r="I452" s="714"/>
      <c r="J452" s="714"/>
      <c r="K452" s="714"/>
      <c r="L452" s="714"/>
      <c r="M452" s="714"/>
      <c r="N452" s="714"/>
      <c r="O452" s="714"/>
      <c r="P452" s="714"/>
      <c r="Q452" s="714"/>
      <c r="R452" s="211">
        <f t="shared" si="40"/>
        <v>0</v>
      </c>
      <c r="S452" s="714"/>
      <c r="T452" s="714"/>
      <c r="U452" s="714"/>
      <c r="V452" s="714"/>
      <c r="W452" s="714"/>
      <c r="X452" s="714"/>
      <c r="Y452" s="714"/>
      <c r="Z452" s="714"/>
      <c r="AA452" s="714"/>
      <c r="AB452" s="714"/>
      <c r="AC452" s="714"/>
      <c r="AD452" s="714"/>
      <c r="AE452" s="171">
        <f t="shared" si="41"/>
        <v>0</v>
      </c>
      <c r="AF452" s="714"/>
      <c r="AG452" s="714"/>
      <c r="AH452" s="714"/>
      <c r="AI452" s="714"/>
      <c r="AJ452" s="714"/>
      <c r="AK452" s="714"/>
      <c r="AL452" s="714"/>
      <c r="AM452" s="714"/>
      <c r="AN452" s="714"/>
      <c r="AO452" s="714"/>
      <c r="AP452" s="714"/>
      <c r="AQ452" s="714"/>
      <c r="AR452" s="714"/>
      <c r="AS452" s="714"/>
      <c r="AT452" s="714"/>
      <c r="AU452" s="714"/>
      <c r="AV452" s="714"/>
      <c r="AW452" s="714"/>
      <c r="AX452" s="714"/>
      <c r="AY452" s="714"/>
    </row>
    <row r="453" spans="1:51">
      <c r="A453" s="859">
        <v>426.1</v>
      </c>
      <c r="B453" s="856" t="s">
        <v>880</v>
      </c>
      <c r="F453" s="714"/>
      <c r="G453" s="714"/>
      <c r="H453" s="714"/>
      <c r="I453" s="714"/>
      <c r="J453" s="714"/>
      <c r="K453" s="714"/>
      <c r="L453" s="714"/>
      <c r="M453" s="714"/>
      <c r="N453" s="714"/>
      <c r="O453" s="714"/>
      <c r="P453" s="714"/>
      <c r="Q453" s="714"/>
      <c r="R453" s="211">
        <f t="shared" si="40"/>
        <v>0</v>
      </c>
      <c r="S453" s="714"/>
      <c r="T453" s="714"/>
      <c r="U453" s="714"/>
      <c r="V453" s="714"/>
      <c r="W453" s="714"/>
      <c r="X453" s="714"/>
      <c r="Y453" s="714"/>
      <c r="Z453" s="714"/>
      <c r="AA453" s="714"/>
      <c r="AB453" s="714"/>
      <c r="AC453" s="714"/>
      <c r="AD453" s="714"/>
      <c r="AE453" s="171">
        <f t="shared" si="41"/>
        <v>0</v>
      </c>
      <c r="AF453" s="714"/>
      <c r="AG453" s="714"/>
      <c r="AH453" s="714"/>
      <c r="AI453" s="714"/>
      <c r="AJ453" s="714"/>
      <c r="AK453" s="714"/>
      <c r="AL453" s="714"/>
      <c r="AM453" s="714"/>
      <c r="AN453" s="714"/>
      <c r="AO453" s="714"/>
      <c r="AP453" s="714"/>
      <c r="AQ453" s="714"/>
      <c r="AR453" s="714"/>
      <c r="AS453" s="714"/>
      <c r="AT453" s="714"/>
      <c r="AU453" s="714"/>
      <c r="AV453" s="714"/>
      <c r="AW453" s="714"/>
      <c r="AX453" s="714"/>
      <c r="AY453" s="714"/>
    </row>
    <row r="454" spans="1:51">
      <c r="A454" s="859" t="s">
        <v>881</v>
      </c>
      <c r="B454" s="856" t="s">
        <v>882</v>
      </c>
      <c r="F454" s="714"/>
      <c r="G454" s="714"/>
      <c r="H454" s="714"/>
      <c r="I454" s="714"/>
      <c r="J454" s="714"/>
      <c r="K454" s="714"/>
      <c r="L454" s="714"/>
      <c r="M454" s="714"/>
      <c r="N454" s="714"/>
      <c r="O454" s="714"/>
      <c r="P454" s="714"/>
      <c r="Q454" s="714"/>
      <c r="R454" s="211">
        <f t="shared" si="40"/>
        <v>0</v>
      </c>
      <c r="S454" s="714"/>
      <c r="T454" s="714"/>
      <c r="U454" s="714"/>
      <c r="V454" s="714"/>
      <c r="W454" s="714"/>
      <c r="X454" s="714"/>
      <c r="Y454" s="714"/>
      <c r="Z454" s="714"/>
      <c r="AA454" s="714"/>
      <c r="AB454" s="714"/>
      <c r="AC454" s="714"/>
      <c r="AD454" s="714"/>
      <c r="AE454" s="171">
        <f t="shared" si="41"/>
        <v>0</v>
      </c>
      <c r="AF454" s="714"/>
      <c r="AG454" s="714"/>
      <c r="AH454" s="714"/>
      <c r="AI454" s="714"/>
      <c r="AJ454" s="714"/>
      <c r="AK454" s="714"/>
      <c r="AL454" s="714"/>
      <c r="AM454" s="714"/>
      <c r="AN454" s="714"/>
      <c r="AO454" s="714"/>
      <c r="AP454" s="714"/>
      <c r="AQ454" s="714"/>
      <c r="AR454" s="714"/>
      <c r="AS454" s="714"/>
      <c r="AT454" s="714"/>
      <c r="AU454" s="714"/>
      <c r="AV454" s="714"/>
      <c r="AW454" s="714"/>
      <c r="AX454" s="714"/>
      <c r="AY454" s="714"/>
    </row>
    <row r="455" spans="1:51">
      <c r="A455" s="859">
        <v>426.4</v>
      </c>
      <c r="B455" s="856" t="s">
        <v>883</v>
      </c>
      <c r="F455" s="714"/>
      <c r="G455" s="714"/>
      <c r="H455" s="714"/>
      <c r="I455" s="714"/>
      <c r="J455" s="714"/>
      <c r="K455" s="714"/>
      <c r="L455" s="714"/>
      <c r="M455" s="714"/>
      <c r="N455" s="714"/>
      <c r="O455" s="714"/>
      <c r="P455" s="714"/>
      <c r="Q455" s="714"/>
      <c r="R455" s="211">
        <f t="shared" si="40"/>
        <v>0</v>
      </c>
      <c r="S455" s="714"/>
      <c r="T455" s="714"/>
      <c r="U455" s="714"/>
      <c r="V455" s="714"/>
      <c r="W455" s="714"/>
      <c r="X455" s="714"/>
      <c r="Y455" s="714"/>
      <c r="Z455" s="714"/>
      <c r="AA455" s="714"/>
      <c r="AB455" s="714"/>
      <c r="AC455" s="714"/>
      <c r="AD455" s="714"/>
      <c r="AE455" s="171">
        <f t="shared" si="41"/>
        <v>0</v>
      </c>
      <c r="AF455" s="714"/>
      <c r="AG455" s="714"/>
      <c r="AH455" s="714"/>
      <c r="AI455" s="714"/>
      <c r="AJ455" s="714"/>
      <c r="AK455" s="714"/>
      <c r="AL455" s="714"/>
      <c r="AM455" s="714"/>
      <c r="AN455" s="714"/>
      <c r="AO455" s="714"/>
      <c r="AP455" s="714"/>
      <c r="AQ455" s="714"/>
      <c r="AR455" s="714"/>
      <c r="AS455" s="714"/>
      <c r="AT455" s="714"/>
      <c r="AU455" s="714"/>
      <c r="AV455" s="714"/>
      <c r="AW455" s="714"/>
      <c r="AX455" s="714"/>
      <c r="AY455" s="714"/>
    </row>
    <row r="456" spans="1:51">
      <c r="A456" s="859" t="s">
        <v>884</v>
      </c>
      <c r="B456" s="856" t="s">
        <v>885</v>
      </c>
      <c r="F456" s="714"/>
      <c r="G456" s="714"/>
      <c r="H456" s="714"/>
      <c r="I456" s="714"/>
      <c r="J456" s="714"/>
      <c r="K456" s="714"/>
      <c r="L456" s="714"/>
      <c r="M456" s="714"/>
      <c r="N456" s="714"/>
      <c r="O456" s="714"/>
      <c r="P456" s="714"/>
      <c r="Q456" s="714"/>
      <c r="R456" s="211">
        <f t="shared" si="40"/>
        <v>0</v>
      </c>
      <c r="S456" s="714"/>
      <c r="T456" s="714"/>
      <c r="U456" s="714"/>
      <c r="V456" s="714"/>
      <c r="W456" s="714"/>
      <c r="X456" s="714"/>
      <c r="Y456" s="714"/>
      <c r="Z456" s="714"/>
      <c r="AA456" s="714"/>
      <c r="AB456" s="714"/>
      <c r="AC456" s="714"/>
      <c r="AD456" s="714"/>
      <c r="AE456" s="171">
        <f t="shared" si="41"/>
        <v>0</v>
      </c>
      <c r="AF456" s="714"/>
      <c r="AG456" s="714"/>
      <c r="AH456" s="714"/>
      <c r="AI456" s="714"/>
      <c r="AJ456" s="714"/>
      <c r="AK456" s="714"/>
      <c r="AL456" s="714"/>
      <c r="AM456" s="714"/>
      <c r="AN456" s="714"/>
      <c r="AO456" s="714"/>
      <c r="AP456" s="714"/>
      <c r="AQ456" s="714"/>
      <c r="AR456" s="714"/>
      <c r="AS456" s="714"/>
      <c r="AT456" s="714"/>
      <c r="AU456" s="714"/>
      <c r="AV456" s="714"/>
      <c r="AW456" s="714"/>
      <c r="AX456" s="714"/>
      <c r="AY456" s="714"/>
    </row>
    <row r="457" spans="1:51">
      <c r="A457" s="859">
        <v>427.1</v>
      </c>
      <c r="B457" s="856" t="s">
        <v>970</v>
      </c>
      <c r="F457" s="714">
        <f t="shared" ref="F457:Q457" si="48">F44</f>
        <v>0.19101684201402777</v>
      </c>
      <c r="G457" s="714">
        <f t="shared" si="48"/>
        <v>0.19101684201402777</v>
      </c>
      <c r="H457" s="714">
        <f t="shared" si="48"/>
        <v>0.18961220328596537</v>
      </c>
      <c r="I457" s="714">
        <f t="shared" si="48"/>
        <v>0.18961220328596537</v>
      </c>
      <c r="J457" s="714">
        <f t="shared" si="48"/>
        <v>0.18961220328596537</v>
      </c>
      <c r="K457" s="714">
        <f t="shared" si="48"/>
        <v>0.18818877751554872</v>
      </c>
      <c r="L457" s="714">
        <f t="shared" si="48"/>
        <v>0.18818877751554872</v>
      </c>
      <c r="M457" s="714">
        <f t="shared" si="48"/>
        <v>0.18818877751554872</v>
      </c>
      <c r="N457" s="714">
        <f t="shared" si="48"/>
        <v>0.18674631341346537</v>
      </c>
      <c r="O457" s="714">
        <f t="shared" si="48"/>
        <v>0.18674631341346537</v>
      </c>
      <c r="P457" s="714">
        <f t="shared" si="48"/>
        <v>0.18674631341346537</v>
      </c>
      <c r="Q457" s="714">
        <f t="shared" si="48"/>
        <v>0.18528455636429869</v>
      </c>
      <c r="R457" s="211">
        <f t="shared" si="40"/>
        <v>2.2609601230372922</v>
      </c>
      <c r="S457" s="714">
        <f t="shared" ref="S457:AD457" si="49">S44</f>
        <v>0.18528455636429869</v>
      </c>
      <c r="T457" s="714">
        <f t="shared" si="49"/>
        <v>0.18528455636429869</v>
      </c>
      <c r="U457" s="714">
        <f t="shared" si="49"/>
        <v>0.18380324831971537</v>
      </c>
      <c r="V457" s="714">
        <f t="shared" si="49"/>
        <v>0.18380324831971537</v>
      </c>
      <c r="W457" s="714">
        <f t="shared" si="49"/>
        <v>0.18380324831971537</v>
      </c>
      <c r="X457" s="714">
        <f t="shared" si="49"/>
        <v>0.18230212775388205</v>
      </c>
      <c r="Y457" s="714">
        <f t="shared" si="49"/>
        <v>0.18230212775388205</v>
      </c>
      <c r="Z457" s="714">
        <f t="shared" si="49"/>
        <v>0.18230212775388205</v>
      </c>
      <c r="AA457" s="714">
        <f t="shared" si="49"/>
        <v>0.18078092970804874</v>
      </c>
      <c r="AB457" s="714">
        <f t="shared" si="49"/>
        <v>0.18078092970804874</v>
      </c>
      <c r="AC457" s="714">
        <f t="shared" si="49"/>
        <v>0.18078092970804874</v>
      </c>
      <c r="AD457" s="714">
        <f t="shared" si="49"/>
        <v>0.17923938565679873</v>
      </c>
      <c r="AE457" s="171">
        <f t="shared" si="41"/>
        <v>2.190467415730335</v>
      </c>
      <c r="AF457" s="714">
        <f t="shared" ref="AF457:AY457" si="50">AF44</f>
        <v>2.1161270089224176</v>
      </c>
      <c r="AG457" s="714">
        <f t="shared" si="50"/>
        <v>2.0377288838253347</v>
      </c>
      <c r="AH457" s="714">
        <f t="shared" si="50"/>
        <v>1.9550515580628347</v>
      </c>
      <c r="AI457" s="714">
        <f t="shared" si="50"/>
        <v>1.8678614604432517</v>
      </c>
      <c r="AJ457" s="714">
        <f t="shared" si="50"/>
        <v>1.775912270011585</v>
      </c>
      <c r="AK457" s="714">
        <f t="shared" si="50"/>
        <v>1.6789442217532518</v>
      </c>
      <c r="AL457" s="714">
        <f t="shared" si="50"/>
        <v>1.5766833718161684</v>
      </c>
      <c r="AM457" s="714">
        <f t="shared" si="50"/>
        <v>1.4688408234103354</v>
      </c>
      <c r="AN457" s="714">
        <f t="shared" si="50"/>
        <v>1.3551119110220022</v>
      </c>
      <c r="AO457" s="714">
        <f t="shared" si="50"/>
        <v>1.2351753389745024</v>
      </c>
      <c r="AP457" s="714">
        <f t="shared" si="50"/>
        <v>1.1086922759853355</v>
      </c>
      <c r="AQ457" s="714">
        <f t="shared" si="50"/>
        <v>0.9753053947520024</v>
      </c>
      <c r="AR457" s="714">
        <f t="shared" si="50"/>
        <v>0.83463786441325216</v>
      </c>
      <c r="AS457" s="714">
        <f t="shared" si="50"/>
        <v>0.68629228594366876</v>
      </c>
      <c r="AT457" s="714">
        <f t="shared" si="50"/>
        <v>0.52984956883200218</v>
      </c>
      <c r="AU457" s="714">
        <f t="shared" si="50"/>
        <v>0.36486774708158565</v>
      </c>
      <c r="AV457" s="714">
        <f t="shared" si="50"/>
        <v>0.19088073127825228</v>
      </c>
      <c r="AW457" s="714">
        <f t="shared" si="50"/>
        <v>2.724743901816068E-2</v>
      </c>
      <c r="AX457" s="714">
        <f t="shared" si="50"/>
        <v>0</v>
      </c>
      <c r="AY457" s="714">
        <f t="shared" si="50"/>
        <v>0</v>
      </c>
    </row>
    <row r="458" spans="1:51">
      <c r="A458" s="859" t="s">
        <v>886</v>
      </c>
      <c r="B458" s="856" t="s">
        <v>971</v>
      </c>
      <c r="R458" s="211">
        <f t="shared" si="40"/>
        <v>0</v>
      </c>
      <c r="AE458" s="171">
        <f t="shared" si="41"/>
        <v>0</v>
      </c>
    </row>
    <row r="459" spans="1:51">
      <c r="A459" s="859" t="s">
        <v>895</v>
      </c>
      <c r="B459" s="856" t="s">
        <v>896</v>
      </c>
      <c r="R459" s="211">
        <f t="shared" si="40"/>
        <v>0</v>
      </c>
      <c r="AE459" s="171">
        <f t="shared" si="41"/>
        <v>0</v>
      </c>
    </row>
    <row r="460" spans="1:51">
      <c r="A460" s="859" t="s">
        <v>897</v>
      </c>
      <c r="B460" s="856" t="s">
        <v>898</v>
      </c>
      <c r="R460" s="211">
        <f t="shared" si="40"/>
        <v>0</v>
      </c>
      <c r="AE460" s="171">
        <f t="shared" si="41"/>
        <v>0</v>
      </c>
    </row>
    <row r="461" spans="1:51">
      <c r="A461" s="859" t="s">
        <v>899</v>
      </c>
      <c r="B461" s="856" t="s">
        <v>900</v>
      </c>
      <c r="R461" s="211">
        <f t="shared" si="40"/>
        <v>0</v>
      </c>
      <c r="AE461" s="171">
        <f t="shared" si="41"/>
        <v>0</v>
      </c>
    </row>
    <row r="462" spans="1:51">
      <c r="A462" s="859" t="s">
        <v>901</v>
      </c>
      <c r="B462" s="856" t="s">
        <v>902</v>
      </c>
      <c r="R462" s="211">
        <f t="shared" si="40"/>
        <v>0</v>
      </c>
      <c r="AE462" s="171">
        <f t="shared" si="41"/>
        <v>0</v>
      </c>
    </row>
    <row r="463" spans="1:51">
      <c r="A463" s="859" t="s">
        <v>903</v>
      </c>
      <c r="B463" s="856" t="s">
        <v>904</v>
      </c>
      <c r="R463" s="211">
        <f t="shared" si="40"/>
        <v>0</v>
      </c>
      <c r="AE463" s="171">
        <f t="shared" si="41"/>
        <v>0</v>
      </c>
    </row>
    <row r="464" spans="1:51">
      <c r="A464" s="859" t="s">
        <v>905</v>
      </c>
      <c r="B464" s="856" t="s">
        <v>1014</v>
      </c>
      <c r="R464" s="211">
        <f t="shared" si="40"/>
        <v>0</v>
      </c>
      <c r="AE464" s="171">
        <f t="shared" si="41"/>
        <v>0</v>
      </c>
    </row>
    <row r="465" spans="1:31">
      <c r="A465" s="859" t="s">
        <v>908</v>
      </c>
      <c r="B465" s="856" t="s">
        <v>1015</v>
      </c>
      <c r="R465" s="211">
        <f t="shared" si="40"/>
        <v>0</v>
      </c>
      <c r="AE465" s="171">
        <f t="shared" si="41"/>
        <v>0</v>
      </c>
    </row>
    <row r="466" spans="1:31">
      <c r="A466" s="859" t="s">
        <v>910</v>
      </c>
      <c r="B466" s="856" t="s">
        <v>1016</v>
      </c>
      <c r="R466" s="211">
        <f t="shared" si="40"/>
        <v>0</v>
      </c>
      <c r="AE466" s="171">
        <f t="shared" si="41"/>
        <v>0</v>
      </c>
    </row>
    <row r="467" spans="1:31">
      <c r="A467" s="859" t="s">
        <v>645</v>
      </c>
      <c r="B467" s="856" t="s">
        <v>911</v>
      </c>
      <c r="R467" s="211">
        <f t="shared" si="40"/>
        <v>0</v>
      </c>
      <c r="AE467" s="171">
        <f t="shared" si="41"/>
        <v>0</v>
      </c>
    </row>
    <row r="468" spans="1:31">
      <c r="A468" s="859">
        <v>447.24200000000002</v>
      </c>
      <c r="B468" s="856" t="s">
        <v>916</v>
      </c>
      <c r="R468" s="211">
        <f t="shared" si="40"/>
        <v>0</v>
      </c>
      <c r="AE468" s="171">
        <f t="shared" si="41"/>
        <v>0</v>
      </c>
    </row>
    <row r="469" spans="1:31">
      <c r="A469" s="859" t="s">
        <v>0</v>
      </c>
      <c r="B469" s="856" t="s">
        <v>1</v>
      </c>
      <c r="R469" s="211">
        <f t="shared" si="40"/>
        <v>0</v>
      </c>
      <c r="AE469" s="171">
        <f t="shared" si="41"/>
        <v>0</v>
      </c>
    </row>
    <row r="470" spans="1:31">
      <c r="A470" s="859" t="s">
        <v>2</v>
      </c>
      <c r="B470" s="856" t="s">
        <v>37</v>
      </c>
      <c r="R470" s="211">
        <f t="shared" si="40"/>
        <v>0</v>
      </c>
      <c r="AE470" s="171">
        <f t="shared" si="41"/>
        <v>0</v>
      </c>
    </row>
    <row r="471" spans="1:31">
      <c r="A471" s="859" t="s">
        <v>38</v>
      </c>
      <c r="B471" s="856" t="s">
        <v>39</v>
      </c>
      <c r="R471" s="211">
        <f t="shared" si="40"/>
        <v>0</v>
      </c>
      <c r="AE471" s="171">
        <f t="shared" si="41"/>
        <v>0</v>
      </c>
    </row>
    <row r="472" spans="1:31">
      <c r="A472" s="859" t="s">
        <v>720</v>
      </c>
      <c r="B472" s="856" t="s">
        <v>1004</v>
      </c>
      <c r="R472" s="211">
        <f t="shared" si="40"/>
        <v>0</v>
      </c>
      <c r="AE472" s="171">
        <f t="shared" si="41"/>
        <v>0</v>
      </c>
    </row>
    <row r="473" spans="1:31">
      <c r="A473" s="859">
        <v>500.1</v>
      </c>
      <c r="B473" s="856" t="s">
        <v>1004</v>
      </c>
      <c r="R473" s="211">
        <f t="shared" si="40"/>
        <v>0</v>
      </c>
      <c r="AE473" s="171">
        <f t="shared" si="41"/>
        <v>0</v>
      </c>
    </row>
    <row r="474" spans="1:31">
      <c r="A474" s="859">
        <v>501.1</v>
      </c>
      <c r="B474" s="856" t="s">
        <v>46</v>
      </c>
      <c r="R474" s="211">
        <f t="shared" si="40"/>
        <v>0</v>
      </c>
      <c r="AE474" s="171">
        <f t="shared" si="41"/>
        <v>0</v>
      </c>
    </row>
    <row r="475" spans="1:31">
      <c r="A475" s="859">
        <v>501.2</v>
      </c>
      <c r="B475" s="860" t="s">
        <v>1029</v>
      </c>
      <c r="R475" s="211">
        <f t="shared" si="40"/>
        <v>0</v>
      </c>
      <c r="AE475" s="171">
        <f t="shared" si="41"/>
        <v>0</v>
      </c>
    </row>
    <row r="476" spans="1:31">
      <c r="A476" s="859">
        <v>501.1</v>
      </c>
      <c r="B476" s="856" t="s">
        <v>48</v>
      </c>
      <c r="R476" s="211">
        <f t="shared" si="40"/>
        <v>0</v>
      </c>
      <c r="AE476" s="171">
        <f t="shared" si="41"/>
        <v>0</v>
      </c>
    </row>
    <row r="477" spans="1:31">
      <c r="A477" s="859">
        <v>501.1</v>
      </c>
      <c r="B477" s="856" t="s">
        <v>50</v>
      </c>
      <c r="R477" s="211">
        <f t="shared" si="40"/>
        <v>0</v>
      </c>
      <c r="AE477" s="171">
        <f t="shared" si="41"/>
        <v>0</v>
      </c>
    </row>
    <row r="478" spans="1:31">
      <c r="A478" s="859" t="s">
        <v>722</v>
      </c>
      <c r="B478" s="860" t="s">
        <v>1029</v>
      </c>
      <c r="R478" s="211">
        <f t="shared" si="40"/>
        <v>0</v>
      </c>
      <c r="AE478" s="171">
        <f t="shared" si="41"/>
        <v>0</v>
      </c>
    </row>
    <row r="479" spans="1:31">
      <c r="A479" s="859">
        <v>501.1</v>
      </c>
      <c r="B479" s="856" t="s">
        <v>52</v>
      </c>
      <c r="R479" s="211">
        <f t="shared" si="40"/>
        <v>0</v>
      </c>
      <c r="AE479" s="171">
        <f t="shared" si="41"/>
        <v>0</v>
      </c>
    </row>
    <row r="480" spans="1:31">
      <c r="A480" s="859">
        <v>501.2</v>
      </c>
      <c r="B480" s="860" t="s">
        <v>1029</v>
      </c>
      <c r="R480" s="211">
        <f t="shared" si="40"/>
        <v>0</v>
      </c>
      <c r="AE480" s="171">
        <f t="shared" si="41"/>
        <v>0</v>
      </c>
    </row>
    <row r="481" spans="1:31">
      <c r="A481" s="859">
        <v>501.1</v>
      </c>
      <c r="B481" s="856" t="s">
        <v>54</v>
      </c>
      <c r="R481" s="211">
        <f t="shared" si="40"/>
        <v>0</v>
      </c>
      <c r="AE481" s="171">
        <f t="shared" si="41"/>
        <v>0</v>
      </c>
    </row>
    <row r="482" spans="1:31">
      <c r="A482" s="859">
        <v>501.1</v>
      </c>
      <c r="B482" s="856" t="s">
        <v>57</v>
      </c>
      <c r="R482" s="211">
        <f t="shared" si="40"/>
        <v>0</v>
      </c>
      <c r="AE482" s="171">
        <f t="shared" si="41"/>
        <v>0</v>
      </c>
    </row>
    <row r="483" spans="1:31">
      <c r="A483" s="859">
        <v>501.3</v>
      </c>
      <c r="B483" s="860" t="s">
        <v>1030</v>
      </c>
      <c r="R483" s="211">
        <f t="shared" si="40"/>
        <v>0</v>
      </c>
      <c r="AE483" s="171">
        <f t="shared" si="41"/>
        <v>0</v>
      </c>
    </row>
    <row r="484" spans="1:31">
      <c r="A484" s="859">
        <v>501.1</v>
      </c>
      <c r="B484" s="856" t="s">
        <v>59</v>
      </c>
      <c r="R484" s="211">
        <f t="shared" si="40"/>
        <v>0</v>
      </c>
      <c r="AE484" s="171">
        <f t="shared" si="41"/>
        <v>0</v>
      </c>
    </row>
    <row r="485" spans="1:31">
      <c r="A485" s="859">
        <v>501.1</v>
      </c>
      <c r="B485" s="856" t="s">
        <v>61</v>
      </c>
      <c r="R485" s="211">
        <f t="shared" si="40"/>
        <v>0</v>
      </c>
      <c r="AE485" s="171">
        <f t="shared" si="41"/>
        <v>0</v>
      </c>
    </row>
    <row r="486" spans="1:31">
      <c r="A486" s="859">
        <v>501.1</v>
      </c>
      <c r="B486" s="856" t="s">
        <v>63</v>
      </c>
      <c r="R486" s="211">
        <f t="shared" si="40"/>
        <v>0</v>
      </c>
      <c r="AE486" s="171">
        <f t="shared" si="41"/>
        <v>0</v>
      </c>
    </row>
    <row r="487" spans="1:31">
      <c r="A487" s="859" t="s">
        <v>725</v>
      </c>
      <c r="B487" s="857" t="s">
        <v>1022</v>
      </c>
      <c r="R487" s="211">
        <f t="shared" si="40"/>
        <v>0</v>
      </c>
      <c r="AE487" s="171">
        <f t="shared" si="41"/>
        <v>0</v>
      </c>
    </row>
    <row r="488" spans="1:31">
      <c r="A488" s="859" t="s">
        <v>537</v>
      </c>
      <c r="B488" s="857" t="s">
        <v>1022</v>
      </c>
      <c r="R488" s="211">
        <f t="shared" si="40"/>
        <v>0</v>
      </c>
      <c r="AE488" s="171">
        <f t="shared" si="41"/>
        <v>0</v>
      </c>
    </row>
    <row r="489" spans="1:31">
      <c r="A489" s="859">
        <v>502.1</v>
      </c>
      <c r="B489" s="857" t="s">
        <v>1022</v>
      </c>
      <c r="R489" s="211">
        <f t="shared" si="40"/>
        <v>0</v>
      </c>
      <c r="AE489" s="171">
        <f t="shared" si="41"/>
        <v>0</v>
      </c>
    </row>
    <row r="490" spans="1:31">
      <c r="A490" s="859">
        <v>502.11</v>
      </c>
      <c r="B490" s="857" t="s">
        <v>1022</v>
      </c>
      <c r="R490" s="211">
        <f t="shared" si="40"/>
        <v>0</v>
      </c>
      <c r="AE490" s="171">
        <f t="shared" si="41"/>
        <v>0</v>
      </c>
    </row>
    <row r="491" spans="1:31">
      <c r="A491" s="859">
        <v>502.11</v>
      </c>
      <c r="B491" s="857" t="s">
        <v>1022</v>
      </c>
      <c r="R491" s="211">
        <f t="shared" si="40"/>
        <v>0</v>
      </c>
      <c r="AE491" s="171">
        <f t="shared" si="41"/>
        <v>0</v>
      </c>
    </row>
    <row r="492" spans="1:31">
      <c r="A492" s="859" t="s">
        <v>729</v>
      </c>
      <c r="B492" s="857" t="s">
        <v>1022</v>
      </c>
      <c r="R492" s="211">
        <f t="shared" si="40"/>
        <v>0</v>
      </c>
      <c r="AE492" s="171">
        <f t="shared" si="41"/>
        <v>0</v>
      </c>
    </row>
    <row r="493" spans="1:31">
      <c r="A493" s="859">
        <v>502.1</v>
      </c>
      <c r="B493" s="857" t="s">
        <v>1022</v>
      </c>
      <c r="R493" s="211">
        <f t="shared" si="40"/>
        <v>0</v>
      </c>
      <c r="AE493" s="171">
        <f t="shared" si="41"/>
        <v>0</v>
      </c>
    </row>
    <row r="494" spans="1:31">
      <c r="A494" s="859" t="s">
        <v>730</v>
      </c>
      <c r="B494" s="856" t="s">
        <v>972</v>
      </c>
      <c r="R494" s="211">
        <f t="shared" si="40"/>
        <v>0</v>
      </c>
      <c r="AE494" s="171">
        <f t="shared" si="41"/>
        <v>0</v>
      </c>
    </row>
    <row r="495" spans="1:31">
      <c r="A495" s="859" t="s">
        <v>730</v>
      </c>
      <c r="B495" s="856" t="s">
        <v>972</v>
      </c>
      <c r="R495" s="211">
        <f t="shared" ref="R495:R558" si="51">SUM(F495:Q495)</f>
        <v>0</v>
      </c>
      <c r="AE495" s="171">
        <f t="shared" ref="AE495:AE558" si="52">SUM(S495:AD495)</f>
        <v>0</v>
      </c>
    </row>
    <row r="496" spans="1:31">
      <c r="A496" s="859" t="s">
        <v>730</v>
      </c>
      <c r="B496" s="856" t="s">
        <v>972</v>
      </c>
      <c r="R496" s="211">
        <f t="shared" si="51"/>
        <v>0</v>
      </c>
      <c r="AE496" s="171">
        <f t="shared" si="52"/>
        <v>0</v>
      </c>
    </row>
    <row r="497" spans="1:31">
      <c r="A497" s="859" t="s">
        <v>730</v>
      </c>
      <c r="B497" s="856" t="s">
        <v>972</v>
      </c>
      <c r="R497" s="211">
        <f t="shared" si="51"/>
        <v>0</v>
      </c>
      <c r="AE497" s="171">
        <f t="shared" si="52"/>
        <v>0</v>
      </c>
    </row>
    <row r="498" spans="1:31">
      <c r="A498" s="859" t="s">
        <v>732</v>
      </c>
      <c r="B498" s="856" t="s">
        <v>973</v>
      </c>
      <c r="R498" s="211">
        <f t="shared" si="51"/>
        <v>0</v>
      </c>
      <c r="AE498" s="171">
        <f t="shared" si="52"/>
        <v>0</v>
      </c>
    </row>
    <row r="499" spans="1:31">
      <c r="A499" s="859">
        <v>506.1</v>
      </c>
      <c r="B499" s="856" t="s">
        <v>973</v>
      </c>
      <c r="R499" s="211">
        <f t="shared" si="51"/>
        <v>0</v>
      </c>
      <c r="AE499" s="171">
        <f t="shared" si="52"/>
        <v>0</v>
      </c>
    </row>
    <row r="500" spans="1:31">
      <c r="A500" s="859" t="s">
        <v>734</v>
      </c>
      <c r="B500" s="856" t="s">
        <v>973</v>
      </c>
      <c r="R500" s="211">
        <f t="shared" si="51"/>
        <v>0</v>
      </c>
      <c r="AE500" s="171">
        <f t="shared" si="52"/>
        <v>0</v>
      </c>
    </row>
    <row r="501" spans="1:31">
      <c r="A501" s="859" t="s">
        <v>70</v>
      </c>
      <c r="B501" s="856" t="s">
        <v>974</v>
      </c>
      <c r="R501" s="211">
        <f t="shared" si="51"/>
        <v>0</v>
      </c>
      <c r="AE501" s="171">
        <f t="shared" si="52"/>
        <v>0</v>
      </c>
    </row>
    <row r="502" spans="1:31">
      <c r="A502" s="859">
        <v>510</v>
      </c>
      <c r="B502" s="856" t="s">
        <v>975</v>
      </c>
      <c r="R502" s="211">
        <f t="shared" si="51"/>
        <v>0</v>
      </c>
      <c r="AE502" s="171">
        <f t="shared" si="52"/>
        <v>0</v>
      </c>
    </row>
    <row r="503" spans="1:31">
      <c r="A503" s="859">
        <v>511.1</v>
      </c>
      <c r="B503" s="856" t="s">
        <v>103</v>
      </c>
      <c r="R503" s="211">
        <f t="shared" si="51"/>
        <v>0</v>
      </c>
      <c r="AE503" s="171">
        <f t="shared" si="52"/>
        <v>0</v>
      </c>
    </row>
    <row r="504" spans="1:31">
      <c r="A504" s="859">
        <v>511.1</v>
      </c>
      <c r="B504" s="856" t="s">
        <v>104</v>
      </c>
      <c r="R504" s="211">
        <f t="shared" si="51"/>
        <v>0</v>
      </c>
      <c r="AE504" s="171">
        <f t="shared" si="52"/>
        <v>0</v>
      </c>
    </row>
    <row r="505" spans="1:31">
      <c r="A505" s="859" t="s">
        <v>737</v>
      </c>
      <c r="B505" s="856" t="s">
        <v>976</v>
      </c>
      <c r="R505" s="211">
        <f t="shared" si="51"/>
        <v>0</v>
      </c>
      <c r="AE505" s="171">
        <f t="shared" si="52"/>
        <v>0</v>
      </c>
    </row>
    <row r="506" spans="1:31">
      <c r="A506" s="859" t="s">
        <v>737</v>
      </c>
      <c r="B506" s="856" t="s">
        <v>976</v>
      </c>
      <c r="R506" s="211">
        <f t="shared" si="51"/>
        <v>0</v>
      </c>
      <c r="AE506" s="171">
        <f t="shared" si="52"/>
        <v>0</v>
      </c>
    </row>
    <row r="507" spans="1:31">
      <c r="A507" s="859" t="s">
        <v>737</v>
      </c>
      <c r="B507" s="856" t="s">
        <v>976</v>
      </c>
      <c r="R507" s="211">
        <f t="shared" si="51"/>
        <v>0</v>
      </c>
      <c r="AE507" s="171">
        <f t="shared" si="52"/>
        <v>0</v>
      </c>
    </row>
    <row r="508" spans="1:31">
      <c r="A508" s="859">
        <v>512.11</v>
      </c>
      <c r="B508" s="857" t="s">
        <v>976</v>
      </c>
      <c r="R508" s="211">
        <f t="shared" si="51"/>
        <v>0</v>
      </c>
      <c r="AE508" s="171">
        <f t="shared" si="52"/>
        <v>0</v>
      </c>
    </row>
    <row r="509" spans="1:31">
      <c r="A509" s="859" t="s">
        <v>741</v>
      </c>
      <c r="B509" s="856" t="s">
        <v>977</v>
      </c>
      <c r="R509" s="211">
        <f t="shared" si="51"/>
        <v>0</v>
      </c>
      <c r="AE509" s="171">
        <f t="shared" si="52"/>
        <v>0</v>
      </c>
    </row>
    <row r="510" spans="1:31">
      <c r="A510" s="859">
        <v>513.1</v>
      </c>
      <c r="B510" s="856" t="s">
        <v>977</v>
      </c>
      <c r="R510" s="211">
        <f t="shared" si="51"/>
        <v>0</v>
      </c>
      <c r="AE510" s="171">
        <f t="shared" si="52"/>
        <v>0</v>
      </c>
    </row>
    <row r="511" spans="1:31">
      <c r="A511" s="859">
        <v>514.1</v>
      </c>
      <c r="B511" s="856" t="s">
        <v>978</v>
      </c>
      <c r="R511" s="211">
        <f t="shared" si="51"/>
        <v>0</v>
      </c>
      <c r="AE511" s="171">
        <f t="shared" si="52"/>
        <v>0</v>
      </c>
    </row>
    <row r="512" spans="1:31">
      <c r="A512" s="859">
        <v>514.1</v>
      </c>
      <c r="B512" s="856" t="s">
        <v>978</v>
      </c>
      <c r="R512" s="211">
        <f t="shared" si="51"/>
        <v>0</v>
      </c>
      <c r="AE512" s="171">
        <f t="shared" si="52"/>
        <v>0</v>
      </c>
    </row>
    <row r="513" spans="1:31">
      <c r="A513" s="859">
        <v>514.1</v>
      </c>
      <c r="B513" s="856" t="s">
        <v>978</v>
      </c>
      <c r="R513" s="211">
        <f t="shared" si="51"/>
        <v>0</v>
      </c>
      <c r="AE513" s="171">
        <f t="shared" si="52"/>
        <v>0</v>
      </c>
    </row>
    <row r="514" spans="1:31">
      <c r="A514" s="859">
        <v>548.1</v>
      </c>
      <c r="B514" s="856" t="s">
        <v>979</v>
      </c>
      <c r="R514" s="211">
        <f t="shared" si="51"/>
        <v>0</v>
      </c>
      <c r="AE514" s="171">
        <f t="shared" si="52"/>
        <v>0</v>
      </c>
    </row>
    <row r="515" spans="1:31">
      <c r="A515" s="859" t="s">
        <v>83</v>
      </c>
      <c r="B515" s="856" t="s">
        <v>84</v>
      </c>
      <c r="R515" s="211">
        <f t="shared" si="51"/>
        <v>0</v>
      </c>
      <c r="AE515" s="171">
        <f t="shared" si="52"/>
        <v>0</v>
      </c>
    </row>
    <row r="516" spans="1:31">
      <c r="A516" s="859" t="s">
        <v>546</v>
      </c>
      <c r="B516" s="856" t="s">
        <v>89</v>
      </c>
      <c r="R516" s="211">
        <f t="shared" si="51"/>
        <v>0</v>
      </c>
      <c r="AE516" s="171">
        <f t="shared" si="52"/>
        <v>0</v>
      </c>
    </row>
    <row r="517" spans="1:31">
      <c r="A517" s="859" t="s">
        <v>548</v>
      </c>
      <c r="B517" s="856" t="s">
        <v>90</v>
      </c>
      <c r="R517" s="211">
        <f t="shared" si="51"/>
        <v>0</v>
      </c>
      <c r="AE517" s="171">
        <f t="shared" si="52"/>
        <v>0</v>
      </c>
    </row>
    <row r="518" spans="1:31">
      <c r="A518" s="859" t="s">
        <v>646</v>
      </c>
      <c r="B518" s="856" t="s">
        <v>91</v>
      </c>
      <c r="R518" s="211">
        <f t="shared" si="51"/>
        <v>0</v>
      </c>
      <c r="AE518" s="171">
        <f t="shared" si="52"/>
        <v>0</v>
      </c>
    </row>
    <row r="519" spans="1:31">
      <c r="A519" s="859" t="s">
        <v>92</v>
      </c>
      <c r="B519" s="856" t="s">
        <v>93</v>
      </c>
      <c r="R519" s="211">
        <f t="shared" si="51"/>
        <v>0</v>
      </c>
      <c r="AE519" s="171">
        <f t="shared" si="52"/>
        <v>0</v>
      </c>
    </row>
    <row r="520" spans="1:31">
      <c r="A520" s="859" t="s">
        <v>647</v>
      </c>
      <c r="B520" s="856" t="s">
        <v>94</v>
      </c>
      <c r="R520" s="211">
        <f t="shared" si="51"/>
        <v>0</v>
      </c>
      <c r="AE520" s="171">
        <f t="shared" si="52"/>
        <v>0</v>
      </c>
    </row>
    <row r="521" spans="1:31" s="569" customFormat="1">
      <c r="A521" s="859">
        <v>557.35</v>
      </c>
      <c r="B521" s="856" t="s">
        <v>1010</v>
      </c>
      <c r="E521" s="88"/>
      <c r="R521" s="211">
        <f t="shared" si="51"/>
        <v>0</v>
      </c>
      <c r="AE521" s="171">
        <f t="shared" si="52"/>
        <v>0</v>
      </c>
    </row>
    <row r="522" spans="1:31">
      <c r="A522" s="859" t="s">
        <v>744</v>
      </c>
      <c r="B522" s="856" t="s">
        <v>980</v>
      </c>
      <c r="R522" s="211">
        <f t="shared" si="51"/>
        <v>0</v>
      </c>
      <c r="AE522" s="171">
        <f t="shared" si="52"/>
        <v>0</v>
      </c>
    </row>
    <row r="523" spans="1:31">
      <c r="A523" s="859">
        <v>560.1</v>
      </c>
      <c r="B523" s="856" t="s">
        <v>980</v>
      </c>
      <c r="R523" s="211">
        <f t="shared" si="51"/>
        <v>0</v>
      </c>
      <c r="AE523" s="171">
        <f t="shared" si="52"/>
        <v>0</v>
      </c>
    </row>
    <row r="524" spans="1:31">
      <c r="A524" s="859" t="s">
        <v>746</v>
      </c>
      <c r="B524" s="856" t="s">
        <v>981</v>
      </c>
      <c r="R524" s="211">
        <f t="shared" si="51"/>
        <v>0</v>
      </c>
      <c r="AE524" s="171">
        <f t="shared" si="52"/>
        <v>0</v>
      </c>
    </row>
    <row r="525" spans="1:31">
      <c r="A525" s="859" t="s">
        <v>751</v>
      </c>
      <c r="B525" s="856" t="s">
        <v>982</v>
      </c>
      <c r="R525" s="211">
        <f t="shared" si="51"/>
        <v>0</v>
      </c>
      <c r="AE525" s="171">
        <f t="shared" si="52"/>
        <v>0</v>
      </c>
    </row>
    <row r="526" spans="1:31">
      <c r="A526" s="859">
        <v>561.1</v>
      </c>
      <c r="B526" s="856" t="s">
        <v>982</v>
      </c>
      <c r="R526" s="211">
        <f t="shared" si="51"/>
        <v>0</v>
      </c>
      <c r="AE526" s="171">
        <f t="shared" si="52"/>
        <v>0</v>
      </c>
    </row>
    <row r="527" spans="1:31">
      <c r="A527" s="859">
        <v>561.4</v>
      </c>
      <c r="B527" s="856" t="s">
        <v>869</v>
      </c>
      <c r="R527" s="211">
        <f t="shared" si="51"/>
        <v>0</v>
      </c>
      <c r="AE527" s="171">
        <f t="shared" si="52"/>
        <v>0</v>
      </c>
    </row>
    <row r="528" spans="1:31">
      <c r="A528" s="859">
        <v>561.79999999999995</v>
      </c>
      <c r="B528" s="856" t="s">
        <v>869</v>
      </c>
      <c r="R528" s="211">
        <f t="shared" si="51"/>
        <v>0</v>
      </c>
      <c r="AE528" s="171">
        <f t="shared" si="52"/>
        <v>0</v>
      </c>
    </row>
    <row r="529" spans="1:31">
      <c r="A529" s="859" t="s">
        <v>753</v>
      </c>
      <c r="B529" s="856" t="s">
        <v>983</v>
      </c>
      <c r="R529" s="211">
        <f t="shared" si="51"/>
        <v>0</v>
      </c>
      <c r="AE529" s="171">
        <f t="shared" si="52"/>
        <v>0</v>
      </c>
    </row>
    <row r="530" spans="1:31">
      <c r="A530" s="859">
        <v>562.1</v>
      </c>
      <c r="B530" s="856" t="s">
        <v>983</v>
      </c>
      <c r="R530" s="211">
        <f t="shared" si="51"/>
        <v>0</v>
      </c>
      <c r="AE530" s="171">
        <f t="shared" si="52"/>
        <v>0</v>
      </c>
    </row>
    <row r="531" spans="1:31">
      <c r="A531" s="859" t="s">
        <v>755</v>
      </c>
      <c r="B531" s="856" t="s">
        <v>984</v>
      </c>
      <c r="R531" s="211">
        <f t="shared" si="51"/>
        <v>0</v>
      </c>
      <c r="AE531" s="171">
        <f t="shared" si="52"/>
        <v>0</v>
      </c>
    </row>
    <row r="532" spans="1:31">
      <c r="A532" s="859">
        <v>563.1</v>
      </c>
      <c r="B532" s="856" t="s">
        <v>984</v>
      </c>
      <c r="R532" s="211">
        <f t="shared" si="51"/>
        <v>0</v>
      </c>
      <c r="AE532" s="171">
        <f t="shared" si="52"/>
        <v>0</v>
      </c>
    </row>
    <row r="533" spans="1:31">
      <c r="A533" s="859" t="s">
        <v>649</v>
      </c>
      <c r="B533" s="856" t="s">
        <v>99</v>
      </c>
      <c r="R533" s="211">
        <f t="shared" si="51"/>
        <v>0</v>
      </c>
      <c r="AE533" s="171">
        <f t="shared" si="52"/>
        <v>0</v>
      </c>
    </row>
    <row r="534" spans="1:31">
      <c r="A534" s="859" t="s">
        <v>757</v>
      </c>
      <c r="B534" s="856" t="s">
        <v>985</v>
      </c>
      <c r="R534" s="211">
        <f t="shared" si="51"/>
        <v>0</v>
      </c>
      <c r="AE534" s="171">
        <f t="shared" si="52"/>
        <v>0</v>
      </c>
    </row>
    <row r="535" spans="1:31">
      <c r="A535" s="859">
        <v>566.1</v>
      </c>
      <c r="B535" s="856" t="s">
        <v>985</v>
      </c>
      <c r="R535" s="211">
        <f t="shared" si="51"/>
        <v>0</v>
      </c>
      <c r="AE535" s="171">
        <f t="shared" si="52"/>
        <v>0</v>
      </c>
    </row>
    <row r="536" spans="1:31">
      <c r="A536" s="859" t="s">
        <v>794</v>
      </c>
      <c r="B536" s="856" t="s">
        <v>986</v>
      </c>
      <c r="R536" s="211">
        <f t="shared" si="51"/>
        <v>0</v>
      </c>
      <c r="AE536" s="171">
        <f t="shared" si="52"/>
        <v>0</v>
      </c>
    </row>
    <row r="537" spans="1:31">
      <c r="A537" s="859">
        <v>566.20000000000005</v>
      </c>
      <c r="B537" s="856" t="s">
        <v>986</v>
      </c>
      <c r="R537" s="211">
        <f t="shared" si="51"/>
        <v>0</v>
      </c>
      <c r="AE537" s="171">
        <f t="shared" si="52"/>
        <v>0</v>
      </c>
    </row>
    <row r="538" spans="1:31">
      <c r="A538" s="859" t="s">
        <v>100</v>
      </c>
      <c r="B538" s="856" t="s">
        <v>101</v>
      </c>
      <c r="R538" s="211">
        <f t="shared" si="51"/>
        <v>0</v>
      </c>
      <c r="AE538" s="171">
        <f t="shared" si="52"/>
        <v>0</v>
      </c>
    </row>
    <row r="539" spans="1:31">
      <c r="A539" s="859" t="s">
        <v>796</v>
      </c>
      <c r="B539" s="856" t="s">
        <v>987</v>
      </c>
      <c r="R539" s="211">
        <f t="shared" si="51"/>
        <v>0</v>
      </c>
      <c r="AE539" s="171">
        <f t="shared" si="52"/>
        <v>0</v>
      </c>
    </row>
    <row r="540" spans="1:31">
      <c r="A540" s="859">
        <v>568.1</v>
      </c>
      <c r="B540" s="856" t="s">
        <v>987</v>
      </c>
      <c r="R540" s="211">
        <f t="shared" si="51"/>
        <v>0</v>
      </c>
      <c r="AE540" s="171">
        <f t="shared" si="52"/>
        <v>0</v>
      </c>
    </row>
    <row r="541" spans="1:31">
      <c r="A541" s="859" t="s">
        <v>798</v>
      </c>
      <c r="B541" s="856" t="s">
        <v>988</v>
      </c>
      <c r="R541" s="211">
        <f t="shared" si="51"/>
        <v>0</v>
      </c>
      <c r="AE541" s="171">
        <f t="shared" si="52"/>
        <v>0</v>
      </c>
    </row>
    <row r="542" spans="1:31">
      <c r="A542" s="859" t="s">
        <v>102</v>
      </c>
      <c r="B542" s="856" t="s">
        <v>989</v>
      </c>
      <c r="R542" s="211">
        <f t="shared" si="51"/>
        <v>0</v>
      </c>
      <c r="AE542" s="171">
        <f t="shared" si="52"/>
        <v>0</v>
      </c>
    </row>
    <row r="543" spans="1:31">
      <c r="A543" s="859">
        <v>569.1</v>
      </c>
      <c r="B543" s="856" t="s">
        <v>989</v>
      </c>
      <c r="R543" s="211">
        <f t="shared" si="51"/>
        <v>0</v>
      </c>
      <c r="AE543" s="171">
        <f t="shared" si="52"/>
        <v>0</v>
      </c>
    </row>
    <row r="544" spans="1:31">
      <c r="A544" s="859" t="s">
        <v>800</v>
      </c>
      <c r="B544" s="856" t="s">
        <v>990</v>
      </c>
      <c r="R544" s="211">
        <f t="shared" si="51"/>
        <v>0</v>
      </c>
      <c r="AE544" s="171">
        <f t="shared" si="52"/>
        <v>0</v>
      </c>
    </row>
    <row r="545" spans="1:31">
      <c r="A545" s="859">
        <v>570.1</v>
      </c>
      <c r="B545" s="856" t="s">
        <v>990</v>
      </c>
      <c r="R545" s="211">
        <f t="shared" si="51"/>
        <v>0</v>
      </c>
      <c r="AE545" s="171">
        <f t="shared" si="52"/>
        <v>0</v>
      </c>
    </row>
    <row r="546" spans="1:31">
      <c r="A546" s="859" t="s">
        <v>802</v>
      </c>
      <c r="B546" s="856" t="s">
        <v>991</v>
      </c>
      <c r="R546" s="211">
        <f t="shared" si="51"/>
        <v>0</v>
      </c>
      <c r="AE546" s="171">
        <f t="shared" si="52"/>
        <v>0</v>
      </c>
    </row>
    <row r="547" spans="1:31">
      <c r="A547" s="859">
        <v>571.1</v>
      </c>
      <c r="B547" s="856" t="s">
        <v>991</v>
      </c>
      <c r="R547" s="211">
        <f t="shared" si="51"/>
        <v>0</v>
      </c>
      <c r="AE547" s="171">
        <f t="shared" si="52"/>
        <v>0</v>
      </c>
    </row>
    <row r="548" spans="1:31">
      <c r="A548" s="859" t="s">
        <v>804</v>
      </c>
      <c r="B548" s="856" t="s">
        <v>992</v>
      </c>
      <c r="R548" s="211">
        <f t="shared" si="51"/>
        <v>0</v>
      </c>
      <c r="AE548" s="171">
        <f t="shared" si="52"/>
        <v>0</v>
      </c>
    </row>
    <row r="549" spans="1:31">
      <c r="A549" s="859">
        <v>573.1</v>
      </c>
      <c r="B549" s="856" t="s">
        <v>992</v>
      </c>
      <c r="R549" s="211">
        <f t="shared" si="51"/>
        <v>0</v>
      </c>
      <c r="AE549" s="171">
        <f t="shared" si="52"/>
        <v>0</v>
      </c>
    </row>
    <row r="550" spans="1:31">
      <c r="A550" s="859" t="s">
        <v>806</v>
      </c>
      <c r="B550" s="856" t="s">
        <v>993</v>
      </c>
      <c r="R550" s="211">
        <f t="shared" si="51"/>
        <v>0</v>
      </c>
      <c r="AE550" s="171">
        <f t="shared" si="52"/>
        <v>0</v>
      </c>
    </row>
    <row r="551" spans="1:31">
      <c r="A551" s="859">
        <v>575.70000000000005</v>
      </c>
      <c r="B551" s="856" t="s">
        <v>870</v>
      </c>
      <c r="R551" s="211">
        <f t="shared" si="51"/>
        <v>0</v>
      </c>
      <c r="AE551" s="171">
        <f t="shared" si="52"/>
        <v>0</v>
      </c>
    </row>
    <row r="552" spans="1:31">
      <c r="A552" s="859" t="s">
        <v>808</v>
      </c>
      <c r="B552" s="856" t="s">
        <v>994</v>
      </c>
      <c r="R552" s="211">
        <f t="shared" si="51"/>
        <v>0</v>
      </c>
      <c r="AE552" s="171">
        <f t="shared" si="52"/>
        <v>0</v>
      </c>
    </row>
    <row r="553" spans="1:31">
      <c r="A553" s="859">
        <v>908.1</v>
      </c>
      <c r="B553" s="856" t="s">
        <v>994</v>
      </c>
      <c r="R553" s="211">
        <f t="shared" si="51"/>
        <v>0</v>
      </c>
      <c r="AE553" s="171">
        <f t="shared" si="52"/>
        <v>0</v>
      </c>
    </row>
    <row r="554" spans="1:31">
      <c r="A554" s="859">
        <v>909.1</v>
      </c>
      <c r="B554" s="856" t="s">
        <v>105</v>
      </c>
      <c r="R554" s="211">
        <f t="shared" si="51"/>
        <v>0</v>
      </c>
      <c r="AE554" s="171">
        <f t="shared" si="52"/>
        <v>0</v>
      </c>
    </row>
    <row r="555" spans="1:31">
      <c r="A555" s="859">
        <v>913.1</v>
      </c>
      <c r="B555" s="856" t="s">
        <v>106</v>
      </c>
      <c r="R555" s="211">
        <f t="shared" si="51"/>
        <v>0</v>
      </c>
      <c r="AE555" s="171">
        <f t="shared" si="52"/>
        <v>0</v>
      </c>
    </row>
    <row r="556" spans="1:31">
      <c r="A556" s="859" t="s">
        <v>810</v>
      </c>
      <c r="B556" s="856" t="s">
        <v>107</v>
      </c>
      <c r="R556" s="211">
        <f t="shared" si="51"/>
        <v>0</v>
      </c>
      <c r="AE556" s="171">
        <f t="shared" si="52"/>
        <v>0</v>
      </c>
    </row>
    <row r="557" spans="1:31">
      <c r="A557" s="859" t="s">
        <v>626</v>
      </c>
      <c r="B557" s="856" t="s">
        <v>108</v>
      </c>
      <c r="R557" s="211">
        <f t="shared" si="51"/>
        <v>0</v>
      </c>
      <c r="AE557" s="171">
        <f t="shared" si="52"/>
        <v>0</v>
      </c>
    </row>
    <row r="558" spans="1:31">
      <c r="A558" s="859" t="s">
        <v>628</v>
      </c>
      <c r="B558" s="856" t="s">
        <v>109</v>
      </c>
      <c r="R558" s="211">
        <f t="shared" si="51"/>
        <v>0</v>
      </c>
      <c r="AE558" s="171">
        <f t="shared" si="52"/>
        <v>0</v>
      </c>
    </row>
    <row r="559" spans="1:31">
      <c r="A559" s="859">
        <v>921.10500000000002</v>
      </c>
      <c r="B559" s="858" t="s">
        <v>995</v>
      </c>
      <c r="R559" s="211">
        <f t="shared" ref="R559:R568" si="53">SUM(F559:Q559)</f>
        <v>0</v>
      </c>
      <c r="AE559" s="171">
        <f t="shared" ref="AE559:AE568" si="54">SUM(S559:AD559)</f>
        <v>0</v>
      </c>
    </row>
    <row r="560" spans="1:31">
      <c r="A560" s="859" t="s">
        <v>637</v>
      </c>
      <c r="B560" s="856" t="s">
        <v>113</v>
      </c>
      <c r="R560" s="211">
        <f t="shared" si="53"/>
        <v>0</v>
      </c>
      <c r="AE560" s="171">
        <f t="shared" si="54"/>
        <v>0</v>
      </c>
    </row>
    <row r="561" spans="1:51">
      <c r="A561" s="859">
        <v>923.1</v>
      </c>
      <c r="B561" s="856" t="s">
        <v>113</v>
      </c>
      <c r="R561" s="211">
        <f t="shared" si="53"/>
        <v>0</v>
      </c>
      <c r="AE561" s="171">
        <f t="shared" si="54"/>
        <v>0</v>
      </c>
    </row>
    <row r="562" spans="1:51">
      <c r="A562" s="859" t="s">
        <v>114</v>
      </c>
      <c r="B562" s="856" t="s">
        <v>996</v>
      </c>
      <c r="R562" s="211">
        <f t="shared" si="53"/>
        <v>0</v>
      </c>
      <c r="AE562" s="171">
        <f t="shared" si="54"/>
        <v>0</v>
      </c>
    </row>
    <row r="563" spans="1:51">
      <c r="A563" s="859" t="s">
        <v>115</v>
      </c>
      <c r="B563" s="856" t="s">
        <v>997</v>
      </c>
      <c r="R563" s="211">
        <f t="shared" si="53"/>
        <v>0</v>
      </c>
      <c r="AE563" s="171">
        <f t="shared" si="54"/>
        <v>0</v>
      </c>
    </row>
    <row r="564" spans="1:51">
      <c r="A564" s="859">
        <v>926.1</v>
      </c>
      <c r="B564" s="856" t="s">
        <v>998</v>
      </c>
      <c r="R564" s="211">
        <f t="shared" si="53"/>
        <v>0</v>
      </c>
      <c r="AE564" s="171">
        <f t="shared" si="54"/>
        <v>0</v>
      </c>
    </row>
    <row r="565" spans="1:51">
      <c r="A565" s="859" t="s">
        <v>630</v>
      </c>
      <c r="B565" s="856" t="s">
        <v>120</v>
      </c>
      <c r="R565" s="211">
        <f t="shared" si="53"/>
        <v>0</v>
      </c>
      <c r="AE565" s="171">
        <f t="shared" si="54"/>
        <v>0</v>
      </c>
    </row>
    <row r="566" spans="1:51">
      <c r="A566" s="859">
        <v>930.2</v>
      </c>
      <c r="B566" s="856" t="s">
        <v>999</v>
      </c>
      <c r="R566" s="211">
        <f t="shared" si="53"/>
        <v>0</v>
      </c>
      <c r="AE566" s="171">
        <f t="shared" si="54"/>
        <v>0</v>
      </c>
    </row>
    <row r="567" spans="1:51">
      <c r="A567" s="859" t="s">
        <v>122</v>
      </c>
      <c r="B567" s="856" t="s">
        <v>123</v>
      </c>
      <c r="R567" s="211">
        <f t="shared" si="53"/>
        <v>0</v>
      </c>
      <c r="AE567" s="171">
        <f t="shared" si="54"/>
        <v>0</v>
      </c>
    </row>
    <row r="568" spans="1:51">
      <c r="A568" s="859">
        <v>935.1</v>
      </c>
      <c r="B568" s="856" t="s">
        <v>1000</v>
      </c>
      <c r="R568" s="211">
        <f t="shared" si="53"/>
        <v>0</v>
      </c>
      <c r="AE568" s="171">
        <f t="shared" si="54"/>
        <v>0</v>
      </c>
    </row>
    <row r="569" spans="1:51">
      <c r="A569" s="859">
        <v>935.1</v>
      </c>
      <c r="B569" s="856" t="s">
        <v>1000</v>
      </c>
      <c r="R569" s="211">
        <f t="shared" ref="R569:R571" si="55">SUM(F569:Q569)</f>
        <v>0</v>
      </c>
      <c r="AE569" s="171">
        <f t="shared" ref="AE569:AE571" si="56">SUM(S569:AD569)</f>
        <v>0</v>
      </c>
    </row>
    <row r="570" spans="1:51">
      <c r="R570" s="211"/>
      <c r="AE570" s="171"/>
    </row>
    <row r="571" spans="1:51">
      <c r="F571" s="78">
        <f t="shared" ref="F571:Q571" si="57">SUM(F433:F570)</f>
        <v>3.8203368402805554E-2</v>
      </c>
      <c r="G571" s="78">
        <f t="shared" si="57"/>
        <v>3.8203368402805554E-2</v>
      </c>
      <c r="H571" s="78">
        <f t="shared" si="57"/>
        <v>-1.200402207174057</v>
      </c>
      <c r="I571" s="78">
        <f t="shared" si="57"/>
        <v>1.2922440657193057E-2</v>
      </c>
      <c r="J571" s="78">
        <f t="shared" si="57"/>
        <v>3.7922440657193052E-2</v>
      </c>
      <c r="K571" s="78">
        <f t="shared" si="57"/>
        <v>3.7637755503109743E-2</v>
      </c>
      <c r="L571" s="78">
        <f t="shared" si="57"/>
        <v>3.7637755503109743E-2</v>
      </c>
      <c r="M571" s="78">
        <f t="shared" si="57"/>
        <v>2.9637755503109736E-2</v>
      </c>
      <c r="N571" s="78">
        <f t="shared" si="57"/>
        <v>3.7349262682693063E-2</v>
      </c>
      <c r="O571" s="78">
        <f t="shared" si="57"/>
        <v>3.7349262682693063E-2</v>
      </c>
      <c r="P571" s="78">
        <f t="shared" si="57"/>
        <v>3.7349262682693063E-2</v>
      </c>
      <c r="Q571" s="78">
        <f t="shared" si="57"/>
        <v>3.7056911272859733E-2</v>
      </c>
      <c r="R571" s="211">
        <f t="shared" si="55"/>
        <v>-0.81913262322379177</v>
      </c>
      <c r="S571" s="78">
        <f t="shared" ref="S571:AD571" si="58">SUM(S433:S570)</f>
        <v>3.7056911272859733E-2</v>
      </c>
      <c r="T571" s="78">
        <f t="shared" si="58"/>
        <v>3.7056911272859733E-2</v>
      </c>
      <c r="U571" s="78">
        <f t="shared" si="58"/>
        <v>-2.6696869008960573</v>
      </c>
      <c r="V571" s="78">
        <f t="shared" si="58"/>
        <v>3.6760649663943074E-2</v>
      </c>
      <c r="W571" s="78">
        <f t="shared" si="58"/>
        <v>3.6760649663943074E-2</v>
      </c>
      <c r="X571" s="78">
        <f t="shared" si="58"/>
        <v>3.6460425550776415E-2</v>
      </c>
      <c r="Y571" s="78">
        <f t="shared" si="58"/>
        <v>3.6460425550776415E-2</v>
      </c>
      <c r="Z571" s="78">
        <f t="shared" si="58"/>
        <v>3.6460425550776415E-2</v>
      </c>
      <c r="AA571" s="78">
        <f t="shared" si="58"/>
        <v>3.6156185941609742E-2</v>
      </c>
      <c r="AB571" s="78">
        <f t="shared" si="58"/>
        <v>3.6156185941609742E-2</v>
      </c>
      <c r="AC571" s="78">
        <f t="shared" si="58"/>
        <v>3.6156185941609742E-2</v>
      </c>
      <c r="AD571" s="78">
        <f t="shared" si="58"/>
        <v>3.5847877131359729E-2</v>
      </c>
      <c r="AE571" s="171">
        <f t="shared" si="56"/>
        <v>-2.2683540674139335</v>
      </c>
      <c r="AF571" s="78">
        <f t="shared" ref="AF571:AY571" si="59">SUM(AF433:AF570)</f>
        <v>-2.2011215304830158</v>
      </c>
      <c r="AG571" s="78">
        <f t="shared" si="59"/>
        <v>-2.1309892823099328</v>
      </c>
      <c r="AH571" s="78">
        <f t="shared" si="59"/>
        <v>-2.0575906874011838</v>
      </c>
      <c r="AI571" s="78">
        <f t="shared" si="59"/>
        <v>-1.9800710999525999</v>
      </c>
      <c r="AJ571" s="78">
        <f t="shared" si="59"/>
        <v>-1.8979696903839334</v>
      </c>
      <c r="AK571" s="78">
        <f t="shared" si="59"/>
        <v>-1.8105092394043498</v>
      </c>
      <c r="AL571" s="78">
        <f t="shared" si="59"/>
        <v>-1.717371460675517</v>
      </c>
      <c r="AM571" s="78">
        <f t="shared" si="59"/>
        <v>-1.6187173127016827</v>
      </c>
      <c r="AN571" s="78">
        <f t="shared" si="59"/>
        <v>-1.5138967500981</v>
      </c>
      <c r="AO571" s="78">
        <f t="shared" si="59"/>
        <v>-1.4028040212651003</v>
      </c>
      <c r="AP571" s="78">
        <f t="shared" si="59"/>
        <v>-1.2859364301329332</v>
      </c>
      <c r="AQ571" s="78">
        <f t="shared" si="59"/>
        <v>-1.1629551331295995</v>
      </c>
      <c r="AR571" s="78">
        <f t="shared" si="59"/>
        <v>-1.0335253244298503</v>
      </c>
      <c r="AS571" s="78">
        <f t="shared" si="59"/>
        <v>-0.89724800903126611</v>
      </c>
      <c r="AT571" s="78">
        <f t="shared" si="59"/>
        <v>-0.75011173911610007</v>
      </c>
      <c r="AU571" s="78">
        <f t="shared" si="59"/>
        <v>-0.59172430290868261</v>
      </c>
      <c r="AV571" s="78">
        <f t="shared" si="59"/>
        <v>-0.42533893563809916</v>
      </c>
      <c r="AW571" s="78">
        <f t="shared" si="59"/>
        <v>-0.24652141941761807</v>
      </c>
      <c r="AX571" s="78">
        <f t="shared" si="59"/>
        <v>-6.3112397602499454E-2</v>
      </c>
      <c r="AY571" s="78">
        <f t="shared" si="59"/>
        <v>0</v>
      </c>
    </row>
    <row r="576" spans="1:51">
      <c r="D576" s="54"/>
      <c r="E576" s="282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282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282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</row>
    <row r="577" spans="4:44">
      <c r="D577" s="54"/>
      <c r="E577" s="282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282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282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Y572"/>
  <sheetViews>
    <sheetView tabSelected="1" zoomScaleNormal="100" workbookViewId="0">
      <pane xSplit="3" ySplit="2" topLeftCell="M69" activePane="bottomRight" state="frozen"/>
      <selection activeCell="A433" sqref="A433:B569"/>
      <selection pane="topRight" activeCell="A433" sqref="A433:B569"/>
      <selection pane="bottomLeft" activeCell="A433" sqref="A433:B569"/>
      <selection pane="bottomRight" activeCell="Y83" sqref="Y83"/>
    </sheetView>
  </sheetViews>
  <sheetFormatPr defaultRowHeight="12.75"/>
  <cols>
    <col min="1" max="1" width="9.140625" customWidth="1"/>
    <col min="2" max="2" width="42.7109375" customWidth="1"/>
    <col min="3" max="3" width="11.5703125" customWidth="1"/>
    <col min="4" max="4" width="2.42578125" hidden="1" customWidth="1"/>
    <col min="5" max="5" width="7.7109375" hidden="1" customWidth="1"/>
    <col min="6" max="10" width="12.42578125" hidden="1" customWidth="1"/>
    <col min="11" max="11" width="12.42578125" customWidth="1"/>
    <col min="12" max="12" width="12.42578125" style="88" customWidth="1"/>
    <col min="13" max="23" width="9.42578125" customWidth="1"/>
    <col min="24" max="24" width="9.7109375" customWidth="1"/>
    <col min="25" max="25" width="9.42578125" style="88" customWidth="1"/>
    <col min="26" max="37" width="11.85546875" customWidth="1"/>
    <col min="38" max="38" width="11.85546875" style="88" customWidth="1"/>
    <col min="39" max="39" width="9.5703125" bestFit="1" customWidth="1"/>
    <col min="40" max="40" width="10.85546875" customWidth="1"/>
    <col min="41" max="49" width="9.5703125" bestFit="1" customWidth="1"/>
    <col min="50" max="51" width="9.5703125" style="547" bestFit="1" customWidth="1"/>
  </cols>
  <sheetData>
    <row r="1" spans="1:51">
      <c r="D1" s="180"/>
      <c r="E1" s="180"/>
      <c r="F1" s="180"/>
      <c r="G1" s="180"/>
      <c r="H1" s="180"/>
      <c r="I1" s="180"/>
      <c r="J1" s="180"/>
      <c r="K1" s="180"/>
      <c r="L1" s="181"/>
      <c r="M1" s="180">
        <f>'Stmts RUS'!G1</f>
        <v>2013</v>
      </c>
      <c r="N1" s="180">
        <f>'Stmts RUS'!H1</f>
        <v>2013</v>
      </c>
      <c r="O1" s="180">
        <f>'Stmts RUS'!I1</f>
        <v>2013</v>
      </c>
      <c r="P1" s="180">
        <f>'Stmts RUS'!J1</f>
        <v>2013</v>
      </c>
      <c r="Q1" s="180">
        <f>'Stmts RUS'!K1</f>
        <v>2013</v>
      </c>
      <c r="R1" s="180">
        <f>'Stmts RUS'!L1</f>
        <v>2013</v>
      </c>
      <c r="S1" s="180">
        <f>'Stmts RUS'!M1</f>
        <v>2013</v>
      </c>
      <c r="T1" s="180">
        <f>'Stmts RUS'!N1</f>
        <v>2013</v>
      </c>
      <c r="U1" s="180">
        <f>'Stmts RUS'!O1</f>
        <v>2013</v>
      </c>
      <c r="V1" s="180">
        <f>'Stmts RUS'!P1</f>
        <v>2013</v>
      </c>
      <c r="W1" s="180">
        <f>'Stmts RUS'!Q1</f>
        <v>2013</v>
      </c>
      <c r="X1" s="180">
        <f>'Stmts RUS'!R1</f>
        <v>2013</v>
      </c>
      <c r="Y1" s="181">
        <f>'Stmts RUS'!S1</f>
        <v>0</v>
      </c>
      <c r="Z1" s="180">
        <f>'Stmts RUS'!T1</f>
        <v>2014</v>
      </c>
      <c r="AA1" s="180">
        <f>'Stmts RUS'!U1</f>
        <v>2014</v>
      </c>
      <c r="AB1" s="180">
        <f>'Stmts RUS'!V1</f>
        <v>2014</v>
      </c>
      <c r="AC1" s="180">
        <f>'Stmts RUS'!W1</f>
        <v>2014</v>
      </c>
      <c r="AD1" s="180">
        <f>'Stmts RUS'!X1</f>
        <v>2014</v>
      </c>
      <c r="AE1" s="180">
        <f>'Stmts RUS'!Y1</f>
        <v>2014</v>
      </c>
      <c r="AF1" s="180">
        <f>'Stmts RUS'!Z1</f>
        <v>2014</v>
      </c>
      <c r="AG1" s="180">
        <f>'Stmts RUS'!AA1</f>
        <v>2014</v>
      </c>
      <c r="AH1" s="180">
        <f>'Stmts RUS'!AB1</f>
        <v>2014</v>
      </c>
      <c r="AI1" s="180">
        <f>'Stmts RUS'!AC1</f>
        <v>2014</v>
      </c>
      <c r="AJ1" s="180">
        <f>'Stmts RUS'!AD1</f>
        <v>2014</v>
      </c>
      <c r="AK1" s="180">
        <f>'Stmts RUS'!AE1</f>
        <v>2014</v>
      </c>
      <c r="AL1" s="181">
        <f>'Stmts RUS'!AF1</f>
        <v>0</v>
      </c>
    </row>
    <row r="2" spans="1:51">
      <c r="D2" s="180"/>
      <c r="E2" s="180"/>
      <c r="F2" s="180"/>
      <c r="G2" s="180"/>
      <c r="H2" s="180"/>
      <c r="I2" s="180"/>
      <c r="J2" s="180"/>
      <c r="K2" s="180"/>
      <c r="L2" s="181"/>
      <c r="M2" s="180" t="str">
        <f>'Stmts RUS'!G2</f>
        <v>January</v>
      </c>
      <c r="N2" s="180" t="str">
        <f>'Stmts RUS'!H2</f>
        <v>February</v>
      </c>
      <c r="O2" s="180" t="str">
        <f>'Stmts RUS'!I2</f>
        <v>March</v>
      </c>
      <c r="P2" s="180" t="str">
        <f>'Stmts RUS'!J2</f>
        <v>April</v>
      </c>
      <c r="Q2" s="180" t="str">
        <f>'Stmts RUS'!K2</f>
        <v>May</v>
      </c>
      <c r="R2" s="180" t="str">
        <f>'Stmts RUS'!L2</f>
        <v>June</v>
      </c>
      <c r="S2" s="180" t="str">
        <f>'Stmts RUS'!M2</f>
        <v>July</v>
      </c>
      <c r="T2" s="180" t="str">
        <f>'Stmts RUS'!N2</f>
        <v>August</v>
      </c>
      <c r="U2" s="180" t="str">
        <f>'Stmts RUS'!O2</f>
        <v>September</v>
      </c>
      <c r="V2" s="180" t="str">
        <f>'Stmts RUS'!P2</f>
        <v>October</v>
      </c>
      <c r="W2" s="180" t="str">
        <f>'Stmts RUS'!Q2</f>
        <v>November</v>
      </c>
      <c r="X2" s="180" t="str">
        <f>'Stmts RUS'!R2</f>
        <v>December</v>
      </c>
      <c r="Y2" s="181">
        <f>'Stmts RUS'!S2</f>
        <v>2013</v>
      </c>
      <c r="Z2" s="180" t="str">
        <f>'Stmts RUS'!T2</f>
        <v>January</v>
      </c>
      <c r="AA2" s="180" t="str">
        <f>'Stmts RUS'!U2</f>
        <v>February</v>
      </c>
      <c r="AB2" s="180" t="str">
        <f>'Stmts RUS'!V2</f>
        <v>March</v>
      </c>
      <c r="AC2" s="180" t="str">
        <f>'Stmts RUS'!W2</f>
        <v>April</v>
      </c>
      <c r="AD2" s="180" t="str">
        <f>'Stmts RUS'!X2</f>
        <v>May</v>
      </c>
      <c r="AE2" s="180" t="str">
        <f>'Stmts RUS'!Y2</f>
        <v>June</v>
      </c>
      <c r="AF2" s="180" t="str">
        <f>'Stmts RUS'!Z2</f>
        <v>July</v>
      </c>
      <c r="AG2" s="180" t="str">
        <f>'Stmts RUS'!AA2</f>
        <v>August</v>
      </c>
      <c r="AH2" s="180" t="str">
        <f>'Stmts RUS'!AB2</f>
        <v>September</v>
      </c>
      <c r="AI2" s="180" t="str">
        <f>'Stmts RUS'!AC2</f>
        <v>October</v>
      </c>
      <c r="AJ2" s="180" t="str">
        <f>'Stmts RUS'!AD2</f>
        <v>November</v>
      </c>
      <c r="AK2" s="180" t="str">
        <f>'Stmts RUS'!AE2</f>
        <v>December</v>
      </c>
      <c r="AL2" s="181">
        <f>'Stmts RUS'!AF2</f>
        <v>2014</v>
      </c>
      <c r="AM2" s="208">
        <f>'Stmts RUS'!AG2</f>
        <v>2015</v>
      </c>
      <c r="AN2" s="208">
        <f>'Stmts RUS'!AH2</f>
        <v>2016</v>
      </c>
      <c r="AO2" s="208">
        <f>'Stmts RUS'!AI2</f>
        <v>2017</v>
      </c>
      <c r="AP2" s="208">
        <f>'Stmts RUS'!AJ2</f>
        <v>2018</v>
      </c>
      <c r="AQ2" s="208">
        <f>'Stmts RUS'!AK2</f>
        <v>2019</v>
      </c>
      <c r="AR2" s="208">
        <f>'Stmts RUS'!AL2</f>
        <v>2020</v>
      </c>
      <c r="AS2" s="208">
        <f>'Stmts RUS'!AM2</f>
        <v>2021</v>
      </c>
      <c r="AT2" s="208">
        <f>'Stmts RUS'!AN2</f>
        <v>2022</v>
      </c>
      <c r="AU2" s="208">
        <f>'Stmts RUS'!AO2</f>
        <v>2023</v>
      </c>
      <c r="AV2" s="208">
        <f>'Stmts RUS'!AP2</f>
        <v>2024</v>
      </c>
      <c r="AW2" s="208">
        <f>'Stmts RUS'!AQ2</f>
        <v>2025</v>
      </c>
      <c r="AX2" s="905"/>
      <c r="AY2" s="905"/>
    </row>
    <row r="3" spans="1:51">
      <c r="C3" t="s">
        <v>85</v>
      </c>
      <c r="D3" s="1"/>
      <c r="E3" s="1"/>
      <c r="F3" s="1"/>
      <c r="G3" s="1"/>
      <c r="H3" s="1"/>
      <c r="I3" s="1"/>
      <c r="J3" s="1"/>
      <c r="K3" s="1"/>
      <c r="L3" s="169"/>
      <c r="M3" s="1">
        <f t="shared" ref="M3:W3" si="0">N3</f>
        <v>365</v>
      </c>
      <c r="N3" s="1">
        <f t="shared" si="0"/>
        <v>365</v>
      </c>
      <c r="O3" s="1">
        <f t="shared" si="0"/>
        <v>365</v>
      </c>
      <c r="P3" s="1">
        <f t="shared" si="0"/>
        <v>365</v>
      </c>
      <c r="Q3" s="1">
        <f t="shared" si="0"/>
        <v>365</v>
      </c>
      <c r="R3" s="1">
        <f t="shared" si="0"/>
        <v>365</v>
      </c>
      <c r="S3" s="1">
        <f t="shared" si="0"/>
        <v>365</v>
      </c>
      <c r="T3" s="1">
        <f t="shared" si="0"/>
        <v>365</v>
      </c>
      <c r="U3" s="1">
        <f t="shared" si="0"/>
        <v>365</v>
      </c>
      <c r="V3" s="1">
        <f t="shared" si="0"/>
        <v>365</v>
      </c>
      <c r="W3" s="1">
        <f t="shared" si="0"/>
        <v>365</v>
      </c>
      <c r="X3" s="1">
        <f>Y3</f>
        <v>365</v>
      </c>
      <c r="Y3" s="169">
        <f>Y4</f>
        <v>365</v>
      </c>
      <c r="Z3" s="1">
        <f t="shared" ref="Z3:AJ3" si="1">AA3</f>
        <v>365</v>
      </c>
      <c r="AA3" s="1">
        <f t="shared" si="1"/>
        <v>365</v>
      </c>
      <c r="AB3" s="1">
        <f t="shared" si="1"/>
        <v>365</v>
      </c>
      <c r="AC3" s="1">
        <f t="shared" si="1"/>
        <v>365</v>
      </c>
      <c r="AD3" s="1">
        <f t="shared" si="1"/>
        <v>365</v>
      </c>
      <c r="AE3" s="1">
        <f t="shared" si="1"/>
        <v>365</v>
      </c>
      <c r="AF3" s="1">
        <f t="shared" si="1"/>
        <v>365</v>
      </c>
      <c r="AG3" s="1">
        <f t="shared" si="1"/>
        <v>365</v>
      </c>
      <c r="AH3" s="1">
        <f t="shared" si="1"/>
        <v>365</v>
      </c>
      <c r="AI3" s="1">
        <f t="shared" si="1"/>
        <v>365</v>
      </c>
      <c r="AJ3" s="1">
        <f t="shared" si="1"/>
        <v>365</v>
      </c>
      <c r="AK3" s="1">
        <f>AL3</f>
        <v>365</v>
      </c>
      <c r="AL3" s="169">
        <f>AL4</f>
        <v>365</v>
      </c>
      <c r="AM3">
        <f>PCM!AN4</f>
        <v>365</v>
      </c>
      <c r="AN3">
        <f>PCM!AO4</f>
        <v>366</v>
      </c>
      <c r="AO3">
        <f>PCM!AP4</f>
        <v>365</v>
      </c>
      <c r="AP3">
        <f>PCM!AQ4</f>
        <v>365</v>
      </c>
      <c r="AQ3">
        <f>PCM!AR4</f>
        <v>365</v>
      </c>
      <c r="AR3">
        <f>PCM!AS4</f>
        <v>366</v>
      </c>
      <c r="AS3">
        <f>PCM!AT4</f>
        <v>365</v>
      </c>
      <c r="AT3">
        <f>PCM!AU4</f>
        <v>365</v>
      </c>
      <c r="AU3">
        <f>PCM!AV4</f>
        <v>365</v>
      </c>
      <c r="AV3">
        <f>PCM!AW4</f>
        <v>366</v>
      </c>
      <c r="AW3">
        <f>PCM!AX4</f>
        <v>365</v>
      </c>
    </row>
    <row r="4" spans="1:51">
      <c r="C4" t="s">
        <v>86</v>
      </c>
      <c r="D4" s="1"/>
      <c r="E4" s="1"/>
      <c r="F4" s="1"/>
      <c r="G4" s="1"/>
      <c r="H4" s="1"/>
      <c r="I4" s="1"/>
      <c r="J4" s="1"/>
      <c r="K4" s="1"/>
      <c r="L4" s="169"/>
      <c r="M4" s="1">
        <v>31</v>
      </c>
      <c r="N4" s="1">
        <v>28</v>
      </c>
      <c r="O4" s="1">
        <v>31</v>
      </c>
      <c r="P4" s="1">
        <v>30</v>
      </c>
      <c r="Q4" s="1">
        <v>31</v>
      </c>
      <c r="R4" s="1">
        <v>30</v>
      </c>
      <c r="S4" s="1">
        <v>31</v>
      </c>
      <c r="T4" s="1">
        <v>31</v>
      </c>
      <c r="U4" s="1">
        <v>30</v>
      </c>
      <c r="V4" s="1">
        <v>31</v>
      </c>
      <c r="W4" s="1">
        <v>30</v>
      </c>
      <c r="X4" s="1">
        <v>31</v>
      </c>
      <c r="Y4" s="169">
        <f>SUM(M4:X4)</f>
        <v>365</v>
      </c>
      <c r="Z4" s="1">
        <v>31</v>
      </c>
      <c r="AA4" s="1">
        <v>28</v>
      </c>
      <c r="AB4" s="1">
        <v>31</v>
      </c>
      <c r="AC4" s="1">
        <v>30</v>
      </c>
      <c r="AD4" s="1">
        <v>31</v>
      </c>
      <c r="AE4" s="1">
        <v>30</v>
      </c>
      <c r="AF4" s="1">
        <v>31</v>
      </c>
      <c r="AG4" s="1">
        <v>31</v>
      </c>
      <c r="AH4" s="1">
        <v>30</v>
      </c>
      <c r="AI4" s="1">
        <v>31</v>
      </c>
      <c r="AJ4" s="1">
        <v>30</v>
      </c>
      <c r="AK4" s="1">
        <v>31</v>
      </c>
      <c r="AL4" s="169">
        <f>SUM(Z4:AK4)</f>
        <v>365</v>
      </c>
    </row>
    <row r="5" spans="1:51">
      <c r="A5" s="6"/>
      <c r="B5" t="s">
        <v>132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89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8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837"/>
      <c r="AY5" s="837"/>
    </row>
    <row r="6" spans="1:51" s="13" customFormat="1">
      <c r="A6" s="56"/>
      <c r="L6" s="88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89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89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31"/>
      <c r="AY6" s="31"/>
    </row>
    <row r="7" spans="1:51" s="13" customFormat="1">
      <c r="A7" s="56"/>
      <c r="B7" s="257" t="s">
        <v>133</v>
      </c>
      <c r="D7" s="23"/>
      <c r="E7" s="23"/>
      <c r="F7" s="23"/>
      <c r="G7" s="23"/>
      <c r="H7" s="23"/>
      <c r="I7" s="23"/>
      <c r="J7" s="23"/>
      <c r="K7" s="23"/>
      <c r="L7" s="89"/>
      <c r="M7" s="465">
        <f>PCM!N6</f>
        <v>0.24920700000000001</v>
      </c>
      <c r="N7" s="465">
        <f>PCM!O6</f>
        <v>0.20802899999999999</v>
      </c>
      <c r="O7" s="465">
        <f>PCM!P6</f>
        <v>0.18765899999999999</v>
      </c>
      <c r="P7" s="465">
        <f>PCM!Q6</f>
        <v>0.14787700000000001</v>
      </c>
      <c r="Q7" s="465">
        <f>PCM!R6</f>
        <v>0.165188</v>
      </c>
      <c r="R7" s="465">
        <f>PCM!S6</f>
        <v>0.21676000000000001</v>
      </c>
      <c r="S7" s="465">
        <f>PCM!T6</f>
        <v>0.24324599999999999</v>
      </c>
      <c r="T7" s="465">
        <f>PCM!U6</f>
        <v>0.23417299999999999</v>
      </c>
      <c r="U7" s="465">
        <f>PCM!V6</f>
        <v>0.178893</v>
      </c>
      <c r="V7" s="465">
        <f>PCM!W6</f>
        <v>0.153974</v>
      </c>
      <c r="W7" s="465">
        <f>PCM!X6</f>
        <v>0.17926300000000001</v>
      </c>
      <c r="X7" s="465">
        <f>PCM!Y6</f>
        <v>0.245561</v>
      </c>
      <c r="Y7" s="615">
        <f>PCM!Z6</f>
        <v>2.4098299999999999</v>
      </c>
      <c r="Z7" s="465">
        <f>PCM!AA6</f>
        <v>0.253218</v>
      </c>
      <c r="AA7" s="465">
        <f>PCM!AB6</f>
        <v>0.21137600000000001</v>
      </c>
      <c r="AB7" s="465">
        <f>PCM!AC6</f>
        <v>0.190689</v>
      </c>
      <c r="AC7" s="465">
        <f>PCM!AD6</f>
        <v>0.15026999999999999</v>
      </c>
      <c r="AD7" s="465">
        <f>PCM!AE6</f>
        <v>0.16786699999999999</v>
      </c>
      <c r="AE7" s="465">
        <f>PCM!AF6</f>
        <v>0.220279</v>
      </c>
      <c r="AF7" s="465">
        <f>PCM!AG6</f>
        <v>0.247192</v>
      </c>
      <c r="AG7" s="465">
        <f>PCM!AH6</f>
        <v>0.23797499999999999</v>
      </c>
      <c r="AH7" s="465">
        <f>PCM!AI6</f>
        <v>0.18179500000000001</v>
      </c>
      <c r="AI7" s="465">
        <f>PCM!AJ6</f>
        <v>0.15646599999999999</v>
      </c>
      <c r="AJ7" s="465">
        <f>PCM!AK6</f>
        <v>0.18215799999999999</v>
      </c>
      <c r="AK7" s="465">
        <f>PCM!AL6</f>
        <v>0.24950900000000001</v>
      </c>
      <c r="AL7" s="615">
        <f>PCM!AM6</f>
        <v>2.4487940000000004</v>
      </c>
      <c r="AM7" s="465">
        <f>PCM!AN6</f>
        <v>2.4796559999999999</v>
      </c>
      <c r="AN7" s="465">
        <f>PCM!AO6</f>
        <v>2.5194369999999999</v>
      </c>
      <c r="AO7" s="465">
        <f>PCM!AP6</f>
        <v>2.55653560136389</v>
      </c>
      <c r="AP7" s="465">
        <f>PCM!AQ6</f>
        <v>2.5840164926056484</v>
      </c>
      <c r="AQ7" s="465">
        <f>PCM!AR6</f>
        <v>2.6114033762574791</v>
      </c>
      <c r="AR7" s="465">
        <f>PCM!AS6</f>
        <v>2.6456058149199584</v>
      </c>
      <c r="AS7" s="465">
        <f>PCM!AT6</f>
        <v>2.6807658009380657</v>
      </c>
      <c r="AT7" s="465">
        <f>PCM!AU6</f>
        <v>2.7170675413719576</v>
      </c>
      <c r="AU7" s="465">
        <f>PCM!AV6</f>
        <v>2.7541360305730471</v>
      </c>
      <c r="AV7" s="465">
        <f>PCM!AW6</f>
        <v>2.7921748894342926</v>
      </c>
      <c r="AW7" s="465">
        <f>PCM!AX6</f>
        <v>2.8299003046090974</v>
      </c>
      <c r="AX7" s="929"/>
      <c r="AY7" s="929"/>
    </row>
    <row r="8" spans="1:51" s="13" customFormat="1">
      <c r="A8" s="56"/>
      <c r="B8" s="257" t="s">
        <v>134</v>
      </c>
      <c r="D8" s="23"/>
      <c r="E8" s="23"/>
      <c r="F8" s="23"/>
      <c r="G8" s="23"/>
      <c r="H8" s="23"/>
      <c r="I8" s="23"/>
      <c r="J8" s="23"/>
      <c r="K8" s="23"/>
      <c r="L8" s="89"/>
      <c r="M8" s="465">
        <f>PCM!N7</f>
        <v>7.8513283399999981E-2</v>
      </c>
      <c r="N8" s="465">
        <f>PCM!O7</f>
        <v>7.4303305599999994E-2</v>
      </c>
      <c r="O8" s="465">
        <f>PCM!P7</f>
        <v>8.0396085200000023E-2</v>
      </c>
      <c r="P8" s="465">
        <f>PCM!Q7</f>
        <v>7.7222507999999981E-2</v>
      </c>
      <c r="Q8" s="465">
        <f>PCM!R7</f>
        <v>7.9017435200000014E-2</v>
      </c>
      <c r="R8" s="465">
        <f>PCM!S7</f>
        <v>7.6864135999999986E-2</v>
      </c>
      <c r="S8" s="465">
        <f>PCM!T7</f>
        <v>8.2963563200000021E-2</v>
      </c>
      <c r="T8" s="465">
        <f>PCM!U7</f>
        <v>8.2164623199999981E-2</v>
      </c>
      <c r="U8" s="465">
        <f>PCM!V7</f>
        <v>7.6809088999999997E-2</v>
      </c>
      <c r="V8" s="465">
        <f>PCM!W7</f>
        <v>7.8868982199999993E-2</v>
      </c>
      <c r="W8" s="465">
        <f>PCM!X7</f>
        <v>7.6925885999999999E-2</v>
      </c>
      <c r="X8" s="465">
        <f>PCM!Y7</f>
        <v>7.89785452E-2</v>
      </c>
      <c r="Y8" s="615">
        <f>PCM!Z7</f>
        <v>0.94302744219999979</v>
      </c>
      <c r="Z8" s="465">
        <f>PCM!AA7</f>
        <v>7.9184520199999997E-2</v>
      </c>
      <c r="AA8" s="465">
        <f>PCM!AB7</f>
        <v>7.4303305599999994E-2</v>
      </c>
      <c r="AB8" s="465">
        <f>PCM!AC7</f>
        <v>8.0396085200000023E-2</v>
      </c>
      <c r="AC8" s="465">
        <f>PCM!AD7</f>
        <v>7.7222507999999981E-2</v>
      </c>
      <c r="AD8" s="465">
        <f>PCM!AE7</f>
        <v>7.9017435200000014E-2</v>
      </c>
      <c r="AE8" s="465">
        <f>PCM!AF7</f>
        <v>7.6864135999999986E-2</v>
      </c>
      <c r="AF8" s="465">
        <f>PCM!AG7</f>
        <v>8.2963563200000021E-2</v>
      </c>
      <c r="AG8" s="465">
        <f>PCM!AH7</f>
        <v>8.2164623199999981E-2</v>
      </c>
      <c r="AH8" s="465">
        <f>PCM!AI7</f>
        <v>7.6809088999999997E-2</v>
      </c>
      <c r="AI8" s="465">
        <f>PCM!AJ7</f>
        <v>7.8868982199999993E-2</v>
      </c>
      <c r="AJ8" s="465">
        <f>PCM!AK7</f>
        <v>7.6925885999999999E-2</v>
      </c>
      <c r="AK8" s="465">
        <f>PCM!AL7</f>
        <v>7.89785452E-2</v>
      </c>
      <c r="AL8" s="615">
        <f>PCM!AM7</f>
        <v>0.94369867899999971</v>
      </c>
      <c r="AM8" s="465">
        <f>PCM!AN7</f>
        <v>0.94369867900000004</v>
      </c>
      <c r="AN8" s="465">
        <f>PCM!AO7</f>
        <v>0.9441065782000001</v>
      </c>
      <c r="AO8" s="465">
        <f>PCM!AP7</f>
        <v>0.94369867900000015</v>
      </c>
      <c r="AP8" s="465">
        <f>PCM!AQ7</f>
        <v>0.94369867900000015</v>
      </c>
      <c r="AQ8" s="465">
        <f>PCM!AR7</f>
        <v>0.94369867900000015</v>
      </c>
      <c r="AR8" s="465">
        <f>PCM!AS7</f>
        <v>0.9441065782000001</v>
      </c>
      <c r="AS8" s="465">
        <f>PCM!AT7</f>
        <v>0.94369867900000015</v>
      </c>
      <c r="AT8" s="465">
        <f>PCM!AU7</f>
        <v>0.94369867900000015</v>
      </c>
      <c r="AU8" s="465">
        <f>PCM!AV7</f>
        <v>0.94369867900000015</v>
      </c>
      <c r="AV8" s="465">
        <f>PCM!AW7</f>
        <v>0.9441065782000001</v>
      </c>
      <c r="AW8" s="465">
        <f>PCM!AX7</f>
        <v>0.94369867900000015</v>
      </c>
      <c r="AX8" s="929"/>
      <c r="AY8" s="929"/>
    </row>
    <row r="9" spans="1:51" s="13" customFormat="1">
      <c r="A9" s="56"/>
      <c r="B9" s="257" t="s">
        <v>135</v>
      </c>
      <c r="D9" s="23"/>
      <c r="E9" s="23"/>
      <c r="F9" s="23"/>
      <c r="G9" s="23"/>
      <c r="H9" s="23"/>
      <c r="I9" s="23"/>
      <c r="J9" s="23"/>
      <c r="K9" s="23"/>
      <c r="L9" s="89"/>
      <c r="M9" s="465">
        <f>PCM!N8</f>
        <v>0.35143583999999994</v>
      </c>
      <c r="N9" s="465">
        <f>PCM!O8</f>
        <v>0.31742591999999997</v>
      </c>
      <c r="O9" s="465">
        <f>PCM!P8</f>
        <v>0.35143583999999994</v>
      </c>
      <c r="P9" s="465">
        <f>PCM!Q8</f>
        <v>0.34009919999999999</v>
      </c>
      <c r="Q9" s="465">
        <f>PCM!R8</f>
        <v>0.35143583999999994</v>
      </c>
      <c r="R9" s="465">
        <f>PCM!S8</f>
        <v>0.34009919999999999</v>
      </c>
      <c r="S9" s="465">
        <f>PCM!T8</f>
        <v>0.35143583999999994</v>
      </c>
      <c r="T9" s="465">
        <f>PCM!U8</f>
        <v>0.21539615999999998</v>
      </c>
      <c r="U9" s="465">
        <f>PCM!V8</f>
        <v>0</v>
      </c>
      <c r="V9" s="465">
        <f>PCM!W8</f>
        <v>0</v>
      </c>
      <c r="W9" s="465">
        <f>PCM!X8</f>
        <v>0</v>
      </c>
      <c r="X9" s="465">
        <f>PCM!Y8</f>
        <v>0</v>
      </c>
      <c r="Y9" s="615">
        <f>PCM!Z8</f>
        <v>2.6187638399999997</v>
      </c>
      <c r="Z9" s="465">
        <f>PCM!AA8</f>
        <v>0</v>
      </c>
      <c r="AA9" s="465">
        <f>PCM!AB8</f>
        <v>0</v>
      </c>
      <c r="AB9" s="465">
        <f>PCM!AC8</f>
        <v>0</v>
      </c>
      <c r="AC9" s="465">
        <f>PCM!AD8</f>
        <v>0</v>
      </c>
      <c r="AD9" s="465">
        <f>PCM!AE8</f>
        <v>0</v>
      </c>
      <c r="AE9" s="465">
        <f>PCM!AF8</f>
        <v>0</v>
      </c>
      <c r="AF9" s="465">
        <f>PCM!AG8</f>
        <v>0</v>
      </c>
      <c r="AG9" s="465">
        <f>PCM!AH8</f>
        <v>0</v>
      </c>
      <c r="AH9" s="465">
        <f>PCM!AI8</f>
        <v>0</v>
      </c>
      <c r="AI9" s="465">
        <f>PCM!AJ8</f>
        <v>0</v>
      </c>
      <c r="AJ9" s="465">
        <f>PCM!AK8</f>
        <v>0</v>
      </c>
      <c r="AK9" s="465">
        <f>PCM!AL8</f>
        <v>0</v>
      </c>
      <c r="AL9" s="615">
        <f>PCM!AM8</f>
        <v>0</v>
      </c>
      <c r="AM9" s="465">
        <f>PCM!AN8</f>
        <v>0</v>
      </c>
      <c r="AN9" s="465">
        <f>PCM!AO8</f>
        <v>0</v>
      </c>
      <c r="AO9" s="465">
        <f>PCM!AP8</f>
        <v>0</v>
      </c>
      <c r="AP9" s="465">
        <f>PCM!AQ8</f>
        <v>0</v>
      </c>
      <c r="AQ9" s="465">
        <f>PCM!AR8</f>
        <v>0</v>
      </c>
      <c r="AR9" s="465">
        <f>PCM!AS8</f>
        <v>0</v>
      </c>
      <c r="AS9" s="465">
        <f>PCM!AT8</f>
        <v>0</v>
      </c>
      <c r="AT9" s="465">
        <f>PCM!AU8</f>
        <v>0</v>
      </c>
      <c r="AU9" s="465">
        <f>PCM!AV8</f>
        <v>0</v>
      </c>
      <c r="AV9" s="465">
        <f>PCM!AW8</f>
        <v>0</v>
      </c>
      <c r="AW9" s="465">
        <f>PCM!AX8</f>
        <v>0</v>
      </c>
      <c r="AX9" s="929"/>
      <c r="AY9" s="929"/>
    </row>
    <row r="10" spans="1:51" s="13" customFormat="1">
      <c r="A10" s="56"/>
      <c r="B10" s="257" t="s">
        <v>136</v>
      </c>
      <c r="D10" s="23"/>
      <c r="E10" s="23"/>
      <c r="F10" s="23"/>
      <c r="G10" s="23"/>
      <c r="H10" s="23"/>
      <c r="I10" s="23"/>
      <c r="J10" s="23"/>
      <c r="K10" s="23"/>
      <c r="L10" s="89"/>
      <c r="M10" s="465">
        <f>PCM!N9</f>
        <v>0.27560735999999997</v>
      </c>
      <c r="N10" s="465">
        <f>PCM!O9</f>
        <v>0.24893567999999999</v>
      </c>
      <c r="O10" s="465">
        <f>PCM!P9</f>
        <v>0.27560735999999997</v>
      </c>
      <c r="P10" s="465">
        <f>PCM!Q9</f>
        <v>0.26671679999999998</v>
      </c>
      <c r="Q10" s="465">
        <f>PCM!R9</f>
        <v>0.27560735999999997</v>
      </c>
      <c r="R10" s="465">
        <f>PCM!S9</f>
        <v>0.26671679999999998</v>
      </c>
      <c r="S10" s="465">
        <f>PCM!T9</f>
        <v>0.26831615999999997</v>
      </c>
      <c r="T10" s="465">
        <f>PCM!U9</f>
        <v>0.26831615999999997</v>
      </c>
      <c r="U10" s="465">
        <f>PCM!V9</f>
        <v>0.25966079999999997</v>
      </c>
      <c r="V10" s="465">
        <f>PCM!W9</f>
        <v>0.26831615999999997</v>
      </c>
      <c r="W10" s="465">
        <f>PCM!X9</f>
        <v>0.25966079999999997</v>
      </c>
      <c r="X10" s="465">
        <f>PCM!Y9</f>
        <v>0.26831615999999997</v>
      </c>
      <c r="Y10" s="615">
        <f>PCM!Z9</f>
        <v>3.2017775999999993</v>
      </c>
      <c r="Z10" s="465">
        <f>PCM!AA9</f>
        <v>0.26831615999999997</v>
      </c>
      <c r="AA10" s="465">
        <f>PCM!AB9</f>
        <v>0.24235008</v>
      </c>
      <c r="AB10" s="465">
        <f>PCM!AC9</f>
        <v>0.26831615999999997</v>
      </c>
      <c r="AC10" s="465">
        <f>PCM!AD9</f>
        <v>0.25966079999999997</v>
      </c>
      <c r="AD10" s="465">
        <f>PCM!AE9</f>
        <v>0.26831615999999997</v>
      </c>
      <c r="AE10" s="465">
        <f>PCM!AF9</f>
        <v>0.25966079999999997</v>
      </c>
      <c r="AF10" s="465">
        <f>PCM!AG9</f>
        <v>0.26831615999999997</v>
      </c>
      <c r="AG10" s="465">
        <f>PCM!AH9</f>
        <v>0.26831615999999997</v>
      </c>
      <c r="AH10" s="465">
        <f>PCM!AI9</f>
        <v>0.25966079999999997</v>
      </c>
      <c r="AI10" s="465">
        <f>PCM!AJ9</f>
        <v>0.26831615999999997</v>
      </c>
      <c r="AJ10" s="465">
        <f>PCM!AK9</f>
        <v>0.25966079999999997</v>
      </c>
      <c r="AK10" s="465">
        <f>PCM!AL9</f>
        <v>0.26831615999999997</v>
      </c>
      <c r="AL10" s="615">
        <f>PCM!AM9</f>
        <v>3.1592063999999991</v>
      </c>
      <c r="AM10" s="465">
        <f>PCM!AN9</f>
        <v>3.1592064</v>
      </c>
      <c r="AN10" s="465">
        <f>PCM!AO9</f>
        <v>3.1678617599999996</v>
      </c>
      <c r="AO10" s="465">
        <f>PCM!AP9</f>
        <v>3.1592064</v>
      </c>
      <c r="AP10" s="465">
        <f>PCM!AQ9</f>
        <v>3.1592064</v>
      </c>
      <c r="AQ10" s="465">
        <f>PCM!AR9</f>
        <v>3.1592064</v>
      </c>
      <c r="AR10" s="465">
        <f>PCM!AS9</f>
        <v>3.1678617599999996</v>
      </c>
      <c r="AS10" s="465">
        <f>PCM!AT9</f>
        <v>3.1592064</v>
      </c>
      <c r="AT10" s="465">
        <f>PCM!AU9</f>
        <v>3.1592064</v>
      </c>
      <c r="AU10" s="465">
        <f>PCM!AV9</f>
        <v>3.1592064</v>
      </c>
      <c r="AV10" s="465">
        <f>PCM!AW9</f>
        <v>3.1678617599999996</v>
      </c>
      <c r="AW10" s="465">
        <f>PCM!AX9</f>
        <v>3.1592064</v>
      </c>
      <c r="AX10" s="929"/>
      <c r="AY10" s="929"/>
    </row>
    <row r="11" spans="1:51" s="13" customFormat="1">
      <c r="A11" s="56"/>
      <c r="B11" s="257" t="s">
        <v>137</v>
      </c>
      <c r="D11" s="23"/>
      <c r="E11" s="23"/>
      <c r="F11" s="23"/>
      <c r="G11" s="23"/>
      <c r="H11" s="23"/>
      <c r="I11" s="23"/>
      <c r="J11" s="23"/>
      <c r="K11" s="23"/>
      <c r="L11" s="89"/>
      <c r="M11" s="465">
        <f>PCM!N10</f>
        <v>0.11071121660000027</v>
      </c>
      <c r="N11" s="465">
        <f>PCM!O10</f>
        <v>0.10718904440000013</v>
      </c>
      <c r="O11" s="465">
        <f>PCM!P10</f>
        <v>0.12990992480000016</v>
      </c>
      <c r="P11" s="465">
        <f>PCM!Q10</f>
        <v>7.7903891999999988E-2</v>
      </c>
      <c r="Q11" s="465">
        <f>PCM!R10</f>
        <v>6.6624264799999888E-2</v>
      </c>
      <c r="R11" s="465">
        <f>PCM!S10</f>
        <v>6.0655164000000109E-2</v>
      </c>
      <c r="S11" s="465">
        <f>PCM!T10</f>
        <v>8.284092680000002E-2</v>
      </c>
      <c r="T11" s="465">
        <f>PCM!U10</f>
        <v>0.19666989680000022</v>
      </c>
      <c r="U11" s="465">
        <f>PCM!V10</f>
        <v>0.16425139099999994</v>
      </c>
      <c r="V11" s="465">
        <f>PCM!W10</f>
        <v>0.24548239780000014</v>
      </c>
      <c r="W11" s="465">
        <f>PCM!X10</f>
        <v>0.20776578399999998</v>
      </c>
      <c r="X11" s="465">
        <f>PCM!Y10</f>
        <v>0.15332464480000002</v>
      </c>
      <c r="Y11" s="615">
        <f>PCM!Z10</f>
        <v>1.603328547800001</v>
      </c>
      <c r="Z11" s="465">
        <f>PCM!AA10</f>
        <v>0.16635548979999987</v>
      </c>
      <c r="AA11" s="465">
        <f>PCM!AB10</f>
        <v>0.15724794440000026</v>
      </c>
      <c r="AB11" s="465">
        <f>PCM!AC10</f>
        <v>0.12020039480000001</v>
      </c>
      <c r="AC11" s="465">
        <f>PCM!AD10</f>
        <v>0.11222153200000001</v>
      </c>
      <c r="AD11" s="465">
        <f>PCM!AE10</f>
        <v>0.11080214479999989</v>
      </c>
      <c r="AE11" s="465">
        <f>PCM!AF10</f>
        <v>0.12743137399999996</v>
      </c>
      <c r="AF11" s="465">
        <f>PCM!AG10</f>
        <v>0.11323928679999988</v>
      </c>
      <c r="AG11" s="465">
        <f>PCM!AH10</f>
        <v>0.12200746680000005</v>
      </c>
      <c r="AH11" s="465">
        <f>PCM!AI10</f>
        <v>0.15862671099999989</v>
      </c>
      <c r="AI11" s="465">
        <f>PCM!AJ10</f>
        <v>0.23872363780000003</v>
      </c>
      <c r="AJ11" s="465">
        <f>PCM!AK10</f>
        <v>0.19809810399999994</v>
      </c>
      <c r="AK11" s="465">
        <f>PCM!AL10</f>
        <v>0.14185676480000001</v>
      </c>
      <c r="AL11" s="615">
        <f>PCM!AM10</f>
        <v>1.7668108509999993</v>
      </c>
      <c r="AM11" s="465">
        <f>PCM!AN10</f>
        <v>1.708235921</v>
      </c>
      <c r="AN11" s="465">
        <f>PCM!AO10</f>
        <v>1.6273758318000002</v>
      </c>
      <c r="AO11" s="465">
        <f>PCM!AP10</f>
        <v>1.5553636296361089</v>
      </c>
      <c r="AP11" s="465">
        <f>PCM!AQ10</f>
        <v>1.6007648783943504</v>
      </c>
      <c r="AQ11" s="465">
        <f>PCM!AR10</f>
        <v>4.9791122247425204</v>
      </c>
      <c r="AR11" s="465">
        <f>PCM!AS10</f>
        <v>5.6497035268800397</v>
      </c>
      <c r="AS11" s="465">
        <f>PCM!AT10</f>
        <v>5.2678324900619309</v>
      </c>
      <c r="AT11" s="465">
        <f>PCM!AU10</f>
        <v>5.55767198962804</v>
      </c>
      <c r="AU11" s="465">
        <f>PCM!AV10</f>
        <v>5.1099997804269526</v>
      </c>
      <c r="AV11" s="465">
        <f>PCM!AW10</f>
        <v>5.2419056023657102</v>
      </c>
      <c r="AW11" s="465">
        <f>PCM!AX10</f>
        <v>4.8589635963909013</v>
      </c>
      <c r="AX11" s="929"/>
      <c r="AY11" s="929"/>
    </row>
    <row r="12" spans="1:51" ht="13.5" thickBot="1">
      <c r="A12" s="6"/>
      <c r="B12" s="46" t="s">
        <v>138</v>
      </c>
      <c r="D12" s="4"/>
      <c r="E12" s="4"/>
      <c r="F12" s="4"/>
      <c r="G12" s="4"/>
      <c r="H12" s="4"/>
      <c r="I12" s="4"/>
      <c r="J12" s="4"/>
      <c r="K12" s="4"/>
      <c r="L12" s="89"/>
      <c r="M12" s="96">
        <f t="shared" ref="M12:AW12" si="2">SUM(M7:M11)</f>
        <v>1.0654747000000002</v>
      </c>
      <c r="N12" s="96">
        <f t="shared" si="2"/>
        <v>0.95588295000000012</v>
      </c>
      <c r="O12" s="96">
        <f t="shared" si="2"/>
        <v>1.02500821</v>
      </c>
      <c r="P12" s="96">
        <f t="shared" si="2"/>
        <v>0.90981940000000006</v>
      </c>
      <c r="Q12" s="96">
        <f t="shared" si="2"/>
        <v>0.9378728999999999</v>
      </c>
      <c r="R12" s="96">
        <f t="shared" si="2"/>
        <v>0.9610953000000001</v>
      </c>
      <c r="S12" s="96">
        <f t="shared" si="2"/>
        <v>1.0288024899999999</v>
      </c>
      <c r="T12" s="96">
        <f t="shared" si="2"/>
        <v>0.99671984000000013</v>
      </c>
      <c r="U12" s="96">
        <f t="shared" si="2"/>
        <v>0.6796142799999999</v>
      </c>
      <c r="V12" s="96">
        <f t="shared" si="2"/>
        <v>0.74664154000000005</v>
      </c>
      <c r="W12" s="96">
        <f t="shared" si="2"/>
        <v>0.72361546999999993</v>
      </c>
      <c r="X12" s="96">
        <f t="shared" si="2"/>
        <v>0.74618034999999994</v>
      </c>
      <c r="Y12" s="222">
        <f t="shared" si="2"/>
        <v>10.776727429999999</v>
      </c>
      <c r="Z12" s="96">
        <f t="shared" si="2"/>
        <v>0.76707416999999989</v>
      </c>
      <c r="AA12" s="96">
        <f t="shared" si="2"/>
        <v>0.68527733000000024</v>
      </c>
      <c r="AB12" s="96">
        <f t="shared" si="2"/>
        <v>0.65960163999999999</v>
      </c>
      <c r="AC12" s="96">
        <f t="shared" si="2"/>
        <v>0.59937483999999996</v>
      </c>
      <c r="AD12" s="96">
        <f t="shared" si="2"/>
        <v>0.62600273999999989</v>
      </c>
      <c r="AE12" s="96">
        <f t="shared" si="2"/>
        <v>0.68423530999999982</v>
      </c>
      <c r="AF12" s="96">
        <f t="shared" si="2"/>
        <v>0.71171100999999981</v>
      </c>
      <c r="AG12" s="96">
        <f t="shared" si="2"/>
        <v>0.71046324999999999</v>
      </c>
      <c r="AH12" s="96">
        <f t="shared" si="2"/>
        <v>0.67689159999999982</v>
      </c>
      <c r="AI12" s="96">
        <f t="shared" si="2"/>
        <v>0.74237478000000001</v>
      </c>
      <c r="AJ12" s="96">
        <f t="shared" si="2"/>
        <v>0.71684278999999995</v>
      </c>
      <c r="AK12" s="96">
        <f t="shared" si="2"/>
        <v>0.7386604699999999</v>
      </c>
      <c r="AL12" s="222">
        <f t="shared" si="2"/>
        <v>8.3185099299999976</v>
      </c>
      <c r="AM12" s="96">
        <f t="shared" si="2"/>
        <v>8.2907969999999995</v>
      </c>
      <c r="AN12" s="96">
        <f t="shared" si="2"/>
        <v>8.2587811699999989</v>
      </c>
      <c r="AO12" s="96">
        <f t="shared" si="2"/>
        <v>8.2148043099999981</v>
      </c>
      <c r="AP12" s="96">
        <f t="shared" si="2"/>
        <v>8.2876864499999989</v>
      </c>
      <c r="AQ12" s="96">
        <f t="shared" si="2"/>
        <v>11.693420679999999</v>
      </c>
      <c r="AR12" s="96">
        <f t="shared" si="2"/>
        <v>12.407277679999996</v>
      </c>
      <c r="AS12" s="96">
        <f t="shared" si="2"/>
        <v>12.051503369999997</v>
      </c>
      <c r="AT12" s="96">
        <f t="shared" si="2"/>
        <v>12.377644609999997</v>
      </c>
      <c r="AU12" s="96">
        <f t="shared" si="2"/>
        <v>11.96704089</v>
      </c>
      <c r="AV12" s="96">
        <f t="shared" si="2"/>
        <v>12.146048830000002</v>
      </c>
      <c r="AW12" s="96">
        <f t="shared" si="2"/>
        <v>11.791768979999999</v>
      </c>
      <c r="AX12" s="643"/>
      <c r="AY12" s="643"/>
    </row>
    <row r="13" spans="1:51" ht="13.5" thickTop="1">
      <c r="A13" s="6"/>
      <c r="D13" s="4"/>
      <c r="E13" s="4"/>
      <c r="F13" s="4"/>
      <c r="G13" s="4"/>
      <c r="H13" s="4"/>
      <c r="I13" s="4"/>
      <c r="J13" s="4"/>
      <c r="K13" s="4"/>
      <c r="L13" s="8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89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8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37"/>
      <c r="AY13" s="837"/>
    </row>
    <row r="14" spans="1:51">
      <c r="A14" s="6"/>
      <c r="B14" t="s">
        <v>570</v>
      </c>
      <c r="D14" s="4"/>
      <c r="E14" s="4"/>
      <c r="F14" s="4"/>
      <c r="G14" s="4"/>
      <c r="H14" s="4"/>
      <c r="I14" s="4"/>
      <c r="J14" s="4"/>
      <c r="K14" s="4"/>
      <c r="L14" s="8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89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8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837"/>
      <c r="AY14" s="837"/>
    </row>
    <row r="15" spans="1:51">
      <c r="A15" s="6"/>
      <c r="B15" s="46" t="s">
        <v>133</v>
      </c>
      <c r="D15" s="4"/>
      <c r="E15" s="4"/>
      <c r="F15" s="4"/>
      <c r="G15" s="4"/>
      <c r="H15" s="4"/>
      <c r="I15" s="4"/>
      <c r="J15" s="4"/>
      <c r="K15" s="4"/>
      <c r="L15" s="89"/>
      <c r="M15" s="4">
        <f>PCM!N14</f>
        <v>540.18379758393633</v>
      </c>
      <c r="N15" s="4">
        <f>PCM!O14</f>
        <v>482.11110316505574</v>
      </c>
      <c r="O15" s="4">
        <f>PCM!P14</f>
        <v>418.8091915883416</v>
      </c>
      <c r="P15" s="4">
        <f>PCM!Q14</f>
        <v>328.15284849641893</v>
      </c>
      <c r="Q15" s="4">
        <f>PCM!R14</f>
        <v>374.54943506848412</v>
      </c>
      <c r="R15" s="4">
        <f>PCM!S14</f>
        <v>472.17387995004088</v>
      </c>
      <c r="S15" s="4">
        <f>PCM!T14</f>
        <v>493.51298431943826</v>
      </c>
      <c r="T15" s="4">
        <f>PCM!U14</f>
        <v>533.47760923493445</v>
      </c>
      <c r="U15" s="4">
        <f>PCM!V14</f>
        <v>416.26091057680179</v>
      </c>
      <c r="V15" s="4">
        <f>PCM!W14</f>
        <v>336.40905340911473</v>
      </c>
      <c r="W15" s="4">
        <f>PCM!X14</f>
        <v>377.16825728284357</v>
      </c>
      <c r="X15" s="4">
        <f>PCM!Y14</f>
        <v>494.38129788223404</v>
      </c>
      <c r="Y15" s="89">
        <f>PCM!Z14</f>
        <v>5267.1903685576444</v>
      </c>
      <c r="Z15" s="4">
        <f>PCM!AA14</f>
        <v>548.56241299857913</v>
      </c>
      <c r="AA15" s="4">
        <f>PCM!AB14</f>
        <v>489.59701333226968</v>
      </c>
      <c r="AB15" s="4">
        <f>PCM!AC14</f>
        <v>425.32392228478767</v>
      </c>
      <c r="AC15" s="4">
        <f>PCM!AD14</f>
        <v>333.26684508975012</v>
      </c>
      <c r="AD15" s="4">
        <f>PCM!AE14</f>
        <v>380.07221055024843</v>
      </c>
      <c r="AE15" s="4">
        <f>PCM!AF14</f>
        <v>479.13352411736156</v>
      </c>
      <c r="AF15" s="4">
        <f>PCM!AG14</f>
        <v>500.78690408520919</v>
      </c>
      <c r="AG15" s="4">
        <f>PCM!AH14</f>
        <v>541.33449919618909</v>
      </c>
      <c r="AH15" s="4">
        <f>PCM!AI14</f>
        <v>422.41288528817722</v>
      </c>
      <c r="AI15" s="4">
        <f>PCM!AJ14</f>
        <v>341.34280563543973</v>
      </c>
      <c r="AJ15" s="4">
        <f>PCM!AK14</f>
        <v>383.0593849815703</v>
      </c>
      <c r="AK15" s="4">
        <f>PCM!AL14</f>
        <v>502.05660288026729</v>
      </c>
      <c r="AL15" s="89">
        <f>PCM!AM14</f>
        <v>5346.9490104398483</v>
      </c>
      <c r="AM15" s="4">
        <f>PCM!AN14</f>
        <v>5410.4289682932076</v>
      </c>
      <c r="AN15" s="4">
        <f>PCM!AO14</f>
        <v>5491.8591983965698</v>
      </c>
      <c r="AO15" s="4">
        <f>PCM!AP14</f>
        <v>5567.856575417527</v>
      </c>
      <c r="AP15" s="4">
        <f>PCM!AQ14</f>
        <v>5624.5912478893533</v>
      </c>
      <c r="AQ15" s="4">
        <f>PCM!AR14</f>
        <v>5681.152551670566</v>
      </c>
      <c r="AR15" s="4">
        <f>PCM!AS14</f>
        <v>5751.297665740085</v>
      </c>
      <c r="AS15" s="4">
        <f>PCM!AT14</f>
        <v>5823.3590934616495</v>
      </c>
      <c r="AT15" s="4">
        <f>PCM!AU14</f>
        <v>5897.7628031303275</v>
      </c>
      <c r="AU15" s="4">
        <f>PCM!AV14</f>
        <v>5973.7284759417334</v>
      </c>
      <c r="AV15" s="4">
        <f>PCM!AW14</f>
        <v>6051.6713337058372</v>
      </c>
      <c r="AW15" s="4">
        <f>PCM!AX14</f>
        <v>6128.9470988251414</v>
      </c>
      <c r="AX15" s="837"/>
      <c r="AY15" s="837"/>
    </row>
    <row r="16" spans="1:51">
      <c r="A16" s="6"/>
      <c r="B16" s="46" t="s">
        <v>134</v>
      </c>
      <c r="D16" s="4"/>
      <c r="E16" s="4"/>
      <c r="F16" s="4"/>
      <c r="G16" s="4"/>
      <c r="H16" s="4"/>
      <c r="I16" s="4"/>
      <c r="J16" s="4"/>
      <c r="K16" s="4"/>
      <c r="L16" s="89"/>
      <c r="M16" s="4">
        <f>PCM!N15</f>
        <v>139.274</v>
      </c>
      <c r="N16" s="4">
        <f>PCM!O15</f>
        <v>139.89700000000002</v>
      </c>
      <c r="O16" s="4">
        <f>PCM!P15</f>
        <v>139.11200000000005</v>
      </c>
      <c r="P16" s="4">
        <f>PCM!Q15</f>
        <v>139.40100000000004</v>
      </c>
      <c r="Q16" s="4">
        <f>PCM!R15</f>
        <v>138.43100000000001</v>
      </c>
      <c r="R16" s="4">
        <f>PCM!S15</f>
        <v>138.52900000000002</v>
      </c>
      <c r="S16" s="4">
        <f>PCM!T15</f>
        <v>143.18800000000002</v>
      </c>
      <c r="T16" s="4">
        <f>PCM!U15</f>
        <v>143.54300000000003</v>
      </c>
      <c r="U16" s="4">
        <f>PCM!V15</f>
        <v>136.42100000000002</v>
      </c>
      <c r="V16" s="4">
        <f>PCM!W15</f>
        <v>138.47200000000004</v>
      </c>
      <c r="W16" s="4">
        <f>PCM!X15</f>
        <v>138.43100000000001</v>
      </c>
      <c r="X16" s="4">
        <f>PCM!Y15</f>
        <v>138.59500000000003</v>
      </c>
      <c r="Y16" s="89">
        <f>PCM!Z15</f>
        <v>1673.2940000000003</v>
      </c>
      <c r="Z16" s="4">
        <f>PCM!AA15</f>
        <v>140.57400000000001</v>
      </c>
      <c r="AA16" s="4">
        <f>PCM!AB15</f>
        <v>139.89700000000002</v>
      </c>
      <c r="AB16" s="4">
        <f>PCM!AC15</f>
        <v>139.11200000000005</v>
      </c>
      <c r="AC16" s="4">
        <f>PCM!AD15</f>
        <v>139.40100000000004</v>
      </c>
      <c r="AD16" s="4">
        <f>PCM!AE15</f>
        <v>138.43100000000001</v>
      </c>
      <c r="AE16" s="4">
        <f>PCM!AF15</f>
        <v>138.52900000000002</v>
      </c>
      <c r="AF16" s="4">
        <f>PCM!AG15</f>
        <v>143.18800000000002</v>
      </c>
      <c r="AG16" s="4">
        <f>PCM!AH15</f>
        <v>143.54300000000003</v>
      </c>
      <c r="AH16" s="4">
        <f>PCM!AI15</f>
        <v>136.42100000000002</v>
      </c>
      <c r="AI16" s="4">
        <f>PCM!AJ15</f>
        <v>138.47200000000004</v>
      </c>
      <c r="AJ16" s="4">
        <f>PCM!AK15</f>
        <v>138.43100000000001</v>
      </c>
      <c r="AK16" s="4">
        <f>PCM!AL15</f>
        <v>138.59500000000003</v>
      </c>
      <c r="AL16" s="89">
        <f>PCM!AM15</f>
        <v>1674.5940000000003</v>
      </c>
      <c r="AM16" s="4">
        <f>PCM!AN15</f>
        <v>1674.5940000000003</v>
      </c>
      <c r="AN16" s="4">
        <f>PCM!AO15</f>
        <v>1674.5940000000003</v>
      </c>
      <c r="AO16" s="4">
        <f>PCM!AP15</f>
        <v>1674.5940000000001</v>
      </c>
      <c r="AP16" s="4">
        <f>PCM!AQ15</f>
        <v>1674.5940000000001</v>
      </c>
      <c r="AQ16" s="4">
        <f>PCM!AR15</f>
        <v>1674.5940000000001</v>
      </c>
      <c r="AR16" s="4">
        <f>PCM!AS15</f>
        <v>1674.5940000000001</v>
      </c>
      <c r="AS16" s="4">
        <f>PCM!AT15</f>
        <v>1674.5940000000001</v>
      </c>
      <c r="AT16" s="4">
        <f>PCM!AU15</f>
        <v>1674.5940000000001</v>
      </c>
      <c r="AU16" s="4">
        <f>PCM!AV15</f>
        <v>1674.5940000000001</v>
      </c>
      <c r="AV16" s="4">
        <f>PCM!AW15</f>
        <v>1674.5940000000001</v>
      </c>
      <c r="AW16" s="4">
        <f>PCM!AX15</f>
        <v>1674.5940000000001</v>
      </c>
      <c r="AX16" s="837"/>
      <c r="AY16" s="837"/>
    </row>
    <row r="17" spans="1:51">
      <c r="A17" s="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837"/>
      <c r="AY17" s="837"/>
    </row>
    <row r="18" spans="1:51">
      <c r="A18" s="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837"/>
      <c r="AY18" s="837"/>
    </row>
    <row r="19" spans="1:51">
      <c r="A19" s="6"/>
      <c r="B19" s="55" t="s">
        <v>139</v>
      </c>
      <c r="U19" s="570">
        <v>0</v>
      </c>
      <c r="V19" s="569" t="s">
        <v>1007</v>
      </c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837"/>
      <c r="AY19" s="837"/>
    </row>
    <row r="20" spans="1:51">
      <c r="A20" s="6"/>
      <c r="B20" t="s">
        <v>373</v>
      </c>
      <c r="D20" s="28"/>
      <c r="M20" s="461">
        <v>0</v>
      </c>
      <c r="N20" s="461">
        <v>0</v>
      </c>
      <c r="O20" s="461">
        <v>0</v>
      </c>
      <c r="P20" s="461">
        <v>0</v>
      </c>
      <c r="Q20" s="461">
        <v>0</v>
      </c>
      <c r="R20" s="461">
        <v>0</v>
      </c>
      <c r="S20" s="461">
        <v>0</v>
      </c>
      <c r="T20" s="461">
        <v>0</v>
      </c>
      <c r="U20" s="461">
        <f>U21+U19</f>
        <v>0</v>
      </c>
      <c r="V20" s="461">
        <v>0</v>
      </c>
      <c r="W20" s="461">
        <v>0</v>
      </c>
      <c r="X20" s="461">
        <v>0</v>
      </c>
      <c r="Y20" s="462">
        <f>SUM(M20:X20)</f>
        <v>0</v>
      </c>
      <c r="Z20" s="461">
        <v>0</v>
      </c>
      <c r="AA20" s="461">
        <v>0</v>
      </c>
      <c r="AB20" s="461">
        <v>0</v>
      </c>
      <c r="AC20" s="461">
        <v>0</v>
      </c>
      <c r="AD20" s="461">
        <v>0</v>
      </c>
      <c r="AE20" s="461">
        <v>0</v>
      </c>
      <c r="AF20" s="461">
        <v>0</v>
      </c>
      <c r="AG20" s="461">
        <v>0</v>
      </c>
      <c r="AH20" s="461">
        <v>0</v>
      </c>
      <c r="AI20" s="461">
        <v>0</v>
      </c>
      <c r="AJ20" s="461">
        <v>0</v>
      </c>
      <c r="AK20" s="461">
        <v>0</v>
      </c>
      <c r="AL20" s="462">
        <f>SUM(Z20:AK20)</f>
        <v>0</v>
      </c>
      <c r="AM20" s="461">
        <v>0</v>
      </c>
      <c r="AN20" s="461">
        <v>0</v>
      </c>
      <c r="AO20" s="461">
        <v>0</v>
      </c>
      <c r="AP20" s="461">
        <v>0</v>
      </c>
      <c r="AQ20" s="461">
        <v>0</v>
      </c>
      <c r="AR20" s="461">
        <v>0</v>
      </c>
      <c r="AS20" s="461">
        <v>0</v>
      </c>
      <c r="AT20" s="461">
        <v>0</v>
      </c>
      <c r="AU20" s="461">
        <v>0</v>
      </c>
      <c r="AV20" s="461">
        <v>0</v>
      </c>
      <c r="AW20" s="461">
        <v>0</v>
      </c>
      <c r="AX20" s="930"/>
      <c r="AY20" s="930"/>
    </row>
    <row r="21" spans="1:51" s="13" customFormat="1">
      <c r="A21" s="56"/>
      <c r="B21" s="13" t="s">
        <v>374</v>
      </c>
      <c r="D21" s="447"/>
      <c r="E21" s="67"/>
      <c r="F21" s="67"/>
      <c r="G21" s="67"/>
      <c r="H21" s="67"/>
      <c r="I21" s="67"/>
      <c r="J21" s="67"/>
      <c r="K21" s="67"/>
      <c r="L21" s="217"/>
      <c r="M21" s="461">
        <v>0</v>
      </c>
      <c r="N21" s="461">
        <v>0</v>
      </c>
      <c r="O21" s="461">
        <v>0</v>
      </c>
      <c r="P21" s="461">
        <v>0</v>
      </c>
      <c r="Q21" s="461">
        <v>0</v>
      </c>
      <c r="R21" s="461">
        <v>0</v>
      </c>
      <c r="S21" s="461">
        <v>0</v>
      </c>
      <c r="T21" s="461">
        <v>0</v>
      </c>
      <c r="U21" s="461">
        <v>0</v>
      </c>
      <c r="V21" s="461">
        <v>0</v>
      </c>
      <c r="W21" s="461">
        <v>0</v>
      </c>
      <c r="X21" s="461">
        <v>0</v>
      </c>
      <c r="Y21" s="462">
        <f>SUM(M21:X21)</f>
        <v>0</v>
      </c>
      <c r="Z21" s="461">
        <v>0</v>
      </c>
      <c r="AA21" s="461">
        <v>0</v>
      </c>
      <c r="AB21" s="461">
        <v>0</v>
      </c>
      <c r="AC21" s="461">
        <v>0</v>
      </c>
      <c r="AD21" s="461">
        <v>0</v>
      </c>
      <c r="AE21" s="461">
        <v>0</v>
      </c>
      <c r="AF21" s="461">
        <v>0</v>
      </c>
      <c r="AG21" s="461">
        <v>0</v>
      </c>
      <c r="AH21" s="461">
        <v>0</v>
      </c>
      <c r="AI21" s="461">
        <v>0</v>
      </c>
      <c r="AJ21" s="461">
        <v>0</v>
      </c>
      <c r="AK21" s="461">
        <v>0</v>
      </c>
      <c r="AL21" s="462">
        <f>SUM(Z21:AK21)</f>
        <v>0</v>
      </c>
      <c r="AM21" s="461">
        <f>AM20</f>
        <v>0</v>
      </c>
      <c r="AN21" s="461">
        <f t="shared" ref="AN21:AW21" si="3">AN20</f>
        <v>0</v>
      </c>
      <c r="AO21" s="461">
        <f t="shared" si="3"/>
        <v>0</v>
      </c>
      <c r="AP21" s="461">
        <f t="shared" si="3"/>
        <v>0</v>
      </c>
      <c r="AQ21" s="461">
        <f t="shared" si="3"/>
        <v>0</v>
      </c>
      <c r="AR21" s="461">
        <f t="shared" si="3"/>
        <v>0</v>
      </c>
      <c r="AS21" s="461">
        <f t="shared" si="3"/>
        <v>0</v>
      </c>
      <c r="AT21" s="461">
        <f t="shared" si="3"/>
        <v>0</v>
      </c>
      <c r="AU21" s="461">
        <f t="shared" si="3"/>
        <v>0</v>
      </c>
      <c r="AV21" s="461">
        <f t="shared" si="3"/>
        <v>0</v>
      </c>
      <c r="AW21" s="461">
        <f t="shared" si="3"/>
        <v>0</v>
      </c>
      <c r="AX21" s="930"/>
      <c r="AY21" s="930"/>
    </row>
    <row r="22" spans="1:51" s="13" customFormat="1">
      <c r="A22" s="56"/>
      <c r="B22" s="13" t="s">
        <v>270</v>
      </c>
      <c r="D22" s="67"/>
      <c r="E22" s="67"/>
      <c r="F22" s="67"/>
      <c r="G22" s="67"/>
      <c r="H22" s="67"/>
      <c r="I22" s="67"/>
      <c r="J22" s="67"/>
      <c r="K22" s="67"/>
      <c r="L22" s="217"/>
      <c r="M22" s="461">
        <v>0</v>
      </c>
      <c r="N22" s="461">
        <v>0</v>
      </c>
      <c r="O22" s="461">
        <v>0</v>
      </c>
      <c r="P22" s="461">
        <v>0</v>
      </c>
      <c r="Q22" s="461">
        <v>0</v>
      </c>
      <c r="R22" s="461">
        <v>0</v>
      </c>
      <c r="S22" s="461">
        <v>0</v>
      </c>
      <c r="T22" s="461">
        <v>0</v>
      </c>
      <c r="U22" s="461">
        <v>0</v>
      </c>
      <c r="V22" s="461">
        <v>0</v>
      </c>
      <c r="W22" s="461">
        <v>0</v>
      </c>
      <c r="X22" s="461">
        <v>0</v>
      </c>
      <c r="Y22" s="462">
        <v>0</v>
      </c>
      <c r="Z22" s="461">
        <v>0</v>
      </c>
      <c r="AA22" s="461">
        <v>0</v>
      </c>
      <c r="AB22" s="461">
        <v>0</v>
      </c>
      <c r="AC22" s="461">
        <v>0</v>
      </c>
      <c r="AD22" s="461">
        <v>0</v>
      </c>
      <c r="AE22" s="461">
        <v>0</v>
      </c>
      <c r="AF22" s="461">
        <v>0</v>
      </c>
      <c r="AG22" s="461">
        <v>0</v>
      </c>
      <c r="AH22" s="461">
        <v>0</v>
      </c>
      <c r="AI22" s="461">
        <v>0</v>
      </c>
      <c r="AJ22" s="461">
        <v>0</v>
      </c>
      <c r="AK22" s="461">
        <v>0</v>
      </c>
      <c r="AL22" s="462">
        <v>0</v>
      </c>
      <c r="AM22" s="461">
        <v>0</v>
      </c>
      <c r="AN22" s="461">
        <v>0</v>
      </c>
      <c r="AO22" s="461">
        <v>0</v>
      </c>
      <c r="AP22" s="461">
        <v>0</v>
      </c>
      <c r="AQ22" s="461">
        <v>2.5000000000000001E-2</v>
      </c>
      <c r="AR22" s="461">
        <v>0</v>
      </c>
      <c r="AS22" s="461">
        <v>0</v>
      </c>
      <c r="AT22" s="461">
        <v>0.04</v>
      </c>
      <c r="AU22" s="461">
        <v>0</v>
      </c>
      <c r="AV22" s="461">
        <v>0</v>
      </c>
      <c r="AW22" s="461">
        <v>0</v>
      </c>
      <c r="AX22" s="930"/>
      <c r="AY22" s="930"/>
    </row>
    <row r="23" spans="1:51">
      <c r="A23" s="6"/>
      <c r="B23" t="s">
        <v>271</v>
      </c>
      <c r="D23" s="7"/>
      <c r="E23" s="7"/>
      <c r="F23" s="7"/>
      <c r="G23" s="7"/>
      <c r="H23" s="7"/>
      <c r="I23" s="7"/>
      <c r="J23" s="7"/>
      <c r="K23" s="466">
        <v>-0.35</v>
      </c>
      <c r="L23" s="174"/>
      <c r="M23" s="7">
        <f>K23+M22-M20</f>
        <v>-0.35</v>
      </c>
      <c r="N23" s="7">
        <f>M23+N22-N20</f>
        <v>-0.35</v>
      </c>
      <c r="O23" s="7">
        <f t="shared" ref="O23:W23" si="4">N23+O22-O20</f>
        <v>-0.35</v>
      </c>
      <c r="P23" s="7">
        <f t="shared" si="4"/>
        <v>-0.35</v>
      </c>
      <c r="Q23" s="7">
        <f t="shared" si="4"/>
        <v>-0.35</v>
      </c>
      <c r="R23" s="7">
        <f t="shared" si="4"/>
        <v>-0.35</v>
      </c>
      <c r="S23" s="7">
        <f t="shared" si="4"/>
        <v>-0.35</v>
      </c>
      <c r="T23" s="7">
        <f t="shared" si="4"/>
        <v>-0.35</v>
      </c>
      <c r="U23" s="7">
        <f t="shared" si="4"/>
        <v>-0.35</v>
      </c>
      <c r="V23" s="7">
        <f t="shared" si="4"/>
        <v>-0.35</v>
      </c>
      <c r="W23" s="7">
        <f t="shared" si="4"/>
        <v>-0.35</v>
      </c>
      <c r="X23" s="7">
        <f>W23+X22-X20</f>
        <v>-0.35</v>
      </c>
      <c r="Y23" s="174">
        <f>Y22-Y21</f>
        <v>0</v>
      </c>
      <c r="Z23" s="7">
        <f>X23+Z22-Z20</f>
        <v>-0.35</v>
      </c>
      <c r="AA23" s="7">
        <f>Z23+AA22-AA20</f>
        <v>-0.35</v>
      </c>
      <c r="AB23" s="7">
        <f t="shared" ref="AB23:AJ23" si="5">AA23+AB22-AB20</f>
        <v>-0.35</v>
      </c>
      <c r="AC23" s="7">
        <f t="shared" si="5"/>
        <v>-0.35</v>
      </c>
      <c r="AD23" s="7">
        <f t="shared" si="5"/>
        <v>-0.35</v>
      </c>
      <c r="AE23" s="7">
        <f t="shared" si="5"/>
        <v>-0.35</v>
      </c>
      <c r="AF23" s="7">
        <f t="shared" si="5"/>
        <v>-0.35</v>
      </c>
      <c r="AG23" s="7">
        <f t="shared" si="5"/>
        <v>-0.35</v>
      </c>
      <c r="AH23" s="7">
        <f t="shared" si="5"/>
        <v>-0.35</v>
      </c>
      <c r="AI23" s="7">
        <f t="shared" si="5"/>
        <v>-0.35</v>
      </c>
      <c r="AJ23" s="7">
        <f t="shared" si="5"/>
        <v>-0.35</v>
      </c>
      <c r="AK23" s="7">
        <f>AJ23+AK22-AK20</f>
        <v>-0.35</v>
      </c>
      <c r="AL23" s="174">
        <f>AK23</f>
        <v>-0.35</v>
      </c>
      <c r="AM23" s="7">
        <f>AK23-AM20+AM22</f>
        <v>-0.35</v>
      </c>
      <c r="AN23" s="7">
        <f>AM23-AN20+AN22</f>
        <v>-0.35</v>
      </c>
      <c r="AO23" s="7">
        <f t="shared" ref="AO23:AW23" si="6">AN23-AO20+AO22</f>
        <v>-0.35</v>
      </c>
      <c r="AP23" s="7">
        <f t="shared" si="6"/>
        <v>-0.35</v>
      </c>
      <c r="AQ23" s="7">
        <f t="shared" si="6"/>
        <v>-0.32499999999999996</v>
      </c>
      <c r="AR23" s="7">
        <f t="shared" si="6"/>
        <v>-0.32499999999999996</v>
      </c>
      <c r="AS23" s="7">
        <f t="shared" si="6"/>
        <v>-0.32499999999999996</v>
      </c>
      <c r="AT23" s="7">
        <f t="shared" si="6"/>
        <v>-0.28499999999999998</v>
      </c>
      <c r="AU23" s="7">
        <f t="shared" si="6"/>
        <v>-0.28499999999999998</v>
      </c>
      <c r="AV23" s="7">
        <f t="shared" si="6"/>
        <v>-0.28499999999999998</v>
      </c>
      <c r="AW23" s="7">
        <f t="shared" si="6"/>
        <v>-0.28499999999999998</v>
      </c>
      <c r="AX23" s="829"/>
      <c r="AY23" s="829"/>
    </row>
    <row r="24" spans="1:51">
      <c r="A24" s="6"/>
      <c r="B24" t="s">
        <v>272</v>
      </c>
      <c r="D24" s="7"/>
      <c r="E24" s="7"/>
      <c r="F24" s="7"/>
      <c r="G24" s="7"/>
      <c r="H24" s="7"/>
      <c r="I24" s="7"/>
      <c r="J24" s="7"/>
      <c r="K24" s="7"/>
      <c r="L24" s="174"/>
      <c r="M24" s="7">
        <f>IF(M23&gt;0,M23,0)</f>
        <v>0</v>
      </c>
      <c r="N24" s="7">
        <f t="shared" ref="N24:AW24" si="7">IF(N23&gt;0,N23,0)</f>
        <v>0</v>
      </c>
      <c r="O24" s="7">
        <f t="shared" si="7"/>
        <v>0</v>
      </c>
      <c r="P24" s="7">
        <f t="shared" si="7"/>
        <v>0</v>
      </c>
      <c r="Q24" s="7">
        <f t="shared" si="7"/>
        <v>0</v>
      </c>
      <c r="R24" s="7">
        <f t="shared" si="7"/>
        <v>0</v>
      </c>
      <c r="S24" s="7">
        <f t="shared" si="7"/>
        <v>0</v>
      </c>
      <c r="T24" s="7">
        <f t="shared" si="7"/>
        <v>0</v>
      </c>
      <c r="U24" s="7">
        <f t="shared" si="7"/>
        <v>0</v>
      </c>
      <c r="V24" s="7">
        <f t="shared" si="7"/>
        <v>0</v>
      </c>
      <c r="W24" s="7">
        <f t="shared" si="7"/>
        <v>0</v>
      </c>
      <c r="X24" s="7">
        <f t="shared" si="7"/>
        <v>0</v>
      </c>
      <c r="Y24" s="174">
        <f t="shared" si="7"/>
        <v>0</v>
      </c>
      <c r="Z24" s="7">
        <f t="shared" si="7"/>
        <v>0</v>
      </c>
      <c r="AA24" s="7">
        <f t="shared" si="7"/>
        <v>0</v>
      </c>
      <c r="AB24" s="7">
        <f t="shared" si="7"/>
        <v>0</v>
      </c>
      <c r="AC24" s="7">
        <f t="shared" si="7"/>
        <v>0</v>
      </c>
      <c r="AD24" s="7">
        <f t="shared" si="7"/>
        <v>0</v>
      </c>
      <c r="AE24" s="7">
        <f t="shared" si="7"/>
        <v>0</v>
      </c>
      <c r="AF24" s="7">
        <f t="shared" si="7"/>
        <v>0</v>
      </c>
      <c r="AG24" s="7">
        <f t="shared" si="7"/>
        <v>0</v>
      </c>
      <c r="AH24" s="7">
        <f t="shared" si="7"/>
        <v>0</v>
      </c>
      <c r="AI24" s="7">
        <f t="shared" si="7"/>
        <v>0</v>
      </c>
      <c r="AJ24" s="7">
        <f t="shared" si="7"/>
        <v>0</v>
      </c>
      <c r="AK24" s="7">
        <f t="shared" si="7"/>
        <v>0</v>
      </c>
      <c r="AL24" s="174">
        <f t="shared" si="7"/>
        <v>0</v>
      </c>
      <c r="AM24" s="7">
        <f t="shared" si="7"/>
        <v>0</v>
      </c>
      <c r="AN24" s="7">
        <f t="shared" si="7"/>
        <v>0</v>
      </c>
      <c r="AO24" s="7">
        <f t="shared" si="7"/>
        <v>0</v>
      </c>
      <c r="AP24" s="7">
        <f t="shared" si="7"/>
        <v>0</v>
      </c>
      <c r="AQ24" s="7">
        <f t="shared" si="7"/>
        <v>0</v>
      </c>
      <c r="AR24" s="7">
        <f t="shared" si="7"/>
        <v>0</v>
      </c>
      <c r="AS24" s="7">
        <f t="shared" si="7"/>
        <v>0</v>
      </c>
      <c r="AT24" s="7">
        <f t="shared" si="7"/>
        <v>0</v>
      </c>
      <c r="AU24" s="7">
        <f t="shared" si="7"/>
        <v>0</v>
      </c>
      <c r="AV24" s="7">
        <f t="shared" si="7"/>
        <v>0</v>
      </c>
      <c r="AW24" s="7">
        <f t="shared" si="7"/>
        <v>0</v>
      </c>
      <c r="AX24" s="829"/>
      <c r="AY24" s="829"/>
    </row>
    <row r="25" spans="1:51">
      <c r="A25" s="6"/>
      <c r="D25" s="7"/>
      <c r="E25" s="7"/>
      <c r="F25" s="7"/>
      <c r="G25" s="7"/>
      <c r="H25" s="7"/>
      <c r="I25" s="7"/>
      <c r="J25" s="7"/>
      <c r="K25" s="7"/>
      <c r="L25" s="17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174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7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829"/>
      <c r="AY25" s="829"/>
    </row>
    <row r="26" spans="1:51">
      <c r="A26" s="6"/>
      <c r="B26" t="s">
        <v>596</v>
      </c>
      <c r="E26" s="47"/>
      <c r="M26" s="354">
        <v>6</v>
      </c>
      <c r="N26" s="354">
        <v>6</v>
      </c>
      <c r="O26" s="354">
        <v>6</v>
      </c>
      <c r="P26" s="354">
        <v>6</v>
      </c>
      <c r="Q26" s="354">
        <v>6</v>
      </c>
      <c r="R26" s="354">
        <v>6</v>
      </c>
      <c r="S26" s="354">
        <v>7</v>
      </c>
      <c r="T26" s="354">
        <v>7</v>
      </c>
      <c r="U26" s="354">
        <v>7</v>
      </c>
      <c r="V26" s="354">
        <v>7</v>
      </c>
      <c r="W26" s="354">
        <v>7</v>
      </c>
      <c r="X26" s="354">
        <v>7</v>
      </c>
      <c r="Z26" s="354">
        <v>7</v>
      </c>
      <c r="AA26" s="354">
        <v>7</v>
      </c>
      <c r="AB26" s="354">
        <v>7</v>
      </c>
      <c r="AC26" s="354">
        <v>7</v>
      </c>
      <c r="AD26" s="354">
        <v>7</v>
      </c>
      <c r="AE26" s="354">
        <v>7</v>
      </c>
      <c r="AF26" s="354">
        <v>9</v>
      </c>
      <c r="AG26" s="354">
        <v>9</v>
      </c>
      <c r="AH26" s="354">
        <v>9</v>
      </c>
      <c r="AI26" s="354">
        <v>9</v>
      </c>
      <c r="AJ26" s="354">
        <v>9</v>
      </c>
      <c r="AK26" s="354">
        <v>9</v>
      </c>
      <c r="AM26" s="354">
        <v>9</v>
      </c>
      <c r="AN26" s="354">
        <v>9</v>
      </c>
      <c r="AO26" s="354">
        <v>9</v>
      </c>
      <c r="AP26" s="354">
        <v>9</v>
      </c>
      <c r="AQ26" s="354">
        <v>9</v>
      </c>
      <c r="AR26" s="354">
        <v>9</v>
      </c>
      <c r="AS26" s="354">
        <v>9</v>
      </c>
      <c r="AT26" s="354">
        <v>9</v>
      </c>
      <c r="AU26" s="354">
        <v>9</v>
      </c>
      <c r="AV26" s="354">
        <v>9</v>
      </c>
      <c r="AW26" s="354">
        <v>9</v>
      </c>
      <c r="AX26" s="931"/>
      <c r="AY26" s="931"/>
    </row>
    <row r="27" spans="1:51">
      <c r="A27" s="6"/>
      <c r="B27" t="s">
        <v>595</v>
      </c>
      <c r="D27" s="47"/>
      <c r="E27" s="47"/>
      <c r="M27" s="463">
        <f>M26-M28</f>
        <v>-4.2119999999999997</v>
      </c>
      <c r="N27" s="463">
        <f t="shared" ref="N27:Z27" si="8">N26-N28</f>
        <v>-4.2119999999999997</v>
      </c>
      <c r="O27" s="463">
        <f t="shared" si="8"/>
        <v>-4.2119999999999997</v>
      </c>
      <c r="P27" s="463">
        <f t="shared" si="8"/>
        <v>-4.2119999999999997</v>
      </c>
      <c r="Q27" s="463">
        <f t="shared" si="8"/>
        <v>-4.2119999999999997</v>
      </c>
      <c r="R27" s="463">
        <f t="shared" si="8"/>
        <v>-4.2119999999999997</v>
      </c>
      <c r="S27" s="463">
        <f t="shared" si="8"/>
        <v>-3.2119999999999997</v>
      </c>
      <c r="T27" s="463">
        <f t="shared" si="8"/>
        <v>-3.2119999999999997</v>
      </c>
      <c r="U27" s="463">
        <f t="shared" si="8"/>
        <v>-3.2119999999999997</v>
      </c>
      <c r="V27" s="463">
        <f t="shared" si="8"/>
        <v>-3.2119999999999997</v>
      </c>
      <c r="W27" s="463">
        <f t="shared" si="8"/>
        <v>-3.2119999999999997</v>
      </c>
      <c r="X27" s="463">
        <f t="shared" si="8"/>
        <v>-3.2119999999999997</v>
      </c>
      <c r="Y27" s="464"/>
      <c r="Z27" s="463">
        <f t="shared" si="8"/>
        <v>-3.2119999999999997</v>
      </c>
      <c r="AA27" s="463">
        <f t="shared" ref="AA27:AK27" si="9">AA26-AA28</f>
        <v>-3.2119999999999997</v>
      </c>
      <c r="AB27" s="463">
        <f t="shared" si="9"/>
        <v>-3.2119999999999997</v>
      </c>
      <c r="AC27" s="463">
        <f t="shared" si="9"/>
        <v>-3.2119999999999997</v>
      </c>
      <c r="AD27" s="463">
        <f t="shared" si="9"/>
        <v>-3.2119999999999997</v>
      </c>
      <c r="AE27" s="463">
        <f t="shared" si="9"/>
        <v>-3.2119999999999997</v>
      </c>
      <c r="AF27" s="463">
        <f t="shared" si="9"/>
        <v>-1.2119999999999997</v>
      </c>
      <c r="AG27" s="463">
        <f t="shared" si="9"/>
        <v>-1.2119999999999997</v>
      </c>
      <c r="AH27" s="463">
        <f t="shared" si="9"/>
        <v>-1.2119999999999997</v>
      </c>
      <c r="AI27" s="463">
        <f t="shared" si="9"/>
        <v>-1.2119999999999997</v>
      </c>
      <c r="AJ27" s="463">
        <f t="shared" si="9"/>
        <v>-1.2119999999999997</v>
      </c>
      <c r="AK27" s="463">
        <f t="shared" si="9"/>
        <v>-1.2119999999999997</v>
      </c>
      <c r="AL27" s="464"/>
      <c r="AM27" s="463">
        <f t="shared" ref="AM27:AW27" si="10">AM26-AM28</f>
        <v>-1.2119999999999997</v>
      </c>
      <c r="AN27" s="463">
        <f t="shared" si="10"/>
        <v>-1.2119999999999997</v>
      </c>
      <c r="AO27" s="463">
        <f t="shared" si="10"/>
        <v>-1.2119999999999997</v>
      </c>
      <c r="AP27" s="463">
        <f t="shared" si="10"/>
        <v>-1.2119999999999997</v>
      </c>
      <c r="AQ27" s="463">
        <f t="shared" si="10"/>
        <v>-1.2119999999999997</v>
      </c>
      <c r="AR27" s="463">
        <f t="shared" si="10"/>
        <v>-1.2119999999999997</v>
      </c>
      <c r="AS27" s="463">
        <f t="shared" si="10"/>
        <v>-1.2119999999999997</v>
      </c>
      <c r="AT27" s="463">
        <f t="shared" si="10"/>
        <v>-1.2119999999999997</v>
      </c>
      <c r="AU27" s="463">
        <f t="shared" si="10"/>
        <v>-1.2119999999999997</v>
      </c>
      <c r="AV27" s="463">
        <f t="shared" si="10"/>
        <v>-1.2119999999999997</v>
      </c>
      <c r="AW27" s="463">
        <f t="shared" si="10"/>
        <v>-1.2119999999999997</v>
      </c>
      <c r="AX27" s="932"/>
      <c r="AY27" s="932"/>
    </row>
    <row r="28" spans="1:51">
      <c r="A28" s="6"/>
      <c r="B28" t="s">
        <v>597</v>
      </c>
      <c r="D28" s="47"/>
      <c r="E28" s="47"/>
      <c r="M28" s="354">
        <v>10.212</v>
      </c>
      <c r="N28" s="354">
        <v>10.212</v>
      </c>
      <c r="O28" s="354">
        <v>10.212</v>
      </c>
      <c r="P28" s="354">
        <v>10.212</v>
      </c>
      <c r="Q28" s="354">
        <v>10.212</v>
      </c>
      <c r="R28" s="354">
        <v>10.212</v>
      </c>
      <c r="S28" s="354">
        <v>10.212</v>
      </c>
      <c r="T28" s="354">
        <v>10.212</v>
      </c>
      <c r="U28" s="354">
        <v>10.212</v>
      </c>
      <c r="V28" s="354">
        <v>10.212</v>
      </c>
      <c r="W28" s="354">
        <v>10.212</v>
      </c>
      <c r="X28" s="354">
        <v>10.212</v>
      </c>
      <c r="Y28" s="379"/>
      <c r="Z28" s="354">
        <v>10.212</v>
      </c>
      <c r="AA28" s="354">
        <v>10.212</v>
      </c>
      <c r="AB28" s="354">
        <v>10.212</v>
      </c>
      <c r="AC28" s="354">
        <v>10.212</v>
      </c>
      <c r="AD28" s="354">
        <v>10.212</v>
      </c>
      <c r="AE28" s="354">
        <v>10.212</v>
      </c>
      <c r="AF28" s="354">
        <v>10.212</v>
      </c>
      <c r="AG28" s="354">
        <v>10.212</v>
      </c>
      <c r="AH28" s="354">
        <v>10.212</v>
      </c>
      <c r="AI28" s="354">
        <v>10.212</v>
      </c>
      <c r="AJ28" s="354">
        <v>10.212</v>
      </c>
      <c r="AK28" s="354">
        <v>10.212</v>
      </c>
      <c r="AL28" s="379"/>
      <c r="AM28" s="354">
        <v>10.212</v>
      </c>
      <c r="AN28" s="354">
        <v>10.212</v>
      </c>
      <c r="AO28" s="354">
        <v>10.212</v>
      </c>
      <c r="AP28" s="354">
        <v>10.212</v>
      </c>
      <c r="AQ28" s="354">
        <v>10.212</v>
      </c>
      <c r="AR28" s="354">
        <v>10.212</v>
      </c>
      <c r="AS28" s="354">
        <v>10.212</v>
      </c>
      <c r="AT28" s="354">
        <v>10.212</v>
      </c>
      <c r="AU28" s="354">
        <v>10.212</v>
      </c>
      <c r="AV28" s="354">
        <v>10.212</v>
      </c>
      <c r="AW28" s="354">
        <v>10.212</v>
      </c>
      <c r="AX28" s="931"/>
      <c r="AY28" s="931"/>
    </row>
    <row r="29" spans="1:51" ht="15.75">
      <c r="A29" s="6"/>
      <c r="B29" s="51" t="s">
        <v>133</v>
      </c>
      <c r="D29" s="484"/>
      <c r="E29" s="484"/>
      <c r="AR29" s="11"/>
    </row>
    <row r="30" spans="1:51" s="13" customFormat="1">
      <c r="A30" s="56"/>
      <c r="B30" s="13" t="s">
        <v>140</v>
      </c>
      <c r="D30" s="68"/>
      <c r="E30" s="68"/>
      <c r="F30" s="340"/>
      <c r="G30" s="340"/>
      <c r="H30" s="340"/>
      <c r="I30" s="340"/>
      <c r="J30" s="340"/>
      <c r="K30" s="340"/>
      <c r="L30" s="341"/>
      <c r="M30" s="479">
        <f>(M7*1000000)/(M15*M4*24)</f>
        <v>0.62007717865555445</v>
      </c>
      <c r="N30" s="479">
        <f t="shared" ref="N30:X30" si="11">(N7*1000000)/(N15*N4*24)</f>
        <v>0.6421071040542512</v>
      </c>
      <c r="O30" s="479">
        <f t="shared" si="11"/>
        <v>0.60225478278805455</v>
      </c>
      <c r="P30" s="479">
        <f t="shared" si="11"/>
        <v>0.62588127198433741</v>
      </c>
      <c r="Q30" s="479">
        <f t="shared" si="11"/>
        <v>0.59278391830929833</v>
      </c>
      <c r="R30" s="479">
        <f t="shared" si="11"/>
        <v>0.63759468352508031</v>
      </c>
      <c r="S30" s="479">
        <f t="shared" si="11"/>
        <v>0.66248216110860136</v>
      </c>
      <c r="T30" s="479">
        <f t="shared" si="11"/>
        <v>0.58999412621152492</v>
      </c>
      <c r="U30" s="479">
        <f t="shared" si="11"/>
        <v>0.59689126143435378</v>
      </c>
      <c r="V30" s="479">
        <f t="shared" si="11"/>
        <v>0.61518647901424628</v>
      </c>
      <c r="W30" s="479">
        <f t="shared" si="11"/>
        <v>0.66012020916749126</v>
      </c>
      <c r="X30" s="479">
        <f t="shared" si="11"/>
        <v>0.6676124459819347</v>
      </c>
      <c r="Y30" s="221">
        <f>(Y7*1000000)/(Y15*Y4*24/12)</f>
        <v>0.6267358411815569</v>
      </c>
      <c r="Z30" s="479">
        <f>(Z7*1000000)/(Z15*Z4*24)</f>
        <v>0.62043400373191437</v>
      </c>
      <c r="AA30" s="479">
        <f t="shared" ref="AA30:AK30" si="12">(AA7*1000000)/(AA15*AA4*24)</f>
        <v>0.64246229139912725</v>
      </c>
      <c r="AB30" s="479">
        <f t="shared" si="12"/>
        <v>0.60260522845273723</v>
      </c>
      <c r="AC30" s="479">
        <f t="shared" si="12"/>
        <v>0.62624991477063163</v>
      </c>
      <c r="AD30" s="479">
        <f t="shared" si="12"/>
        <v>0.59364426524473113</v>
      </c>
      <c r="AE30" s="479">
        <f t="shared" si="12"/>
        <v>0.63853402059300746</v>
      </c>
      <c r="AF30" s="479">
        <f t="shared" si="12"/>
        <v>0.66345047987002659</v>
      </c>
      <c r="AG30" s="479">
        <f t="shared" si="12"/>
        <v>0.59087102603416286</v>
      </c>
      <c r="AH30" s="479">
        <f t="shared" si="12"/>
        <v>0.59773994674262954</v>
      </c>
      <c r="AI30" s="479">
        <f t="shared" si="12"/>
        <v>0.61610720943528086</v>
      </c>
      <c r="AJ30" s="479">
        <f t="shared" si="12"/>
        <v>0.66046475335513422</v>
      </c>
      <c r="AK30" s="479">
        <f t="shared" si="12"/>
        <v>0.66797559720524868</v>
      </c>
      <c r="AL30" s="221">
        <f>(AL7*1000000)/(AL15*AL4*24/12)</f>
        <v>0.6273694254831087</v>
      </c>
      <c r="AM30" s="479">
        <f>(AM7*1000000)/(AM15*AM3*24/12)</f>
        <v>0.62782250002765549</v>
      </c>
      <c r="AN30" s="479">
        <f t="shared" ref="AN30:AW30" si="13">(AN7*1000000)/(AN15*AN3*24/12)</f>
        <v>0.62671924038793869</v>
      </c>
      <c r="AO30" s="479">
        <f t="shared" si="13"/>
        <v>0.62898595107032895</v>
      </c>
      <c r="AP30" s="479">
        <f t="shared" si="13"/>
        <v>0.62933437542435455</v>
      </c>
      <c r="AQ30" s="479">
        <f t="shared" si="13"/>
        <v>0.62967238891181321</v>
      </c>
      <c r="AR30" s="479">
        <f t="shared" si="13"/>
        <v>0.6284174118968795</v>
      </c>
      <c r="AS30" s="479">
        <f t="shared" si="13"/>
        <v>0.63061230814641067</v>
      </c>
      <c r="AT30" s="479">
        <f t="shared" si="13"/>
        <v>0.63108850845459619</v>
      </c>
      <c r="AU30" s="479">
        <f t="shared" si="13"/>
        <v>0.63156353660383147</v>
      </c>
      <c r="AV30" s="479">
        <f t="shared" si="13"/>
        <v>0.63031291025674219</v>
      </c>
      <c r="AW30" s="479">
        <f t="shared" si="13"/>
        <v>0.63250272799411034</v>
      </c>
      <c r="AX30" s="933"/>
      <c r="AY30" s="933"/>
    </row>
    <row r="31" spans="1:51">
      <c r="A31" s="6"/>
      <c r="B31" s="9" t="s">
        <v>141</v>
      </c>
      <c r="C31" s="347">
        <v>9.5</v>
      </c>
      <c r="D31" s="347"/>
      <c r="E31" s="347"/>
      <c r="F31" s="4"/>
      <c r="G31" s="4"/>
      <c r="H31" s="4"/>
      <c r="I31" s="4"/>
      <c r="J31" s="4"/>
      <c r="K31" s="4"/>
      <c r="L31" s="89"/>
      <c r="M31" s="4">
        <f>C31*(1+M20)</f>
        <v>9.5</v>
      </c>
      <c r="N31" s="4">
        <f>M31*(1+N20)</f>
        <v>9.5</v>
      </c>
      <c r="O31" s="4">
        <f t="shared" ref="O31:W31" si="14">N31*(1+O20)</f>
        <v>9.5</v>
      </c>
      <c r="P31" s="4">
        <f t="shared" si="14"/>
        <v>9.5</v>
      </c>
      <c r="Q31" s="4">
        <f t="shared" si="14"/>
        <v>9.5</v>
      </c>
      <c r="R31" s="4">
        <f t="shared" si="14"/>
        <v>9.5</v>
      </c>
      <c r="S31" s="4">
        <f>R31*(1+S20)</f>
        <v>9.5</v>
      </c>
      <c r="T31" s="571">
        <f>((S31*20)+(U31*11))/31</f>
        <v>12.143548387096773</v>
      </c>
      <c r="U31" s="571">
        <v>16.95</v>
      </c>
      <c r="V31" s="4">
        <f>U31*(1+V20)</f>
        <v>16.95</v>
      </c>
      <c r="W31" s="4">
        <f t="shared" si="14"/>
        <v>16.95</v>
      </c>
      <c r="X31" s="4">
        <f>W31*(1+X20)</f>
        <v>16.95</v>
      </c>
      <c r="Y31" s="89">
        <f>SUMPRODUCT(M$7:X$7,M31:X31)/Y$7</f>
        <v>12.099289413133546</v>
      </c>
      <c r="Z31" s="4">
        <f>X31*(1+Z20)</f>
        <v>16.95</v>
      </c>
      <c r="AA31" s="4">
        <f>Z31*(1+AA20)</f>
        <v>16.95</v>
      </c>
      <c r="AB31" s="4">
        <f t="shared" ref="AB31:AJ31" si="15">AA31*(1+AB20)</f>
        <v>16.95</v>
      </c>
      <c r="AC31" s="4">
        <f t="shared" si="15"/>
        <v>16.95</v>
      </c>
      <c r="AD31" s="4">
        <f t="shared" si="15"/>
        <v>16.95</v>
      </c>
      <c r="AE31" s="4">
        <f t="shared" si="15"/>
        <v>16.95</v>
      </c>
      <c r="AF31" s="4">
        <f t="shared" si="15"/>
        <v>16.95</v>
      </c>
      <c r="AG31" s="4">
        <f t="shared" si="15"/>
        <v>16.95</v>
      </c>
      <c r="AH31" s="4">
        <f t="shared" si="15"/>
        <v>16.95</v>
      </c>
      <c r="AI31" s="4">
        <f t="shared" si="15"/>
        <v>16.95</v>
      </c>
      <c r="AJ31" s="4">
        <f t="shared" si="15"/>
        <v>16.95</v>
      </c>
      <c r="AK31" s="4">
        <f>AJ31*(1+AK20)</f>
        <v>16.95</v>
      </c>
      <c r="AL31" s="89">
        <f>SUMPRODUCT(Z$7:AK$7,Z31:AK31)/AL$7</f>
        <v>16.949999999999996</v>
      </c>
      <c r="AM31" s="4">
        <f>AK31*(1+AM20)</f>
        <v>16.95</v>
      </c>
      <c r="AN31" s="4">
        <f t="shared" ref="AN31:AW31" si="16">AM31*(1+AN20)</f>
        <v>16.95</v>
      </c>
      <c r="AO31" s="4">
        <f t="shared" si="16"/>
        <v>16.95</v>
      </c>
      <c r="AP31" s="4">
        <f t="shared" si="16"/>
        <v>16.95</v>
      </c>
      <c r="AQ31" s="4">
        <f t="shared" si="16"/>
        <v>16.95</v>
      </c>
      <c r="AR31" s="4">
        <f t="shared" si="16"/>
        <v>16.95</v>
      </c>
      <c r="AS31" s="4">
        <f t="shared" si="16"/>
        <v>16.95</v>
      </c>
      <c r="AT31" s="4">
        <f t="shared" si="16"/>
        <v>16.95</v>
      </c>
      <c r="AU31" s="4">
        <f t="shared" si="16"/>
        <v>16.95</v>
      </c>
      <c r="AV31" s="4">
        <f t="shared" si="16"/>
        <v>16.95</v>
      </c>
      <c r="AW31" s="4">
        <f t="shared" si="16"/>
        <v>16.95</v>
      </c>
      <c r="AX31" s="837"/>
      <c r="AY31" s="837"/>
    </row>
    <row r="32" spans="1:51">
      <c r="A32" s="6"/>
      <c r="B32" s="9" t="s">
        <v>142</v>
      </c>
      <c r="C32" s="347">
        <v>29.736000000000001</v>
      </c>
      <c r="D32" s="347"/>
      <c r="E32" s="347"/>
      <c r="F32" s="4"/>
      <c r="G32" s="4"/>
      <c r="H32" s="4"/>
      <c r="I32" s="4"/>
      <c r="J32" s="4"/>
      <c r="K32" s="4"/>
      <c r="L32" s="89"/>
      <c r="M32" s="4">
        <f>C32*(1+M20)</f>
        <v>29.736000000000001</v>
      </c>
      <c r="N32" s="4">
        <f>M32*(1+N20)</f>
        <v>29.736000000000001</v>
      </c>
      <c r="O32" s="4">
        <f t="shared" ref="O32:X32" si="17">N32*(1+O20)</f>
        <v>29.736000000000001</v>
      </c>
      <c r="P32" s="4">
        <f t="shared" si="17"/>
        <v>29.736000000000001</v>
      </c>
      <c r="Q32" s="4">
        <f t="shared" si="17"/>
        <v>29.736000000000001</v>
      </c>
      <c r="R32" s="4">
        <f t="shared" si="17"/>
        <v>29.736000000000001</v>
      </c>
      <c r="S32" s="4">
        <f>R32*(1+S20)</f>
        <v>29.736000000000001</v>
      </c>
      <c r="T32" s="571">
        <f>((S32*20)+(U32*11))/31</f>
        <v>29.829677419354841</v>
      </c>
      <c r="U32" s="571">
        <v>30</v>
      </c>
      <c r="V32" s="4">
        <f t="shared" si="17"/>
        <v>30</v>
      </c>
      <c r="W32" s="4">
        <f t="shared" si="17"/>
        <v>30</v>
      </c>
      <c r="X32" s="4">
        <f t="shared" si="17"/>
        <v>30</v>
      </c>
      <c r="Y32" s="89">
        <f>SUMPRODUCT(M$7:X$7,M32:X32)/Y$7</f>
        <v>29.828109047660032</v>
      </c>
      <c r="Z32" s="4">
        <f>X32*(1+Z20)</f>
        <v>30</v>
      </c>
      <c r="AA32" s="4">
        <f>Z32*(1+AA20)</f>
        <v>30</v>
      </c>
      <c r="AB32" s="4">
        <f t="shared" ref="AB32:AJ32" si="18">AA32*(1+AB20)</f>
        <v>30</v>
      </c>
      <c r="AC32" s="4">
        <f t="shared" si="18"/>
        <v>30</v>
      </c>
      <c r="AD32" s="4">
        <f t="shared" si="18"/>
        <v>30</v>
      </c>
      <c r="AE32" s="4">
        <f t="shared" si="18"/>
        <v>30</v>
      </c>
      <c r="AF32" s="4">
        <f t="shared" si="18"/>
        <v>30</v>
      </c>
      <c r="AG32" s="4">
        <f t="shared" si="18"/>
        <v>30</v>
      </c>
      <c r="AH32" s="4">
        <f t="shared" si="18"/>
        <v>30</v>
      </c>
      <c r="AI32" s="4">
        <f t="shared" si="18"/>
        <v>30</v>
      </c>
      <c r="AJ32" s="4">
        <f t="shared" si="18"/>
        <v>30</v>
      </c>
      <c r="AK32" s="4">
        <f>AJ32*(1+AK20)</f>
        <v>30</v>
      </c>
      <c r="AL32" s="89">
        <f>SUMPRODUCT(Z$7:AK$7,Z32:AK32)/AL$7</f>
        <v>29.999999999999996</v>
      </c>
      <c r="AM32" s="4">
        <f>AK32*(1+AM20)</f>
        <v>30</v>
      </c>
      <c r="AN32" s="4">
        <f t="shared" ref="AN32:AW32" si="19">AM32*(1+AN20)</f>
        <v>30</v>
      </c>
      <c r="AO32" s="4">
        <f t="shared" si="19"/>
        <v>30</v>
      </c>
      <c r="AP32" s="4">
        <f t="shared" si="19"/>
        <v>30</v>
      </c>
      <c r="AQ32" s="4">
        <f t="shared" si="19"/>
        <v>30</v>
      </c>
      <c r="AR32" s="4">
        <f t="shared" si="19"/>
        <v>30</v>
      </c>
      <c r="AS32" s="4">
        <f t="shared" si="19"/>
        <v>30</v>
      </c>
      <c r="AT32" s="4">
        <f t="shared" si="19"/>
        <v>30</v>
      </c>
      <c r="AU32" s="4">
        <f t="shared" si="19"/>
        <v>30</v>
      </c>
      <c r="AV32" s="4">
        <f t="shared" si="19"/>
        <v>30</v>
      </c>
      <c r="AW32" s="4">
        <f t="shared" si="19"/>
        <v>30</v>
      </c>
      <c r="AX32" s="837"/>
      <c r="AY32" s="837"/>
    </row>
    <row r="33" spans="1:51" ht="13.5" thickBot="1">
      <c r="A33" s="6"/>
      <c r="B33" t="s">
        <v>144</v>
      </c>
      <c r="D33" s="52"/>
      <c r="E33" s="52"/>
      <c r="F33" s="52"/>
      <c r="G33" s="52"/>
      <c r="H33" s="52"/>
      <c r="I33" s="52"/>
      <c r="J33" s="52"/>
      <c r="K33" s="52"/>
      <c r="L33" s="176"/>
      <c r="M33" s="52">
        <f>((M7*M32)+(M15/1000*M31))/M7</f>
        <v>50.328303093602486</v>
      </c>
      <c r="N33" s="52">
        <f>((N7*N32)+(N15/1000*N31))/N7</f>
        <v>51.752427902206087</v>
      </c>
      <c r="O33" s="52">
        <f>((O7*O32)+(O15/1000*O31))/O7</f>
        <v>50.937686676840691</v>
      </c>
      <c r="P33" s="52">
        <f>((P7*P32)+(P15/1000*P31))/P7</f>
        <v>50.817385615856288</v>
      </c>
      <c r="Q33" s="52">
        <f>((Q7*Q32)+(Q15/1000*Q31))/Q7</f>
        <v>51.276424444575873</v>
      </c>
      <c r="R33" s="52">
        <f t="shared" ref="R33:W33" si="20">((R7*R32)+(R15/1000*R31))/R7</f>
        <v>50.430094203383419</v>
      </c>
      <c r="S33" s="52">
        <f t="shared" si="20"/>
        <v>49.010205335482034</v>
      </c>
      <c r="T33" s="52">
        <f t="shared" si="20"/>
        <v>57.494314935964915</v>
      </c>
      <c r="U33" s="52">
        <f t="shared" si="20"/>
        <v>69.44046124933223</v>
      </c>
      <c r="V33" s="52">
        <f>((V7*V32)+(V15/1000*V31))/V7</f>
        <v>67.033092959100202</v>
      </c>
      <c r="W33" s="52">
        <f t="shared" si="20"/>
        <v>65.662696490319789</v>
      </c>
      <c r="X33" s="52">
        <f>((X7*X32)+(X15/1000*X31))/X7</f>
        <v>64.124975053464794</v>
      </c>
      <c r="Y33" s="176">
        <f>SUMPRODUCT(M$7:X$7,M33:X33)/Y$7</f>
        <v>56.198856275646158</v>
      </c>
      <c r="Z33" s="52">
        <f>((Z7*Z32)+(Z15/1000*Z31))/Z7</f>
        <v>66.719873391014517</v>
      </c>
      <c r="AA33" s="52">
        <f t="shared" ref="AA33:AJ33" si="21">((AA7*AA32)+(AA15/1000*AA31))/AA7</f>
        <v>69.260225266737805</v>
      </c>
      <c r="AB33" s="52">
        <f t="shared" si="21"/>
        <v>67.80627347527728</v>
      </c>
      <c r="AC33" s="52">
        <f t="shared" si="21"/>
        <v>67.591488815274261</v>
      </c>
      <c r="AD33" s="52">
        <f t="shared" si="21"/>
        <v>68.376952997472472</v>
      </c>
      <c r="AE33" s="52">
        <f t="shared" si="21"/>
        <v>66.868304440229338</v>
      </c>
      <c r="AF33" s="52">
        <f t="shared" si="21"/>
        <v>64.339048287340589</v>
      </c>
      <c r="AG33" s="52">
        <f t="shared" si="21"/>
        <v>68.557074320308445</v>
      </c>
      <c r="AH33" s="52">
        <f t="shared" si="21"/>
        <v>69.384462749990931</v>
      </c>
      <c r="AI33" s="52">
        <f t="shared" si="21"/>
        <v>66.977749514403783</v>
      </c>
      <c r="AJ33" s="52">
        <f t="shared" si="21"/>
        <v>65.644092356292987</v>
      </c>
      <c r="AK33" s="52">
        <f>((AK7*AK32)+(AK15/1000*AK31))/AK7</f>
        <v>64.106422689444187</v>
      </c>
      <c r="AL33" s="176">
        <f>SUMPRODUCT(Z$7:AK$7,Z33:AK33)/AL$7</f>
        <v>67.01037560813829</v>
      </c>
      <c r="AM33" s="52">
        <f>((AM7*AM32)+(AM15/1000*AM31))/AM7</f>
        <v>66.98366669109339</v>
      </c>
      <c r="AN33" s="52">
        <f>((AN7*AN32)+(AN15/1000*AN31))/AN7</f>
        <v>66.94754558769354</v>
      </c>
      <c r="AO33" s="52">
        <f t="shared" ref="AO33:AV33" si="22">((AO7*AO32)+(AO15/1000*AO31))/AO7</f>
        <v>66.915257077968604</v>
      </c>
      <c r="AP33" s="52">
        <f t="shared" si="22"/>
        <v>66.894819334372599</v>
      </c>
      <c r="AQ33" s="52">
        <f t="shared" si="22"/>
        <v>66.875013881931025</v>
      </c>
      <c r="AR33" s="52">
        <f t="shared" si="22"/>
        <v>66.84770228600506</v>
      </c>
      <c r="AS33" s="52">
        <f t="shared" si="22"/>
        <v>66.820052165554827</v>
      </c>
      <c r="AT33" s="52">
        <f t="shared" si="22"/>
        <v>66.792268867406065</v>
      </c>
      <c r="AU33" s="52">
        <f t="shared" si="22"/>
        <v>66.764595700142138</v>
      </c>
      <c r="AV33" s="52">
        <f t="shared" si="22"/>
        <v>66.736892626054768</v>
      </c>
      <c r="AW33" s="52">
        <f>((AW7*AW32)+(AW15/1000*AW31))/AW7</f>
        <v>66.710004644292994</v>
      </c>
      <c r="AX33" s="837"/>
      <c r="AY33" s="837"/>
    </row>
    <row r="34" spans="1:51" ht="13.5" thickTop="1">
      <c r="A34" s="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89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8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837"/>
      <c r="AY34" s="837"/>
    </row>
    <row r="35" spans="1:51" s="13" customFormat="1">
      <c r="A35" s="56"/>
      <c r="D35" s="69"/>
      <c r="E35" s="69"/>
      <c r="F35" s="69"/>
      <c r="G35" s="69"/>
      <c r="H35" s="69"/>
      <c r="I35" s="69"/>
      <c r="J35" s="69"/>
      <c r="K35" s="69"/>
      <c r="L35" s="177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177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177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</row>
    <row r="36" spans="1:51">
      <c r="A36" s="6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89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8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837"/>
      <c r="AY36" s="837"/>
    </row>
    <row r="37" spans="1:51">
      <c r="A37" s="6"/>
      <c r="B37" t="s">
        <v>1017</v>
      </c>
      <c r="D37" s="4"/>
      <c r="E37" s="4"/>
      <c r="F37" s="4"/>
      <c r="G37" s="4"/>
      <c r="H37" s="4"/>
      <c r="I37" s="4"/>
      <c r="J37" s="4"/>
      <c r="K37" s="4"/>
      <c r="L37" s="89"/>
      <c r="M37" s="4">
        <f>'Regulatory Charge'!M19/(M7+M8)</f>
        <v>-1.357</v>
      </c>
      <c r="N37" s="4">
        <f>'Regulatory Charge'!N19/(N7+N8)</f>
        <v>-1.357</v>
      </c>
      <c r="O37" s="4">
        <f>'Regulatory Charge'!O19/(O7+O8)</f>
        <v>-1.357</v>
      </c>
      <c r="P37" s="4">
        <f>'Regulatory Charge'!P19/(P7+P8)</f>
        <v>-1.357</v>
      </c>
      <c r="Q37" s="4">
        <f>'Regulatory Charge'!Q19/(Q7+Q8)</f>
        <v>-1.357</v>
      </c>
      <c r="R37" s="4">
        <f>'Regulatory Charge'!R19/(R7+R8)</f>
        <v>-1.357</v>
      </c>
      <c r="S37" s="4">
        <f>'Regulatory Charge'!S19/(S7+S8)</f>
        <v>-1.357</v>
      </c>
      <c r="T37" s="4">
        <f>'Regulatory Charge'!T19/(T7+T8)</f>
        <v>-1.357</v>
      </c>
      <c r="U37" s="4">
        <f>'Regulatory Charge'!U19/(U7+U8)</f>
        <v>-0.68508313310372948</v>
      </c>
      <c r="V37" s="4">
        <f>'Regulatory Charge'!V19/(V7+V8)</f>
        <v>-0.68508313310372959</v>
      </c>
      <c r="W37" s="4">
        <f>'Regulatory Charge'!W19/(W7+W8)</f>
        <v>-0.68508313310372948</v>
      </c>
      <c r="X37" s="4">
        <f>'Regulatory Charge'!X19/(X7+X8)</f>
        <v>-0.68508313310372948</v>
      </c>
      <c r="Y37" s="172">
        <f t="shared" ref="Y37:Y46" si="23">SUMPRODUCT(M$7:X$7,M37:X37)/Y$7</f>
        <v>-1.1457380592010633</v>
      </c>
      <c r="Z37" s="4">
        <f>'Regulatory Charge'!Z19/(Z7+Z8)</f>
        <v>-0.68508313310372948</v>
      </c>
      <c r="AA37" s="4">
        <f>'Regulatory Charge'!AA19/(AA7+AA8)</f>
        <v>-0.68508313310372948</v>
      </c>
      <c r="AB37" s="4">
        <f>'Regulatory Charge'!AB19/(AB7+AB8)</f>
        <v>-0.68508313310372948</v>
      </c>
      <c r="AC37" s="4">
        <f>'Regulatory Charge'!AC19/(AC7+AC8)</f>
        <v>-0.68508313310372948</v>
      </c>
      <c r="AD37" s="4">
        <f>'Regulatory Charge'!AD19/(AD7+AD8)</f>
        <v>-0.68508313310372948</v>
      </c>
      <c r="AE37" s="4">
        <f>'Regulatory Charge'!AE19/(AE7+AE8)</f>
        <v>-0.68508313310372948</v>
      </c>
      <c r="AF37" s="4">
        <f>'Regulatory Charge'!AF19/(AF7+AF8)</f>
        <v>-0.68508313310372948</v>
      </c>
      <c r="AG37" s="4">
        <f>'Regulatory Charge'!AG19/(AG7+AG8)</f>
        <v>-0.68508313310372948</v>
      </c>
      <c r="AH37" s="4">
        <f>'Regulatory Charge'!AH19/(AH7+AH8)</f>
        <v>-0.31995189662832124</v>
      </c>
      <c r="AI37" s="4">
        <f>'Regulatory Charge'!AI19/(AI7+AI8)</f>
        <v>-0.31995189662832124</v>
      </c>
      <c r="AJ37" s="4">
        <f>'Regulatory Charge'!AJ19/(AJ7+AJ8)</f>
        <v>-0.31995189662832124</v>
      </c>
      <c r="AK37" s="4">
        <f>'Regulatory Charge'!AK19/(AK7+AK8)</f>
        <v>-0.31995189662832124</v>
      </c>
      <c r="AL37" s="172">
        <f>SUMPRODUCT(Z$7:AK$7,Z37:AK37)/AL$7</f>
        <v>-0.57028182166755392</v>
      </c>
      <c r="AM37" s="4">
        <f>'Regulatory Charge'!AM19/(AM7+AM8)</f>
        <v>-0.31995189662832124</v>
      </c>
      <c r="AN37" s="4">
        <f>'Regulatory Charge'!AN19/(AN7+AN8)</f>
        <v>1.0340520374622204</v>
      </c>
      <c r="AO37" s="4">
        <f>'Regulatory Charge'!AO19/(AO7+AO8)</f>
        <v>0.98724368665736029</v>
      </c>
      <c r="AP37" s="4">
        <f>'Regulatory Charge'!AP19/(AP7+AP8)</f>
        <v>0.98100747577917535</v>
      </c>
      <c r="AQ37" s="4">
        <f>'Regulatory Charge'!AQ19/(AQ7+AQ8)</f>
        <v>1.0689326218597828</v>
      </c>
      <c r="AR37" s="4">
        <f>'Regulatory Charge'!AR19/(AR7+AR8)</f>
        <v>1.0603839309684941</v>
      </c>
      <c r="AS37" s="4">
        <f>'Regulatory Charge'!AS19/(AS7+AS8)</f>
        <v>1.0459570615534537</v>
      </c>
      <c r="AT37" s="4">
        <f>'Regulatory Charge'!AT19/(AT7+AT8)</f>
        <v>1.1348643260993998</v>
      </c>
      <c r="AU37" s="4">
        <f>'Regulatory Charge'!AU19/(AU7+AU8)</f>
        <v>1.1228930852424654</v>
      </c>
      <c r="AV37" s="4">
        <f>'Regulatory Charge'!AV19/(AV7+AV8)</f>
        <v>1.112034742502348</v>
      </c>
      <c r="AW37" s="4">
        <f>'Regulatory Charge'!AW19/(AW7+AW8)</f>
        <v>1.1974052163063931</v>
      </c>
      <c r="AX37" s="837"/>
      <c r="AY37" s="837"/>
    </row>
    <row r="38" spans="1:51">
      <c r="A38" s="6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72">
        <f t="shared" si="23"/>
        <v>0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172">
        <f t="shared" ref="AL38:AL45" si="24">SUMPRODUCT(Z$7:AK$7,Z38:AK38)/AL$7</f>
        <v>0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837"/>
      <c r="AY38" s="837"/>
    </row>
    <row r="39" spans="1:51">
      <c r="A39" s="6"/>
      <c r="B39" t="s">
        <v>231</v>
      </c>
      <c r="D39" s="4"/>
      <c r="E39" s="4"/>
      <c r="F39" s="4"/>
      <c r="G39" s="4"/>
      <c r="H39" s="4"/>
      <c r="I39" s="4"/>
      <c r="J39" s="4"/>
      <c r="K39" s="4"/>
      <c r="L39" s="89"/>
      <c r="M39" s="4">
        <f>'FAC, PPA, ES, SC'!M37</f>
        <v>3.7963383636932448</v>
      </c>
      <c r="N39" s="4">
        <f>'FAC, PPA, ES, SC'!N37</f>
        <v>3.9251281468845747</v>
      </c>
      <c r="O39" s="4">
        <f>'FAC, PPA, ES, SC'!O37</f>
        <v>3.9177526208667715</v>
      </c>
      <c r="P39" s="4">
        <f>'FAC, PPA, ES, SC'!P37</f>
        <v>3.9583829858781563</v>
      </c>
      <c r="Q39" s="4">
        <f>'FAC, PPA, ES, SC'!Q37</f>
        <v>3.9650535434312602</v>
      </c>
      <c r="R39" s="4">
        <f>'FAC, PPA, ES, SC'!R37</f>
        <v>4.1057147400882172</v>
      </c>
      <c r="S39" s="4">
        <f>'FAC, PPA, ES, SC'!S37</f>
        <v>4.6280961821621247</v>
      </c>
      <c r="T39" s="4">
        <f>'FAC, PPA, ES, SC'!T37</f>
        <v>4.2085144107267354</v>
      </c>
      <c r="U39" s="4">
        <f>'FAC, PPA, ES, SC'!U37</f>
        <v>4.6894785183502243</v>
      </c>
      <c r="V39" s="4">
        <f>'FAC, PPA, ES, SC'!V37</f>
        <v>4.4699835305300013</v>
      </c>
      <c r="W39" s="4">
        <f>'FAC, PPA, ES, SC'!W37</f>
        <v>4.5930663428745611</v>
      </c>
      <c r="X39" s="4">
        <f>'FAC, PPA, ES, SC'!X37</f>
        <v>4.6583515678101328</v>
      </c>
      <c r="Y39" s="172">
        <f t="shared" si="23"/>
        <v>4.2467073131519903</v>
      </c>
      <c r="Z39" s="4">
        <f>'FAC, PPA, ES, SC'!Z37</f>
        <v>4.8866856798061171</v>
      </c>
      <c r="AA39" s="4">
        <f>'FAC, PPA, ES, SC'!AA37</f>
        <v>5.0551684882073182</v>
      </c>
      <c r="AB39" s="4">
        <f>'FAC, PPA, ES, SC'!AB37</f>
        <v>5.2005594622076536</v>
      </c>
      <c r="AC39" s="4">
        <f>'FAC, PPA, ES, SC'!AC37</f>
        <v>5.3225046534309719</v>
      </c>
      <c r="AD39" s="4">
        <f>'FAC, PPA, ES, SC'!AD37</f>
        <v>5.4315731102566787</v>
      </c>
      <c r="AE39" s="4">
        <f>'FAC, PPA, ES, SC'!AE37</f>
        <v>5.6299815605481953</v>
      </c>
      <c r="AF39" s="4">
        <f>'FAC, PPA, ES, SC'!AF37</f>
        <v>5.6517894361783796</v>
      </c>
      <c r="AG39" s="4">
        <f>'FAC, PPA, ES, SC'!AG37</f>
        <v>5.690344155591383</v>
      </c>
      <c r="AH39" s="4">
        <f>'FAC, PPA, ES, SC'!AH37</f>
        <v>5.7617463416336498</v>
      </c>
      <c r="AI39" s="4">
        <f>'FAC, PPA, ES, SC'!AI37</f>
        <v>5.3798392292094768</v>
      </c>
      <c r="AJ39" s="4">
        <f>'FAC, PPA, ES, SC'!AJ37</f>
        <v>5.424671823074668</v>
      </c>
      <c r="AK39" s="4">
        <f>'FAC, PPA, ES, SC'!AK37</f>
        <v>5.4400767169142874</v>
      </c>
      <c r="AL39" s="172">
        <f t="shared" si="24"/>
        <v>5.4048400049679719</v>
      </c>
      <c r="AM39" s="4">
        <f>'FAC, PPA, ES, SC'!AM37</f>
        <v>6.4429337942454907</v>
      </c>
      <c r="AN39" s="4">
        <f>'FAC, PPA, ES, SC'!AN37</f>
        <v>6.9344556727440256</v>
      </c>
      <c r="AO39" s="4">
        <f>'FAC, PPA, ES, SC'!AO37</f>
        <v>8.1711410789152517</v>
      </c>
      <c r="AP39" s="4">
        <f>'FAC, PPA, ES, SC'!AP37</f>
        <v>9.089843981659989</v>
      </c>
      <c r="AQ39" s="4">
        <f>'FAC, PPA, ES, SC'!AQ37</f>
        <v>9.6600154495524251</v>
      </c>
      <c r="AR39" s="4">
        <f>'FAC, PPA, ES, SC'!AR37</f>
        <v>11.262019941767477</v>
      </c>
      <c r="AS39" s="4">
        <f>'FAC, PPA, ES, SC'!AS37</f>
        <v>12.718998434024591</v>
      </c>
      <c r="AT39" s="4">
        <f>'FAC, PPA, ES, SC'!AT37</f>
        <v>13.973213946999408</v>
      </c>
      <c r="AU39" s="4">
        <f>'FAC, PPA, ES, SC'!AU37</f>
        <v>15.594056537842711</v>
      </c>
      <c r="AV39" s="4">
        <f>'FAC, PPA, ES, SC'!AV37</f>
        <v>16.312925925514492</v>
      </c>
      <c r="AW39" s="4">
        <f>'FAC, PPA, ES, SC'!AW37</f>
        <v>19.349098915653869</v>
      </c>
      <c r="AX39" s="837"/>
      <c r="AY39" s="837"/>
    </row>
    <row r="40" spans="1:51">
      <c r="A40" s="6"/>
      <c r="B40" t="s">
        <v>232</v>
      </c>
      <c r="D40" s="4"/>
      <c r="E40" s="4"/>
      <c r="F40" s="4"/>
      <c r="G40" s="4"/>
      <c r="H40" s="4"/>
      <c r="I40" s="4"/>
      <c r="J40" s="4"/>
      <c r="K40" s="4"/>
      <c r="L40" s="89"/>
      <c r="M40" s="23">
        <f>ECP!G86</f>
        <v>3.1716008942705818</v>
      </c>
      <c r="N40" s="23">
        <f>ECP!H86</f>
        <v>3.2516177651844176</v>
      </c>
      <c r="O40" s="23">
        <f>ECP!I86</f>
        <v>3.2867814766008636</v>
      </c>
      <c r="P40" s="23">
        <f>ECP!J86</f>
        <v>3.0664376898739589</v>
      </c>
      <c r="Q40" s="23">
        <f>ECP!K86</f>
        <v>3.2114127880318817</v>
      </c>
      <c r="R40" s="23">
        <f>ECP!L86</f>
        <v>3.1903880663020314</v>
      </c>
      <c r="S40" s="23">
        <f>ECP!M86</f>
        <v>3.0324515301554542</v>
      </c>
      <c r="T40" s="23">
        <f>ECP!N86</f>
        <v>3.6736420697614207</v>
      </c>
      <c r="U40" s="23">
        <f>ECP!O86</f>
        <v>4.3494677537455511</v>
      </c>
      <c r="V40" s="23">
        <f>ECP!P86</f>
        <v>4.1292081857888565</v>
      </c>
      <c r="W40" s="23">
        <f>ECP!Q86</f>
        <v>3.7169998578352357</v>
      </c>
      <c r="X40" s="23">
        <f>ECP!R86</f>
        <v>3.4175989362609904</v>
      </c>
      <c r="Y40" s="172">
        <f t="shared" si="23"/>
        <v>3.4344456346191237</v>
      </c>
      <c r="Z40" s="23">
        <f>ECP!T86</f>
        <v>3.7265445363547869</v>
      </c>
      <c r="AA40" s="23">
        <f>ECP!U86</f>
        <v>3.8787078339803682</v>
      </c>
      <c r="AB40" s="23">
        <f>ECP!V86</f>
        <v>3.6717318384035744</v>
      </c>
      <c r="AC40" s="23">
        <f>ECP!W86</f>
        <v>3.9876040463156892</v>
      </c>
      <c r="AD40" s="23">
        <f>ECP!X86</f>
        <v>3.9441644219119927</v>
      </c>
      <c r="AE40" s="23">
        <f>ECP!Y86</f>
        <v>3.8736173167602712</v>
      </c>
      <c r="AF40" s="23">
        <f>ECP!Z86</f>
        <v>3.700551469842623</v>
      </c>
      <c r="AG40" s="23">
        <f>ECP!AA86</f>
        <v>4.5535475651693043</v>
      </c>
      <c r="AH40" s="23">
        <f>ECP!AB86</f>
        <v>5.3544830264802865</v>
      </c>
      <c r="AI40" s="23">
        <f>ECP!AC86</f>
        <v>5.1019312871038807</v>
      </c>
      <c r="AJ40" s="23">
        <f>ECP!AD86</f>
        <v>4.6479825071632437</v>
      </c>
      <c r="AK40" s="23">
        <f>ECP!AE86</f>
        <v>4.2190082620016724</v>
      </c>
      <c r="AL40" s="172">
        <f t="shared" si="24"/>
        <v>4.1847797672373224</v>
      </c>
      <c r="AM40" s="23">
        <f>ECP!AG86</f>
        <v>5.201019736123552</v>
      </c>
      <c r="AN40" s="23">
        <f>ECP!AH86</f>
        <v>5.4894471129056619</v>
      </c>
      <c r="AO40" s="23">
        <f>ECP!AI86</f>
        <v>5.568374913728201</v>
      </c>
      <c r="AP40" s="23">
        <f>ECP!AJ86</f>
        <v>5.6360879902848682</v>
      </c>
      <c r="AQ40" s="23">
        <f>ECP!AK86</f>
        <v>5.7014712995706232</v>
      </c>
      <c r="AR40" s="23">
        <f>ECP!AL86</f>
        <v>5.4309972122314019</v>
      </c>
      <c r="AS40" s="23">
        <f>ECP!AM86</f>
        <v>5.216122612612426</v>
      </c>
      <c r="AT40" s="23">
        <f>ECP!AN86</f>
        <v>5.3478965715691151</v>
      </c>
      <c r="AU40" s="23">
        <f>ECP!AO86</f>
        <v>5.5137202453999388</v>
      </c>
      <c r="AV40" s="23">
        <f>ECP!AP86</f>
        <v>5.5837821652791719</v>
      </c>
      <c r="AW40" s="23">
        <f>ECP!AQ86</f>
        <v>5.7348489131511311</v>
      </c>
      <c r="AX40" s="31"/>
      <c r="AY40" s="31"/>
    </row>
    <row r="41" spans="1:51">
      <c r="A41" s="6"/>
      <c r="B41" t="s">
        <v>236</v>
      </c>
      <c r="D41" s="8"/>
      <c r="E41" s="8"/>
      <c r="F41" s="8"/>
      <c r="G41" s="8"/>
      <c r="H41" s="8"/>
      <c r="I41" s="8"/>
      <c r="J41" s="8"/>
      <c r="K41" s="8"/>
      <c r="L41" s="216"/>
      <c r="M41" s="8">
        <f>-('FAC, PPA, ES, SC'!M52+'FAC, PPA, ES, SC'!M53)/(M7+M8)</f>
        <v>-3.5419987678431255</v>
      </c>
      <c r="N41" s="8">
        <f>-('FAC, PPA, ES, SC'!N52+'FAC, PPA, ES, SC'!N53)/(N7+N8)</f>
        <v>-3.8534978053181028</v>
      </c>
      <c r="O41" s="8">
        <f>-('FAC, PPA, ES, SC'!O52+'FAC, PPA, ES, SC'!O53)/(O7+O8)</f>
        <v>-4.3303966389368087</v>
      </c>
      <c r="P41" s="8">
        <f>-('FAC, PPA, ES, SC'!P52+'FAC, PPA, ES, SC'!P53)/(P7+P8)</f>
        <v>-5.048932403708319</v>
      </c>
      <c r="Q41" s="8">
        <f>-('FAC, PPA, ES, SC'!Q52+'FAC, PPA, ES, SC'!Q53)/(Q7+Q8)</f>
        <v>-4.7533128779436753</v>
      </c>
      <c r="R41" s="8">
        <f>-('FAC, PPA, ES, SC'!R52+'FAC, PPA, ES, SC'!R53)/(R7+R8)</f>
        <v>-3.8706361659587825</v>
      </c>
      <c r="S41" s="8">
        <f>-('FAC, PPA, ES, SC'!S52+'FAC, PPA, ES, SC'!S53)/(S7+S8)</f>
        <v>-3.5315807075026906</v>
      </c>
      <c r="T41" s="8">
        <f>-('FAC, PPA, ES, SC'!T52+'FAC, PPA, ES, SC'!T53)/(T7+T8)</f>
        <v>-2.8660062033734497</v>
      </c>
      <c r="U41" s="8">
        <f>-('FAC, PPA, ES, SC'!U52+'FAC, PPA, ES, SC'!U53)/(U7+U8)</f>
        <v>-1.9099490423013319</v>
      </c>
      <c r="V41" s="8">
        <f>-('FAC, PPA, ES, SC'!V52+'FAC, PPA, ES, SC'!V53)/(V7+V8)</f>
        <v>-2.1420632362953818</v>
      </c>
      <c r="W41" s="8">
        <f>-('FAC, PPA, ES, SC'!W52+'FAC, PPA, ES, SC'!W53)/(W7+W8)</f>
        <v>-1.9063198549526461</v>
      </c>
      <c r="X41" s="8">
        <f>-('FAC, PPA, ES, SC'!X52+'FAC, PPA, ES, SC'!X53)/(X7+X8)</f>
        <v>-1.5368370338124206</v>
      </c>
      <c r="Y41" s="216">
        <f t="shared" si="23"/>
        <v>-3.2320043198286688</v>
      </c>
      <c r="Z41" s="8">
        <f>-('FAC, PPA, ES, SC'!Z52+'FAC, PPA, ES, SC'!Z53)/(Z7+Z8)</f>
        <v>-1.5004831843630528</v>
      </c>
      <c r="AA41" s="8">
        <f>-('FAC, PPA, ES, SC'!AA52+'FAC, PPA, ES, SC'!AA53)/(AA7+AA8)</f>
        <v>-1.6368182323109093</v>
      </c>
      <c r="AB41" s="8">
        <f>-('FAC, PPA, ES, SC'!AB52+'FAC, PPA, ES, SC'!AB53)/(AB7+AB8)</f>
        <v>-1.8398813480720406</v>
      </c>
      <c r="AC41" s="8">
        <f>-('FAC, PPA, ES, SC'!AC52+'FAC, PPA, ES, SC'!AC53)/(AC7+AC8)</f>
        <v>-2.1467870053988767</v>
      </c>
      <c r="AD41" s="8">
        <f>-('FAC, PPA, ES, SC'!AD52+'FAC, PPA, ES, SC'!AD53)/(AD7+AD8)</f>
        <v>-2.0202342508791742</v>
      </c>
      <c r="AE41" s="8">
        <f>-('FAC, PPA, ES, SC'!AE52+'FAC, PPA, ES, SC'!AE53)/(AE7+AE8)</f>
        <v>-1.6435781306420623</v>
      </c>
      <c r="AF41" s="8">
        <f>-('FAC, PPA, ES, SC'!AF52+'FAC, PPA, ES, SC'!AF53)/(AF7+AF8)</f>
        <v>-1.5106951013206491</v>
      </c>
      <c r="AG41" s="8">
        <f>-('FAC, PPA, ES, SC'!AG52+'FAC, PPA, ES, SC'!AG53)/(AG7+AG8)</f>
        <v>-1.5579589524549675</v>
      </c>
      <c r="AH41" s="8">
        <f>-('FAC, PPA, ES, SC'!AH52+'FAC, PPA, ES, SC'!AH53)/(AH7+AH8)</f>
        <v>-1.888516000997958</v>
      </c>
      <c r="AI41" s="8">
        <f>-('FAC, PPA, ES, SC'!AI52+'FAC, PPA, ES, SC'!AI53)/(AI7+AI8)</f>
        <v>-2.1193805839546793</v>
      </c>
      <c r="AJ41" s="8">
        <f>-('FAC, PPA, ES, SC'!AJ52+'FAC, PPA, ES, SC'!AJ53)/(AJ7+AJ8)</f>
        <v>-1.8850186614847981</v>
      </c>
      <c r="AK41" s="8">
        <f>-('FAC, PPA, ES, SC'!AK52+'FAC, PPA, ES, SC'!AK53)/(AK7+AK8)</f>
        <v>-1.5183662190185225</v>
      </c>
      <c r="AL41" s="216">
        <f t="shared" si="24"/>
        <v>-1.7322366559593299</v>
      </c>
      <c r="AM41" s="8">
        <f>-('FAC, PPA, ES, SC'!AM52+'FAC, PPA, ES, SC'!AM53)/(AM7+AM8)</f>
        <v>-1.7270976087488248</v>
      </c>
      <c r="AN41" s="8">
        <f>-('FAC, PPA, ES, SC'!AN52+'FAC, PPA, ES, SC'!AN53)/(AN7+AN8)</f>
        <v>-1.7100561832913621</v>
      </c>
      <c r="AO41" s="8">
        <f>-('FAC, PPA, ES, SC'!AO52+'FAC, PPA, ES, SC'!AO53)/(AO7+AO8)</f>
        <v>-2.1941616088628115</v>
      </c>
      <c r="AP41" s="8">
        <f>-('FAC, PPA, ES, SC'!AP52+'FAC, PPA, ES, SC'!AP53)/(AP7+AP8)</f>
        <v>-2.3243394891963254</v>
      </c>
      <c r="AQ41" s="8">
        <f>-('FAC, PPA, ES, SC'!AQ52+'FAC, PPA, ES, SC'!AQ53)/(AQ7+AQ8)</f>
        <v>-2.3064338386218677</v>
      </c>
      <c r="AR41" s="8">
        <f>-('FAC, PPA, ES, SC'!AR52+'FAC, PPA, ES, SC'!AR53)/(AR7+AR8)</f>
        <v>-2.2870896642681657</v>
      </c>
      <c r="AS41" s="8">
        <f>-('FAC, PPA, ES, SC'!AS52+'FAC, PPA, ES, SC'!AS53)/(AS7+AS8)</f>
        <v>-2.2622949474014744</v>
      </c>
      <c r="AT41" s="8">
        <f>-('FAC, PPA, ES, SC'!AT52+'FAC, PPA, ES, SC'!AT53)/(AT7+AT8)</f>
        <v>-2.2398610526860865</v>
      </c>
      <c r="AU41" s="8">
        <f>-('FAC, PPA, ES, SC'!AU52+'FAC, PPA, ES, SC'!AU53)/(AU7+AU8)</f>
        <v>-2.2174078410732232</v>
      </c>
      <c r="AV41" s="8">
        <f>-('FAC, PPA, ES, SC'!AV52+'FAC, PPA, ES, SC'!AV53)/(AV7+AV8)</f>
        <v>-2.197370348866766</v>
      </c>
      <c r="AW41" s="8">
        <f>-('FAC, PPA, ES, SC'!AW52+'FAC, PPA, ES, SC'!AW53)/(AW7+AW8)</f>
        <v>-2.172887928901718</v>
      </c>
      <c r="AX41" s="837"/>
      <c r="AY41" s="837"/>
    </row>
    <row r="42" spans="1:51">
      <c r="A42" s="6"/>
      <c r="B42" t="s">
        <v>145</v>
      </c>
      <c r="D42" s="4"/>
      <c r="E42" s="4"/>
      <c r="F42" s="4"/>
      <c r="G42" s="4"/>
      <c r="H42" s="4"/>
      <c r="I42" s="4"/>
      <c r="J42" s="4"/>
      <c r="K42" s="4"/>
      <c r="L42" s="89"/>
      <c r="M42" s="4">
        <f>SUM(M39:M41)</f>
        <v>3.4259404901207011</v>
      </c>
      <c r="N42" s="4">
        <f t="shared" ref="N42:AK42" si="25">SUM(N39:N41)</f>
        <v>3.3232481067508894</v>
      </c>
      <c r="O42" s="4">
        <f t="shared" si="25"/>
        <v>2.8741374585308259</v>
      </c>
      <c r="P42" s="4">
        <f t="shared" si="25"/>
        <v>1.9758882720437967</v>
      </c>
      <c r="Q42" s="4">
        <f t="shared" si="25"/>
        <v>2.4231534535194665</v>
      </c>
      <c r="R42" s="4">
        <f t="shared" si="25"/>
        <v>3.4254666404314658</v>
      </c>
      <c r="S42" s="4">
        <f t="shared" si="25"/>
        <v>4.1289670048148874</v>
      </c>
      <c r="T42" s="4">
        <f t="shared" si="25"/>
        <v>5.016150277114706</v>
      </c>
      <c r="U42" s="4">
        <f t="shared" si="25"/>
        <v>7.1289972297944431</v>
      </c>
      <c r="V42" s="4">
        <f t="shared" si="25"/>
        <v>6.4571284800234761</v>
      </c>
      <c r="W42" s="4">
        <f t="shared" si="25"/>
        <v>6.40374634575715</v>
      </c>
      <c r="X42" s="4">
        <f t="shared" si="25"/>
        <v>6.5391134702587026</v>
      </c>
      <c r="Y42" s="172">
        <f t="shared" si="23"/>
        <v>4.4491486279424457</v>
      </c>
      <c r="Z42" s="4">
        <f t="shared" si="25"/>
        <v>7.1127470317978512</v>
      </c>
      <c r="AA42" s="4">
        <f t="shared" si="25"/>
        <v>7.297058089876777</v>
      </c>
      <c r="AB42" s="4">
        <f t="shared" si="25"/>
        <v>7.0324099525391865</v>
      </c>
      <c r="AC42" s="4">
        <f t="shared" si="25"/>
        <v>7.1633216943477835</v>
      </c>
      <c r="AD42" s="4">
        <f t="shared" si="25"/>
        <v>7.3555032812894972</v>
      </c>
      <c r="AE42" s="4">
        <f t="shared" si="25"/>
        <v>7.8600207466664038</v>
      </c>
      <c r="AF42" s="4">
        <f t="shared" si="25"/>
        <v>7.8416458047003532</v>
      </c>
      <c r="AG42" s="4">
        <f t="shared" si="25"/>
        <v>8.6859327683057188</v>
      </c>
      <c r="AH42" s="4">
        <f t="shared" si="25"/>
        <v>9.2277133671159781</v>
      </c>
      <c r="AI42" s="4">
        <f t="shared" si="25"/>
        <v>8.3623899323586777</v>
      </c>
      <c r="AJ42" s="4">
        <f t="shared" si="25"/>
        <v>8.1876356687531135</v>
      </c>
      <c r="AK42" s="4">
        <f t="shared" si="25"/>
        <v>8.1407187598974371</v>
      </c>
      <c r="AL42" s="172">
        <f t="shared" si="24"/>
        <v>7.8573831162459662</v>
      </c>
      <c r="AM42" s="4">
        <f t="shared" ref="AM42:AW42" si="26">SUM(AM39:AM41)</f>
        <v>9.9168559216202183</v>
      </c>
      <c r="AN42" s="4">
        <f t="shared" si="26"/>
        <v>10.713846602358325</v>
      </c>
      <c r="AO42" s="4">
        <f t="shared" si="26"/>
        <v>11.545354383780641</v>
      </c>
      <c r="AP42" s="4">
        <f t="shared" si="26"/>
        <v>12.40159248274853</v>
      </c>
      <c r="AQ42" s="4">
        <f t="shared" si="26"/>
        <v>13.055052910501182</v>
      </c>
      <c r="AR42" s="4">
        <f t="shared" si="26"/>
        <v>14.405927489730715</v>
      </c>
      <c r="AS42" s="4">
        <f t="shared" si="26"/>
        <v>15.672826099235543</v>
      </c>
      <c r="AT42" s="4">
        <f t="shared" si="26"/>
        <v>17.081249465882436</v>
      </c>
      <c r="AU42" s="4">
        <f t="shared" si="26"/>
        <v>18.890368942169424</v>
      </c>
      <c r="AV42" s="4">
        <f t="shared" si="26"/>
        <v>19.699337741926897</v>
      </c>
      <c r="AW42" s="4">
        <f t="shared" si="26"/>
        <v>22.911059899903282</v>
      </c>
      <c r="AX42" s="837"/>
      <c r="AY42" s="837"/>
    </row>
    <row r="43" spans="1:51" s="165" customFormat="1">
      <c r="A43" s="360"/>
      <c r="B43" s="165" t="s">
        <v>146</v>
      </c>
      <c r="D43" s="191"/>
      <c r="E43" s="191"/>
      <c r="F43" s="191"/>
      <c r="G43" s="191"/>
      <c r="H43" s="191"/>
      <c r="I43" s="191"/>
      <c r="J43" s="191"/>
      <c r="K43" s="191"/>
      <c r="L43" s="89"/>
      <c r="M43" s="191">
        <f t="shared" ref="M43:W43" si="27">IF((M$42-M$27)*(M$7)+(M$62-M$27)*M$8&gt;M$142+M$144,-(M$142+M$144)/(M$7+M$8),-M$42+M$27)</f>
        <v>-7.6379404901207009</v>
      </c>
      <c r="N43" s="191">
        <f t="shared" si="27"/>
        <v>-7.5352481067508892</v>
      </c>
      <c r="O43" s="191">
        <f t="shared" si="27"/>
        <v>-7.0861374585308257</v>
      </c>
      <c r="P43" s="191">
        <f t="shared" si="27"/>
        <v>-6.1878882720437964</v>
      </c>
      <c r="Q43" s="191">
        <f t="shared" si="27"/>
        <v>-6.6351534535194663</v>
      </c>
      <c r="R43" s="191">
        <f t="shared" si="27"/>
        <v>-7.6374666404314659</v>
      </c>
      <c r="S43" s="191">
        <f t="shared" si="27"/>
        <v>-7.3409670048148872</v>
      </c>
      <c r="T43" s="191">
        <f t="shared" si="27"/>
        <v>-8.2281502771147057</v>
      </c>
      <c r="U43" s="191">
        <f t="shared" si="27"/>
        <v>-10.340997229794443</v>
      </c>
      <c r="V43" s="191">
        <f t="shared" si="27"/>
        <v>-9.6691284800234758</v>
      </c>
      <c r="W43" s="191">
        <f t="shared" si="27"/>
        <v>-9.6157463457571488</v>
      </c>
      <c r="X43" s="191">
        <f>IF((X$42-X$27)*(X$7)+(X$62-X$27)*X$8&gt;X$142+X$144,-(X$142+X$144)/(X$7+X$8),-X$42+X$27)</f>
        <v>-9.7511134702587015</v>
      </c>
      <c r="Y43" s="89">
        <f t="shared" si="23"/>
        <v>-8.1486186984453433</v>
      </c>
      <c r="Z43" s="191">
        <f>IF((Z$42-Z$27)*(Z$7)+(Z$62-Z$27)*Z$8&gt;Z$142+Z$144,-(Z$142+Z$144)/(Z$7+Z$8),-Z$42+Z$27)</f>
        <v>-10.324747031797852</v>
      </c>
      <c r="AA43" s="191">
        <f t="shared" ref="AA43:AW43" si="28">IF((AA$42-AA$27)*(AA$7)+(AA$62-AA$27)*AA$8&gt;AA$142+AA$144,-(AA$142+AA$144)/(AA$7+AA$8),-AA$42+AA$27)</f>
        <v>-10.509058089876778</v>
      </c>
      <c r="AB43" s="191">
        <f t="shared" si="28"/>
        <v>-10.244409952539186</v>
      </c>
      <c r="AC43" s="191">
        <f t="shared" si="28"/>
        <v>-10.375321694347782</v>
      </c>
      <c r="AD43" s="191">
        <f t="shared" si="28"/>
        <v>-10.567503281289497</v>
      </c>
      <c r="AE43" s="191">
        <f t="shared" si="28"/>
        <v>-11.072020746666404</v>
      </c>
      <c r="AF43" s="191">
        <f t="shared" si="28"/>
        <v>-9.0536458047003521</v>
      </c>
      <c r="AG43" s="191">
        <f t="shared" si="28"/>
        <v>-9.8979327683057186</v>
      </c>
      <c r="AH43" s="191">
        <f t="shared" si="28"/>
        <v>-10.439713367115978</v>
      </c>
      <c r="AI43" s="191">
        <f t="shared" si="28"/>
        <v>-9.5743899323586774</v>
      </c>
      <c r="AJ43" s="191">
        <f t="shared" si="28"/>
        <v>-9.3996356687531133</v>
      </c>
      <c r="AK43" s="191">
        <f t="shared" si="28"/>
        <v>-9.3527187598974368</v>
      </c>
      <c r="AL43" s="89">
        <f t="shared" si="24"/>
        <v>-10.044311182877948</v>
      </c>
      <c r="AM43" s="191">
        <f t="shared" si="28"/>
        <v>-6.2570983071537754</v>
      </c>
      <c r="AN43" s="191">
        <f t="shared" si="28"/>
        <v>0</v>
      </c>
      <c r="AO43" s="191">
        <f t="shared" si="28"/>
        <v>0</v>
      </c>
      <c r="AP43" s="191">
        <f t="shared" si="28"/>
        <v>0</v>
      </c>
      <c r="AQ43" s="191">
        <f t="shared" si="28"/>
        <v>0</v>
      </c>
      <c r="AR43" s="191">
        <f t="shared" si="28"/>
        <v>0</v>
      </c>
      <c r="AS43" s="191">
        <f t="shared" si="28"/>
        <v>0</v>
      </c>
      <c r="AT43" s="191">
        <f t="shared" si="28"/>
        <v>0</v>
      </c>
      <c r="AU43" s="191">
        <f t="shared" si="28"/>
        <v>0</v>
      </c>
      <c r="AV43" s="191">
        <f t="shared" si="28"/>
        <v>0</v>
      </c>
      <c r="AW43" s="191">
        <f t="shared" si="28"/>
        <v>0</v>
      </c>
      <c r="AX43" s="934"/>
      <c r="AY43" s="934"/>
    </row>
    <row r="44" spans="1:51" s="165" customFormat="1">
      <c r="A44" s="360"/>
      <c r="B44" s="165" t="s">
        <v>639</v>
      </c>
      <c r="D44" s="191"/>
      <c r="E44" s="191"/>
      <c r="F44" s="191"/>
      <c r="G44" s="191"/>
      <c r="H44" s="191"/>
      <c r="I44" s="191"/>
      <c r="J44" s="191"/>
      <c r="K44" s="191"/>
      <c r="L44" s="89"/>
      <c r="M44" s="191">
        <f>IF(M149&lt;0.0001,IF((M42-M27+M43)*M7&gt;(M152+M154),-(M152+M154)/M7,-(M42-M27+M43)),0)</f>
        <v>0</v>
      </c>
      <c r="N44" s="191">
        <f>IF(N149&lt;0.0001,IF((N42-N27+N43)*N7&gt;(N152+N154),-(N152+N154)/N7,-(N42-N27+N43)),0)</f>
        <v>0</v>
      </c>
      <c r="O44" s="191">
        <f t="shared" ref="O44:X44" si="29">IF(O149&lt;0.0001,IF((O42-O27+O43)*O7&gt;(O152+O154),-(O152+O154)/O7,-(O42-O27+O43)),0)</f>
        <v>0</v>
      </c>
      <c r="P44" s="191">
        <f t="shared" si="29"/>
        <v>0</v>
      </c>
      <c r="Q44" s="191">
        <f t="shared" si="29"/>
        <v>0</v>
      </c>
      <c r="R44" s="191">
        <f t="shared" si="29"/>
        <v>0</v>
      </c>
      <c r="S44" s="191">
        <f t="shared" si="29"/>
        <v>0</v>
      </c>
      <c r="T44" s="191">
        <f t="shared" si="29"/>
        <v>0</v>
      </c>
      <c r="U44" s="191">
        <f t="shared" si="29"/>
        <v>0</v>
      </c>
      <c r="V44" s="191">
        <f t="shared" si="29"/>
        <v>0</v>
      </c>
      <c r="W44" s="191">
        <f t="shared" si="29"/>
        <v>0</v>
      </c>
      <c r="X44" s="191">
        <f t="shared" si="29"/>
        <v>0</v>
      </c>
      <c r="Y44" s="89">
        <f t="shared" si="23"/>
        <v>0</v>
      </c>
      <c r="Z44" s="191">
        <f>IF(Z149&lt;0.0001,IF((Z42-Z27+Z43)*Z7&gt;(Z152+Z154),-(Z152+Z154)/Z7,-(Z42-Z27+Z43)),0)</f>
        <v>0</v>
      </c>
      <c r="AA44" s="191">
        <f>IF(AA149&lt;0.0001,IF((AA42-AA27+AA43)*AA7&gt;(AA152+AA154),-(AA152+AA154)/AA7,-(AA42-AA27+AA43)),0)</f>
        <v>0</v>
      </c>
      <c r="AB44" s="191">
        <f t="shared" ref="AB44:AK44" si="30">IF(AB149&lt;0.0001,IF((AB42-AB27+AB43)*AB7&gt;(AB152+AB154),-(AB152+AB154)/AB7,-(AB42-AB27+AB43)),0)</f>
        <v>0</v>
      </c>
      <c r="AC44" s="191">
        <f t="shared" si="30"/>
        <v>0</v>
      </c>
      <c r="AD44" s="191">
        <f t="shared" si="30"/>
        <v>0</v>
      </c>
      <c r="AE44" s="191">
        <f t="shared" si="30"/>
        <v>0</v>
      </c>
      <c r="AF44" s="191">
        <f t="shared" si="30"/>
        <v>0</v>
      </c>
      <c r="AG44" s="191">
        <f t="shared" si="30"/>
        <v>0</v>
      </c>
      <c r="AH44" s="191">
        <f t="shared" si="30"/>
        <v>0</v>
      </c>
      <c r="AI44" s="191">
        <f t="shared" si="30"/>
        <v>0</v>
      </c>
      <c r="AJ44" s="191">
        <f t="shared" si="30"/>
        <v>0</v>
      </c>
      <c r="AK44" s="191">
        <f t="shared" si="30"/>
        <v>0</v>
      </c>
      <c r="AL44" s="89">
        <f t="shared" si="24"/>
        <v>0</v>
      </c>
      <c r="AM44" s="191">
        <f t="shared" ref="AM44:AW44" si="31">IF(AM149&lt;0.0001,IF((AM42-AM27+AM43)*AM7&gt;(AM152+AM154),-(AM152+AM154)/AM7,-(AM42-AM27+AM43)),0)</f>
        <v>-4.8717576144664427</v>
      </c>
      <c r="AN44" s="191">
        <f t="shared" si="31"/>
        <v>-11.925846602358325</v>
      </c>
      <c r="AO44" s="191">
        <f t="shared" si="31"/>
        <v>-10.563227368576142</v>
      </c>
      <c r="AP44" s="191">
        <f t="shared" si="31"/>
        <v>0</v>
      </c>
      <c r="AQ44" s="191">
        <f t="shared" si="31"/>
        <v>0</v>
      </c>
      <c r="AR44" s="191">
        <f t="shared" si="31"/>
        <v>0</v>
      </c>
      <c r="AS44" s="191">
        <f t="shared" si="31"/>
        <v>0</v>
      </c>
      <c r="AT44" s="191">
        <f t="shared" si="31"/>
        <v>0</v>
      </c>
      <c r="AU44" s="191">
        <f t="shared" si="31"/>
        <v>0</v>
      </c>
      <c r="AV44" s="191">
        <f t="shared" si="31"/>
        <v>0</v>
      </c>
      <c r="AW44" s="191">
        <f t="shared" si="31"/>
        <v>0</v>
      </c>
      <c r="AX44" s="934"/>
      <c r="AY44" s="934"/>
    </row>
    <row r="45" spans="1:51" s="165" customFormat="1">
      <c r="A45" s="360"/>
      <c r="B45" s="165" t="s">
        <v>160</v>
      </c>
      <c r="L45" s="88"/>
      <c r="Y45" s="88">
        <f t="shared" si="23"/>
        <v>0</v>
      </c>
      <c r="AL45" s="88">
        <f t="shared" si="24"/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  <c r="AX45" s="934"/>
      <c r="AY45" s="934"/>
    </row>
    <row r="46" spans="1:51" ht="13.5" thickBot="1">
      <c r="A46" s="6"/>
      <c r="B46" t="s">
        <v>161</v>
      </c>
      <c r="D46" s="52"/>
      <c r="E46" s="52"/>
      <c r="F46" s="52"/>
      <c r="G46" s="52"/>
      <c r="H46" s="52"/>
      <c r="I46" s="52"/>
      <c r="J46" s="52"/>
      <c r="K46" s="52"/>
      <c r="L46" s="176"/>
      <c r="M46" s="52">
        <f>M33+M35+M37+M42+M43+M44+M45</f>
        <v>44.75930309360249</v>
      </c>
      <c r="N46" s="52">
        <f t="shared" ref="N46:X46" si="32">N33+N35+N37+N42+N43+N44+N45</f>
        <v>46.183427902206084</v>
      </c>
      <c r="O46" s="52">
        <f t="shared" si="32"/>
        <v>45.368686676840689</v>
      </c>
      <c r="P46" s="52">
        <f t="shared" si="32"/>
        <v>45.248385615856293</v>
      </c>
      <c r="Q46" s="52">
        <f t="shared" si="32"/>
        <v>45.707424444575878</v>
      </c>
      <c r="R46" s="52">
        <f t="shared" si="32"/>
        <v>44.861094203383416</v>
      </c>
      <c r="S46" s="52">
        <f t="shared" si="32"/>
        <v>44.441205335482039</v>
      </c>
      <c r="T46" s="52">
        <f t="shared" si="32"/>
        <v>52.925314935964913</v>
      </c>
      <c r="U46" s="52">
        <f t="shared" si="32"/>
        <v>65.54337811622851</v>
      </c>
      <c r="V46" s="52">
        <f t="shared" si="32"/>
        <v>63.136009825996467</v>
      </c>
      <c r="W46" s="52">
        <f t="shared" si="32"/>
        <v>61.765613357216068</v>
      </c>
      <c r="X46" s="52">
        <f t="shared" si="32"/>
        <v>60.22789192036106</v>
      </c>
      <c r="Y46" s="176">
        <f t="shared" si="23"/>
        <v>51.353648145942195</v>
      </c>
      <c r="Z46" s="52">
        <f t="shared" ref="Z46:AW46" si="33">Z33+Z35+Z37+Z42+Z43+Z44+Z45</f>
        <v>62.822790257910782</v>
      </c>
      <c r="AA46" s="52">
        <f t="shared" si="33"/>
        <v>65.363142133634071</v>
      </c>
      <c r="AB46" s="52">
        <f t="shared" si="33"/>
        <v>63.909190342173545</v>
      </c>
      <c r="AC46" s="52">
        <f t="shared" si="33"/>
        <v>63.694405682170533</v>
      </c>
      <c r="AD46" s="52">
        <f t="shared" si="33"/>
        <v>64.479869864368737</v>
      </c>
      <c r="AE46" s="52">
        <f t="shared" si="33"/>
        <v>62.97122130712561</v>
      </c>
      <c r="AF46" s="52">
        <f t="shared" si="33"/>
        <v>62.441965154236854</v>
      </c>
      <c r="AG46" s="52">
        <f t="shared" si="33"/>
        <v>66.65999118720471</v>
      </c>
      <c r="AH46" s="52">
        <f t="shared" si="33"/>
        <v>67.852510853362617</v>
      </c>
      <c r="AI46" s="52">
        <f t="shared" si="33"/>
        <v>65.445797617775469</v>
      </c>
      <c r="AJ46" s="52">
        <f t="shared" si="33"/>
        <v>64.112140459664658</v>
      </c>
      <c r="AK46" s="52">
        <f t="shared" si="33"/>
        <v>62.574470792815866</v>
      </c>
      <c r="AL46" s="176">
        <f>SUMPRODUCT(Z$7:AK$7,Z46:AK46)/AL$7</f>
        <v>64.253165719838762</v>
      </c>
      <c r="AM46" s="52">
        <f t="shared" si="33"/>
        <v>65.451714794465062</v>
      </c>
      <c r="AN46" s="52">
        <f t="shared" si="33"/>
        <v>66.769597625155768</v>
      </c>
      <c r="AO46" s="52">
        <f t="shared" si="33"/>
        <v>68.884627779830467</v>
      </c>
      <c r="AP46" s="52">
        <f t="shared" si="33"/>
        <v>80.277419292900305</v>
      </c>
      <c r="AQ46" s="52">
        <f t="shared" si="33"/>
        <v>80.998999414292001</v>
      </c>
      <c r="AR46" s="52">
        <f t="shared" si="33"/>
        <v>82.314013706704273</v>
      </c>
      <c r="AS46" s="52">
        <f t="shared" si="33"/>
        <v>83.538835326343815</v>
      </c>
      <c r="AT46" s="52">
        <f t="shared" si="33"/>
        <v>85.008382659387905</v>
      </c>
      <c r="AU46" s="52">
        <f t="shared" si="33"/>
        <v>86.777857727554021</v>
      </c>
      <c r="AV46" s="52">
        <f t="shared" si="33"/>
        <v>87.54826511048401</v>
      </c>
      <c r="AW46" s="52">
        <f t="shared" si="33"/>
        <v>90.818469760502666</v>
      </c>
      <c r="AX46" s="837"/>
      <c r="AY46" s="837"/>
    </row>
    <row r="47" spans="1:51" ht="13.5" thickTop="1">
      <c r="A47" s="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89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8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837"/>
      <c r="AY47" s="837"/>
    </row>
    <row r="48" spans="1:51" ht="15.75">
      <c r="A48" s="6"/>
      <c r="B48" s="51" t="s">
        <v>134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89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8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837"/>
      <c r="AY48" s="837"/>
    </row>
    <row r="49" spans="1:51" s="13" customFormat="1">
      <c r="A49" s="56"/>
      <c r="B49" s="13" t="s">
        <v>140</v>
      </c>
      <c r="D49" s="68"/>
      <c r="E49" s="68"/>
      <c r="F49" s="68"/>
      <c r="G49" s="68"/>
      <c r="H49" s="68"/>
      <c r="I49" s="68"/>
      <c r="J49" s="68"/>
      <c r="K49" s="68"/>
      <c r="L49" s="294"/>
      <c r="M49" s="479">
        <f>(M8*1000000)/(M16*M4*24)</f>
        <v>0.75770500395213813</v>
      </c>
      <c r="N49" s="479">
        <f t="shared" ref="N49:X49" si="34">(N8*1000000)/(N16*N4*24)</f>
        <v>0.79037002393257327</v>
      </c>
      <c r="O49" s="479">
        <f t="shared" si="34"/>
        <v>0.7767788134817647</v>
      </c>
      <c r="P49" s="479">
        <f t="shared" si="34"/>
        <v>0.76938819185897722</v>
      </c>
      <c r="Q49" s="479">
        <f t="shared" si="34"/>
        <v>0.76721420857703027</v>
      </c>
      <c r="R49" s="479">
        <f t="shared" si="34"/>
        <v>0.77063823780179175</v>
      </c>
      <c r="S49" s="479">
        <f t="shared" si="34"/>
        <v>0.77876753353212469</v>
      </c>
      <c r="T49" s="479">
        <f t="shared" si="34"/>
        <v>0.76936055053451791</v>
      </c>
      <c r="U49" s="479">
        <f t="shared" si="34"/>
        <v>0.78198583999367954</v>
      </c>
      <c r="V49" s="479">
        <f t="shared" si="34"/>
        <v>0.76554607794627294</v>
      </c>
      <c r="W49" s="479">
        <f t="shared" si="34"/>
        <v>0.77180334125545091</v>
      </c>
      <c r="X49" s="479">
        <f t="shared" si="34"/>
        <v>0.76592920813990772</v>
      </c>
      <c r="Y49" s="221">
        <f>(Y8*1000000)/(Y16*Y4*24/12)</f>
        <v>0.77202118335008796</v>
      </c>
      <c r="Z49" s="479">
        <f>(Z8*1000000)/(Z16*Z4*24)</f>
        <v>0.75711587292408333</v>
      </c>
      <c r="AA49" s="479">
        <f t="shared" ref="AA49:AK49" si="35">(AA8*1000000)/(AA16*AA4*24)</f>
        <v>0.79037002393257327</v>
      </c>
      <c r="AB49" s="479">
        <f t="shared" si="35"/>
        <v>0.7767788134817647</v>
      </c>
      <c r="AC49" s="479">
        <f t="shared" si="35"/>
        <v>0.76938819185897722</v>
      </c>
      <c r="AD49" s="479">
        <f t="shared" si="35"/>
        <v>0.76721420857703027</v>
      </c>
      <c r="AE49" s="479">
        <f t="shared" si="35"/>
        <v>0.77063823780179175</v>
      </c>
      <c r="AF49" s="479">
        <f t="shared" si="35"/>
        <v>0.77876753353212469</v>
      </c>
      <c r="AG49" s="479">
        <f t="shared" si="35"/>
        <v>0.76936055053451791</v>
      </c>
      <c r="AH49" s="479">
        <f t="shared" si="35"/>
        <v>0.78198583999367954</v>
      </c>
      <c r="AI49" s="479">
        <f t="shared" si="35"/>
        <v>0.76554607794627294</v>
      </c>
      <c r="AJ49" s="479">
        <f t="shared" si="35"/>
        <v>0.77180334125545091</v>
      </c>
      <c r="AK49" s="479">
        <f t="shared" si="35"/>
        <v>0.76592920813990772</v>
      </c>
      <c r="AL49" s="221">
        <f>(AL8*1000000)/(AL16*AL4*24/12)</f>
        <v>0.77197094724951576</v>
      </c>
      <c r="AM49" s="479">
        <f>(AM8*1000000)/(AM16*AM3*24/12)</f>
        <v>0.77197094724951598</v>
      </c>
      <c r="AN49" s="479">
        <f t="shared" ref="AN49:AW49" si="36">(AN8*1000000)/(AN16*AN3*24/12)</f>
        <v>0.77019449787391903</v>
      </c>
      <c r="AO49" s="479">
        <f t="shared" si="36"/>
        <v>0.77197094724951609</v>
      </c>
      <c r="AP49" s="479">
        <f t="shared" si="36"/>
        <v>0.77197094724951609</v>
      </c>
      <c r="AQ49" s="479">
        <f t="shared" si="36"/>
        <v>0.77197094724951609</v>
      </c>
      <c r="AR49" s="479">
        <f t="shared" si="36"/>
        <v>0.77019449787391914</v>
      </c>
      <c r="AS49" s="479">
        <f t="shared" si="36"/>
        <v>0.77197094724951609</v>
      </c>
      <c r="AT49" s="479">
        <f t="shared" si="36"/>
        <v>0.77197094724951609</v>
      </c>
      <c r="AU49" s="479">
        <f t="shared" si="36"/>
        <v>0.77197094724951609</v>
      </c>
      <c r="AV49" s="479">
        <f t="shared" si="36"/>
        <v>0.77019449787391914</v>
      </c>
      <c r="AW49" s="479">
        <f t="shared" si="36"/>
        <v>0.77197094724951609</v>
      </c>
      <c r="AX49" s="933"/>
      <c r="AY49" s="933"/>
    </row>
    <row r="50" spans="1:51">
      <c r="A50" s="6"/>
      <c r="B50" s="9" t="s">
        <v>141</v>
      </c>
      <c r="C50" s="347">
        <v>10.5</v>
      </c>
      <c r="D50" s="347"/>
      <c r="E50" s="347"/>
      <c r="F50" s="4"/>
      <c r="G50" s="4"/>
      <c r="H50" s="4"/>
      <c r="I50" s="4"/>
      <c r="J50" s="4"/>
      <c r="K50" s="4"/>
      <c r="L50" s="89"/>
      <c r="M50" s="4">
        <f>C50*(1+M21)</f>
        <v>10.5</v>
      </c>
      <c r="N50" s="4">
        <f>M50*(1+N21)</f>
        <v>10.5</v>
      </c>
      <c r="O50" s="4">
        <f t="shared" ref="O50:X50" si="37">N50*(1+O21)</f>
        <v>10.5</v>
      </c>
      <c r="P50" s="4">
        <f t="shared" si="37"/>
        <v>10.5</v>
      </c>
      <c r="Q50" s="4">
        <f t="shared" si="37"/>
        <v>10.5</v>
      </c>
      <c r="R50" s="4">
        <f t="shared" si="37"/>
        <v>10.5</v>
      </c>
      <c r="S50" s="4">
        <f>R50*(1+S21)</f>
        <v>10.5</v>
      </c>
      <c r="T50" s="571">
        <f>((S50*20)+(U50*11))/31</f>
        <v>11.177741935483871</v>
      </c>
      <c r="U50" s="571">
        <v>12.41</v>
      </c>
      <c r="V50" s="4">
        <f t="shared" si="37"/>
        <v>12.41</v>
      </c>
      <c r="W50" s="4">
        <f t="shared" si="37"/>
        <v>12.41</v>
      </c>
      <c r="X50" s="4">
        <f t="shared" si="37"/>
        <v>12.41</v>
      </c>
      <c r="Y50" s="89">
        <f>SUMPRODUCT(M50:X50,M$8:X$8)/Y$8</f>
        <v>11.190127308301436</v>
      </c>
      <c r="Z50" s="4">
        <f>X50*(1+Z21)</f>
        <v>12.41</v>
      </c>
      <c r="AA50" s="4">
        <f>Z50*(1+AA21)</f>
        <v>12.41</v>
      </c>
      <c r="AB50" s="4">
        <f t="shared" ref="AB50:AK50" si="38">AA50*(1+AB21)</f>
        <v>12.41</v>
      </c>
      <c r="AC50" s="4">
        <f t="shared" si="38"/>
        <v>12.41</v>
      </c>
      <c r="AD50" s="4">
        <f t="shared" si="38"/>
        <v>12.41</v>
      </c>
      <c r="AE50" s="4">
        <f t="shared" si="38"/>
        <v>12.41</v>
      </c>
      <c r="AF50" s="4">
        <f t="shared" si="38"/>
        <v>12.41</v>
      </c>
      <c r="AG50" s="4">
        <f t="shared" si="38"/>
        <v>12.41</v>
      </c>
      <c r="AH50" s="4">
        <f t="shared" si="38"/>
        <v>12.41</v>
      </c>
      <c r="AI50" s="4">
        <f t="shared" si="38"/>
        <v>12.41</v>
      </c>
      <c r="AJ50" s="4">
        <f t="shared" si="38"/>
        <v>12.41</v>
      </c>
      <c r="AK50" s="4">
        <f t="shared" si="38"/>
        <v>12.41</v>
      </c>
      <c r="AL50" s="89">
        <f>SUMPRODUCT(Z50:AK50,Z$8:AK$8)/AL$8</f>
        <v>12.410000000000005</v>
      </c>
      <c r="AM50" s="4">
        <f>AK50*(1+AM21)</f>
        <v>12.41</v>
      </c>
      <c r="AN50" s="4">
        <f t="shared" ref="AN50:AW50" si="39">AM50*(1+AN21)</f>
        <v>12.41</v>
      </c>
      <c r="AO50" s="4">
        <f t="shared" si="39"/>
        <v>12.41</v>
      </c>
      <c r="AP50" s="4">
        <f t="shared" si="39"/>
        <v>12.41</v>
      </c>
      <c r="AQ50" s="4">
        <f t="shared" si="39"/>
        <v>12.41</v>
      </c>
      <c r="AR50" s="4">
        <f t="shared" si="39"/>
        <v>12.41</v>
      </c>
      <c r="AS50" s="4">
        <f t="shared" si="39"/>
        <v>12.41</v>
      </c>
      <c r="AT50" s="4">
        <f t="shared" si="39"/>
        <v>12.41</v>
      </c>
      <c r="AU50" s="4">
        <f t="shared" si="39"/>
        <v>12.41</v>
      </c>
      <c r="AV50" s="4">
        <f t="shared" si="39"/>
        <v>12.41</v>
      </c>
      <c r="AW50" s="4">
        <f t="shared" si="39"/>
        <v>12.41</v>
      </c>
      <c r="AX50" s="837"/>
      <c r="AY50" s="837"/>
    </row>
    <row r="51" spans="1:51">
      <c r="A51" s="6"/>
      <c r="B51" s="9" t="s">
        <v>142</v>
      </c>
      <c r="C51" s="347">
        <v>24.504999999999999</v>
      </c>
      <c r="D51" s="347"/>
      <c r="E51" s="347"/>
      <c r="F51" s="4"/>
      <c r="G51" s="4"/>
      <c r="H51" s="4"/>
      <c r="I51" s="4"/>
      <c r="J51" s="4"/>
      <c r="K51" s="4"/>
      <c r="L51" s="89"/>
      <c r="M51" s="4">
        <f>C51*(1+M21)</f>
        <v>24.504999999999999</v>
      </c>
      <c r="N51" s="4">
        <f t="shared" ref="N51:X51" si="40">M51*(1+N21)</f>
        <v>24.504999999999999</v>
      </c>
      <c r="O51" s="4">
        <f t="shared" si="40"/>
        <v>24.504999999999999</v>
      </c>
      <c r="P51" s="4">
        <f t="shared" si="40"/>
        <v>24.504999999999999</v>
      </c>
      <c r="Q51" s="4">
        <f t="shared" si="40"/>
        <v>24.504999999999999</v>
      </c>
      <c r="R51" s="4">
        <f t="shared" si="40"/>
        <v>24.504999999999999</v>
      </c>
      <c r="S51" s="4">
        <f>R51*(1+S21)</f>
        <v>24.504999999999999</v>
      </c>
      <c r="T51" s="571">
        <f>((S51*20)+(U51*11))/31</f>
        <v>26.454838709677418</v>
      </c>
      <c r="U51" s="571">
        <v>30</v>
      </c>
      <c r="V51" s="4">
        <f t="shared" si="40"/>
        <v>30</v>
      </c>
      <c r="W51" s="4">
        <f t="shared" si="40"/>
        <v>30</v>
      </c>
      <c r="X51" s="4">
        <f t="shared" si="40"/>
        <v>30</v>
      </c>
      <c r="Y51" s="89">
        <f t="shared" ref="Y51:Y65" si="41">SUMPRODUCT(M51:X51,M$8:X$8)/Y$8</f>
        <v>26.490470973359361</v>
      </c>
      <c r="Z51" s="4">
        <f>X51*(1+Z21)</f>
        <v>30</v>
      </c>
      <c r="AA51" s="4">
        <f>Z51*(1+AA21)</f>
        <v>30</v>
      </c>
      <c r="AB51" s="4">
        <f t="shared" ref="AB51:AK51" si="42">AA51*(1+AB21)</f>
        <v>30</v>
      </c>
      <c r="AC51" s="4">
        <f t="shared" si="42"/>
        <v>30</v>
      </c>
      <c r="AD51" s="4">
        <f t="shared" si="42"/>
        <v>30</v>
      </c>
      <c r="AE51" s="4">
        <f t="shared" si="42"/>
        <v>30</v>
      </c>
      <c r="AF51" s="4">
        <f t="shared" si="42"/>
        <v>30</v>
      </c>
      <c r="AG51" s="4">
        <f t="shared" si="42"/>
        <v>30</v>
      </c>
      <c r="AH51" s="4">
        <f t="shared" si="42"/>
        <v>30</v>
      </c>
      <c r="AI51" s="4">
        <f t="shared" si="42"/>
        <v>30</v>
      </c>
      <c r="AJ51" s="4">
        <f t="shared" si="42"/>
        <v>30</v>
      </c>
      <c r="AK51" s="4">
        <f t="shared" si="42"/>
        <v>30</v>
      </c>
      <c r="AL51" s="89">
        <f t="shared" ref="AL51:AL65" si="43">SUMPRODUCT(Z51:AK51,Z$8:AK$8)/AL$8</f>
        <v>30.000000000000007</v>
      </c>
      <c r="AM51" s="4">
        <f>AK51*(1+AM21)</f>
        <v>30</v>
      </c>
      <c r="AN51" s="4">
        <f t="shared" ref="AN51:AW51" si="44">AM51*(1+AN21)</f>
        <v>30</v>
      </c>
      <c r="AO51" s="4">
        <f t="shared" si="44"/>
        <v>30</v>
      </c>
      <c r="AP51" s="4">
        <f t="shared" si="44"/>
        <v>30</v>
      </c>
      <c r="AQ51" s="4">
        <f t="shared" si="44"/>
        <v>30</v>
      </c>
      <c r="AR51" s="4">
        <f t="shared" si="44"/>
        <v>30</v>
      </c>
      <c r="AS51" s="4">
        <f t="shared" si="44"/>
        <v>30</v>
      </c>
      <c r="AT51" s="4">
        <f t="shared" si="44"/>
        <v>30</v>
      </c>
      <c r="AU51" s="4">
        <f t="shared" si="44"/>
        <v>30</v>
      </c>
      <c r="AV51" s="4">
        <f t="shared" si="44"/>
        <v>30</v>
      </c>
      <c r="AW51" s="4">
        <f t="shared" si="44"/>
        <v>30</v>
      </c>
      <c r="AX51" s="837"/>
      <c r="AY51" s="837"/>
    </row>
    <row r="52" spans="1:51">
      <c r="A52" s="6"/>
      <c r="B52" s="9" t="s">
        <v>162</v>
      </c>
      <c r="C52" s="9"/>
      <c r="D52" s="4"/>
      <c r="E52" s="4"/>
      <c r="F52" s="4"/>
      <c r="G52" s="4"/>
      <c r="H52" s="4"/>
      <c r="I52" s="4"/>
      <c r="J52" s="4"/>
      <c r="K52" s="4"/>
      <c r="L52" s="89"/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89">
        <f t="shared" si="41"/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89">
        <f t="shared" si="43"/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837"/>
      <c r="AY52" s="837"/>
    </row>
    <row r="53" spans="1:51" ht="13.5" thickBot="1">
      <c r="A53" s="6"/>
      <c r="B53" t="s">
        <v>144</v>
      </c>
      <c r="D53" s="52"/>
      <c r="E53" s="52"/>
      <c r="F53" s="52"/>
      <c r="G53" s="52"/>
      <c r="H53" s="52"/>
      <c r="I53" s="52"/>
      <c r="J53" s="52"/>
      <c r="K53" s="52"/>
      <c r="L53" s="176"/>
      <c r="M53" s="52">
        <f>((M8*M51)+(M16/1000*M50))/M8</f>
        <v>43.130854590103674</v>
      </c>
      <c r="N53" s="52">
        <f>((N8*N51)+(N16/1000*N50))/N8</f>
        <v>44.27422141132844</v>
      </c>
      <c r="O53" s="52">
        <f>((O8*O51)+(O16/1000*O50))/O8</f>
        <v>42.673496592418658</v>
      </c>
      <c r="P53" s="52">
        <f t="shared" ref="P53:AV53" si="45">((P8*P51)+(P16/1000*P50))/P8</f>
        <v>43.459454315314396</v>
      </c>
      <c r="Q53" s="52">
        <f t="shared" si="45"/>
        <v>42.899997209425997</v>
      </c>
      <c r="R53" s="52">
        <f t="shared" si="45"/>
        <v>43.428708450973808</v>
      </c>
      <c r="S53" s="52">
        <f t="shared" si="45"/>
        <v>42.627100136605506</v>
      </c>
      <c r="T53" s="52">
        <f t="shared" si="45"/>
        <v>45.982544772901498</v>
      </c>
      <c r="U53" s="52">
        <f t="shared" si="45"/>
        <v>52.041461916050075</v>
      </c>
      <c r="V53" s="52">
        <f t="shared" si="45"/>
        <v>51.788508892409688</v>
      </c>
      <c r="W53" s="52">
        <f t="shared" si="45"/>
        <v>52.332257700613297</v>
      </c>
      <c r="X53" s="52">
        <f t="shared" si="45"/>
        <v>51.777609927411021</v>
      </c>
      <c r="Y53" s="176">
        <f t="shared" si="41"/>
        <v>46.34253101200536</v>
      </c>
      <c r="Z53" s="52">
        <f t="shared" si="45"/>
        <v>52.031115874589837</v>
      </c>
      <c r="AA53" s="52">
        <f t="shared" si="45"/>
        <v>53.365336925198655</v>
      </c>
      <c r="AB53" s="52">
        <f t="shared" si="45"/>
        <v>51.473432639230055</v>
      </c>
      <c r="AC53" s="52">
        <f t="shared" si="45"/>
        <v>52.40235981457635</v>
      </c>
      <c r="AD53" s="52">
        <f t="shared" si="45"/>
        <v>51.741134797045397</v>
      </c>
      <c r="AE53" s="52">
        <f t="shared" si="45"/>
        <v>52.366021131103331</v>
      </c>
      <c r="AF53" s="52">
        <f t="shared" si="45"/>
        <v>51.418596447168994</v>
      </c>
      <c r="AG53" s="52">
        <f t="shared" si="45"/>
        <v>51.680481947369302</v>
      </c>
      <c r="AH53" s="52">
        <f t="shared" si="45"/>
        <v>52.041461916050075</v>
      </c>
      <c r="AI53" s="52">
        <f t="shared" si="45"/>
        <v>51.788508892409688</v>
      </c>
      <c r="AJ53" s="52">
        <f t="shared" si="45"/>
        <v>52.332257700613297</v>
      </c>
      <c r="AK53" s="52">
        <f>((AK8*AK51)+(AK16/1000*AK50))/AK8</f>
        <v>51.777609927411021</v>
      </c>
      <c r="AL53" s="176">
        <f t="shared" si="43"/>
        <v>52.021554127872221</v>
      </c>
      <c r="AM53" s="52">
        <f t="shared" si="45"/>
        <v>52.021554127872214</v>
      </c>
      <c r="AN53" s="52">
        <f t="shared" si="45"/>
        <v>52.012039763160715</v>
      </c>
      <c r="AO53" s="52">
        <f t="shared" si="45"/>
        <v>52.021554127872207</v>
      </c>
      <c r="AP53" s="52">
        <f t="shared" si="45"/>
        <v>52.021554127872207</v>
      </c>
      <c r="AQ53" s="52">
        <f t="shared" si="45"/>
        <v>52.021554127872207</v>
      </c>
      <c r="AR53" s="52">
        <f t="shared" si="45"/>
        <v>52.012039763160715</v>
      </c>
      <c r="AS53" s="52">
        <f t="shared" si="45"/>
        <v>52.021554127872207</v>
      </c>
      <c r="AT53" s="52">
        <f t="shared" si="45"/>
        <v>52.021554127872207</v>
      </c>
      <c r="AU53" s="52">
        <f t="shared" si="45"/>
        <v>52.021554127872207</v>
      </c>
      <c r="AV53" s="52">
        <f t="shared" si="45"/>
        <v>52.012039763160715</v>
      </c>
      <c r="AW53" s="52">
        <f>((AW8*AW51)+(AW16/1000*AW50))/AW8</f>
        <v>52.021554127872207</v>
      </c>
      <c r="AX53" s="837"/>
      <c r="AY53" s="837"/>
    </row>
    <row r="54" spans="1:51" ht="13.5" thickTop="1">
      <c r="A54" s="6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89">
        <f t="shared" si="41"/>
        <v>0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89">
        <f t="shared" si="43"/>
        <v>0</v>
      </c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837"/>
      <c r="AY54" s="837"/>
    </row>
    <row r="55" spans="1:51" s="13" customFormat="1">
      <c r="A55" s="56"/>
      <c r="D55" s="69"/>
      <c r="E55" s="69"/>
      <c r="F55" s="69"/>
      <c r="G55" s="69"/>
      <c r="H55" s="69"/>
      <c r="I55" s="69"/>
      <c r="J55" s="69"/>
      <c r="K55" s="69"/>
      <c r="L55" s="177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89">
        <f t="shared" si="41"/>
        <v>0</v>
      </c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89">
        <f t="shared" si="43"/>
        <v>0</v>
      </c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51">
      <c r="A56" s="6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89">
        <f t="shared" si="41"/>
        <v>0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89">
        <f t="shared" si="43"/>
        <v>0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837"/>
      <c r="AY56" s="837"/>
    </row>
    <row r="57" spans="1:51">
      <c r="A57" s="6"/>
      <c r="B57" s="569" t="s">
        <v>1017</v>
      </c>
      <c r="D57" s="4"/>
      <c r="E57" s="4"/>
      <c r="F57" s="4"/>
      <c r="G57" s="4"/>
      <c r="H57" s="4"/>
      <c r="I57" s="4"/>
      <c r="J57" s="4"/>
      <c r="K57" s="4"/>
      <c r="L57" s="89"/>
      <c r="M57" s="4">
        <f>'Regulatory Charge'!M19/(M7+M8)</f>
        <v>-1.357</v>
      </c>
      <c r="N57" s="4">
        <f>'Regulatory Charge'!N19/(N7+N8)</f>
        <v>-1.357</v>
      </c>
      <c r="O57" s="4">
        <f>'Regulatory Charge'!O19/(O7+O8)</f>
        <v>-1.357</v>
      </c>
      <c r="P57" s="4">
        <f>'Regulatory Charge'!P19/(P7+P8)</f>
        <v>-1.357</v>
      </c>
      <c r="Q57" s="4">
        <f>'Regulatory Charge'!Q19/(Q7+Q8)</f>
        <v>-1.357</v>
      </c>
      <c r="R57" s="4">
        <f>'Regulatory Charge'!R19/(R7+R8)</f>
        <v>-1.357</v>
      </c>
      <c r="S57" s="4">
        <f>'Regulatory Charge'!S19/(S7+S8)</f>
        <v>-1.357</v>
      </c>
      <c r="T57" s="4">
        <f>'Regulatory Charge'!T19/(T7+T8)</f>
        <v>-1.357</v>
      </c>
      <c r="U57" s="4">
        <f>'Regulatory Charge'!U19/(U7+U8)</f>
        <v>-0.68508313310372948</v>
      </c>
      <c r="V57" s="4">
        <f>'Regulatory Charge'!V19/(V7+V8)</f>
        <v>-0.68508313310372959</v>
      </c>
      <c r="W57" s="4">
        <f>'Regulatory Charge'!W19/(W7+W8)</f>
        <v>-0.68508313310372948</v>
      </c>
      <c r="X57" s="4">
        <f>'Regulatory Charge'!X19/(X7+X8)</f>
        <v>-0.68508313310372948</v>
      </c>
      <c r="Y57" s="89">
        <f t="shared" si="41"/>
        <v>-1.1349942243208799</v>
      </c>
      <c r="Z57" s="4">
        <f>'Regulatory Charge'!Z19/(Z7+Z8)</f>
        <v>-0.68508313310372948</v>
      </c>
      <c r="AA57" s="4">
        <f>'Regulatory Charge'!AA19/(AA7+AA8)</f>
        <v>-0.68508313310372948</v>
      </c>
      <c r="AB57" s="4">
        <f>'Regulatory Charge'!AB19/(AB7+AB8)</f>
        <v>-0.68508313310372948</v>
      </c>
      <c r="AC57" s="4">
        <f>'Regulatory Charge'!AC19/(AC7+AC8)</f>
        <v>-0.68508313310372948</v>
      </c>
      <c r="AD57" s="4">
        <f>'Regulatory Charge'!AD19/(AD7+AD8)</f>
        <v>-0.68508313310372948</v>
      </c>
      <c r="AE57" s="4">
        <f>'Regulatory Charge'!AE19/(AE7+AE8)</f>
        <v>-0.68508313310372948</v>
      </c>
      <c r="AF57" s="4">
        <f>'Regulatory Charge'!AF19/(AF7+AF8)</f>
        <v>-0.68508313310372948</v>
      </c>
      <c r="AG57" s="4">
        <f>'Regulatory Charge'!AG19/(AG7+AG8)</f>
        <v>-0.68508313310372948</v>
      </c>
      <c r="AH57" s="4">
        <f>'Regulatory Charge'!AH19/(AH7+AH8)</f>
        <v>-0.31995189662832124</v>
      </c>
      <c r="AI57" s="4">
        <f>'Regulatory Charge'!AI19/(AI7+AI8)</f>
        <v>-0.31995189662832124</v>
      </c>
      <c r="AJ57" s="4">
        <f>'Regulatory Charge'!AJ19/(AJ7+AJ8)</f>
        <v>-0.31995189662832124</v>
      </c>
      <c r="AK57" s="4">
        <f>'Regulatory Charge'!AK19/(AK7+AK8)</f>
        <v>-0.31995189662832124</v>
      </c>
      <c r="AL57" s="89">
        <f t="shared" si="43"/>
        <v>-0.56452716868723829</v>
      </c>
      <c r="AM57" s="4">
        <f>'Regulatory Charge'!AM19/(AM7+AM8)</f>
        <v>-0.31995189662832124</v>
      </c>
      <c r="AN57" s="4">
        <f>'Regulatory Charge'!AN19/(AN7+AN8)</f>
        <v>1.0340520374622204</v>
      </c>
      <c r="AO57" s="4">
        <f>'Regulatory Charge'!AO19/(AO7+AO8)</f>
        <v>0.98724368665736029</v>
      </c>
      <c r="AP57" s="4">
        <f>'Regulatory Charge'!AP19/(AP7+AP8)</f>
        <v>0.98100747577917535</v>
      </c>
      <c r="AQ57" s="4">
        <f>'Regulatory Charge'!AQ19/(AQ7+AQ8)</f>
        <v>1.0689326218597828</v>
      </c>
      <c r="AR57" s="4">
        <f>'Regulatory Charge'!AR19/(AR7+AR8)</f>
        <v>1.0603839309684941</v>
      </c>
      <c r="AS57" s="4">
        <f>'Regulatory Charge'!AS19/(AS7+AS8)</f>
        <v>1.0459570615534537</v>
      </c>
      <c r="AT57" s="4">
        <f>'Regulatory Charge'!AT19/(AT7+AT8)</f>
        <v>1.1348643260993998</v>
      </c>
      <c r="AU57" s="4">
        <f>'Regulatory Charge'!AU19/(AU7+AU8)</f>
        <v>1.1228930852424654</v>
      </c>
      <c r="AV57" s="4">
        <f>'Regulatory Charge'!AV19/(AV7+AV8)</f>
        <v>1.112034742502348</v>
      </c>
      <c r="AW57" s="4">
        <f>'Regulatory Charge'!AW19/(AW7+AW8)</f>
        <v>1.1974052163063931</v>
      </c>
      <c r="AX57" s="837"/>
      <c r="AY57" s="837"/>
    </row>
    <row r="58" spans="1:51">
      <c r="A58" s="6"/>
      <c r="Y58" s="89">
        <f t="shared" si="41"/>
        <v>0</v>
      </c>
      <c r="AL58" s="89">
        <f t="shared" si="43"/>
        <v>0</v>
      </c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837"/>
      <c r="AY58" s="837"/>
    </row>
    <row r="59" spans="1:51">
      <c r="A59" s="6"/>
      <c r="B59" t="s">
        <v>231</v>
      </c>
      <c r="D59" s="4"/>
      <c r="E59" s="4"/>
      <c r="F59" s="4"/>
      <c r="G59" s="4"/>
      <c r="H59" s="4"/>
      <c r="I59" s="4"/>
      <c r="J59" s="4"/>
      <c r="K59" s="4"/>
      <c r="L59" s="89"/>
      <c r="M59" s="4">
        <f>'FAC, PPA, ES, SC'!M41</f>
        <v>3.7963383636932448</v>
      </c>
      <c r="N59" s="4">
        <f>'FAC, PPA, ES, SC'!N41</f>
        <v>3.9251281468845747</v>
      </c>
      <c r="O59" s="4">
        <f>'FAC, PPA, ES, SC'!O41</f>
        <v>3.9177526208667715</v>
      </c>
      <c r="P59" s="4">
        <f>'FAC, PPA, ES, SC'!P41</f>
        <v>3.9583829858781563</v>
      </c>
      <c r="Q59" s="4">
        <f>'FAC, PPA, ES, SC'!Q41</f>
        <v>3.9650535434312602</v>
      </c>
      <c r="R59" s="4">
        <f>'FAC, PPA, ES, SC'!R41</f>
        <v>4.1057147400882172</v>
      </c>
      <c r="S59" s="4">
        <f>'FAC, PPA, ES, SC'!S41</f>
        <v>4.6280961821621247</v>
      </c>
      <c r="T59" s="4">
        <f>'FAC, PPA, ES, SC'!T41</f>
        <v>4.2085144107267354</v>
      </c>
      <c r="U59" s="4">
        <f>'FAC, PPA, ES, SC'!U41</f>
        <v>4.6894785183502243</v>
      </c>
      <c r="V59" s="4">
        <f>'FAC, PPA, ES, SC'!V41</f>
        <v>4.4699835305300013</v>
      </c>
      <c r="W59" s="4">
        <f>'FAC, PPA, ES, SC'!W41</f>
        <v>4.5930663428745611</v>
      </c>
      <c r="X59" s="4">
        <f>'FAC, PPA, ES, SC'!X41</f>
        <v>4.6583515678101328</v>
      </c>
      <c r="Y59" s="89">
        <f t="shared" si="41"/>
        <v>4.2448174070207472</v>
      </c>
      <c r="Z59" s="4">
        <f>'FAC, PPA, ES, SC'!Z41</f>
        <v>4.8866856798061171</v>
      </c>
      <c r="AA59" s="4">
        <f>'FAC, PPA, ES, SC'!AA41</f>
        <v>5.0551684882073182</v>
      </c>
      <c r="AB59" s="4">
        <f>'FAC, PPA, ES, SC'!AB41</f>
        <v>5.2005594622076536</v>
      </c>
      <c r="AC59" s="4">
        <f>'FAC, PPA, ES, SC'!AC41</f>
        <v>5.3225046534309719</v>
      </c>
      <c r="AD59" s="4">
        <f>'FAC, PPA, ES, SC'!AD41</f>
        <v>5.4315731102566787</v>
      </c>
      <c r="AE59" s="4">
        <f>'FAC, PPA, ES, SC'!AE41</f>
        <v>5.6299815605481953</v>
      </c>
      <c r="AF59" s="4">
        <f>'FAC, PPA, ES, SC'!AF41</f>
        <v>5.6517894361783796</v>
      </c>
      <c r="AG59" s="4">
        <f>'FAC, PPA, ES, SC'!AG41</f>
        <v>5.690344155591383</v>
      </c>
      <c r="AH59" s="4">
        <f>'FAC, PPA, ES, SC'!AH41</f>
        <v>5.7617463416336498</v>
      </c>
      <c r="AI59" s="4">
        <f>'FAC, PPA, ES, SC'!AI41</f>
        <v>5.3798392292094768</v>
      </c>
      <c r="AJ59" s="4">
        <f>'FAC, PPA, ES, SC'!AJ41</f>
        <v>5.424671823074668</v>
      </c>
      <c r="AK59" s="4">
        <f>'FAC, PPA, ES, SC'!AK41</f>
        <v>5.4400767169142874</v>
      </c>
      <c r="AL59" s="89">
        <f t="shared" si="43"/>
        <v>5.4083593254276767</v>
      </c>
      <c r="AM59" s="4">
        <f>'FAC, PPA, ES, SC'!AM41</f>
        <v>6.4429337942454907</v>
      </c>
      <c r="AN59" s="4">
        <f>'FAC, PPA, ES, SC'!AN41</f>
        <v>6.9344556727440256</v>
      </c>
      <c r="AO59" s="4">
        <f>'FAC, PPA, ES, SC'!AO41</f>
        <v>8.1711410789152517</v>
      </c>
      <c r="AP59" s="4">
        <f>'FAC, PPA, ES, SC'!AP41</f>
        <v>9.089843981659989</v>
      </c>
      <c r="AQ59" s="4">
        <f>'FAC, PPA, ES, SC'!AQ41</f>
        <v>9.6600154495524251</v>
      </c>
      <c r="AR59" s="4">
        <f>'FAC, PPA, ES, SC'!AR41</f>
        <v>11.262019941767477</v>
      </c>
      <c r="AS59" s="4">
        <f>'FAC, PPA, ES, SC'!AS41</f>
        <v>12.718998434024591</v>
      </c>
      <c r="AT59" s="4">
        <f>'FAC, PPA, ES, SC'!AT41</f>
        <v>13.973213946999408</v>
      </c>
      <c r="AU59" s="4">
        <f>'FAC, PPA, ES, SC'!AU41</f>
        <v>15.594056537842711</v>
      </c>
      <c r="AV59" s="4">
        <f>'FAC, PPA, ES, SC'!AV41</f>
        <v>16.312925925514492</v>
      </c>
      <c r="AW59" s="4">
        <f>'FAC, PPA, ES, SC'!AW41</f>
        <v>19.349098915653869</v>
      </c>
      <c r="AX59" s="837"/>
      <c r="AY59" s="837"/>
    </row>
    <row r="60" spans="1:51">
      <c r="A60" s="6"/>
      <c r="B60" t="s">
        <v>232</v>
      </c>
      <c r="D60" s="4"/>
      <c r="E60" s="4"/>
      <c r="F60" s="4"/>
      <c r="G60" s="4"/>
      <c r="H60" s="4"/>
      <c r="I60" s="4"/>
      <c r="J60" s="4"/>
      <c r="K60" s="4"/>
      <c r="L60" s="89"/>
      <c r="M60" s="23">
        <f>ECP!G87</f>
        <v>2.7498441214673086</v>
      </c>
      <c r="N60" s="23">
        <f>ECP!H87</f>
        <v>2.8148839930336496</v>
      </c>
      <c r="O60" s="23">
        <f>ECP!I87</f>
        <v>2.7916147759721062</v>
      </c>
      <c r="P60" s="23">
        <f>ECP!J87</f>
        <v>2.6545285841609165</v>
      </c>
      <c r="Q60" s="23">
        <f>ECP!K87</f>
        <v>2.7244568534564375</v>
      </c>
      <c r="R60" s="23">
        <f>ECP!L87</f>
        <v>2.7808014481734187</v>
      </c>
      <c r="S60" s="23">
        <f>ECP!M87</f>
        <v>2.6715814694002846</v>
      </c>
      <c r="T60" s="23">
        <f>ECP!N87</f>
        <v>2.9882582127127075</v>
      </c>
      <c r="U60" s="23">
        <f>ECP!O87</f>
        <v>3.3286064555343953</v>
      </c>
      <c r="V60" s="23">
        <f>ECP!P87</f>
        <v>3.2488535995599137</v>
      </c>
      <c r="W60" s="23">
        <f>ECP!Q87</f>
        <v>3.0117304665703051</v>
      </c>
      <c r="X60" s="23">
        <f>ECP!R87</f>
        <v>2.8041022649997411</v>
      </c>
      <c r="Y60" s="89">
        <f t="shared" si="41"/>
        <v>2.8797891651903682</v>
      </c>
      <c r="Z60" s="23">
        <f>ECP!T87</f>
        <v>2.9621130404280636</v>
      </c>
      <c r="AA60" s="23">
        <f>ECP!U87</f>
        <v>3.0491135222840962</v>
      </c>
      <c r="AB60" s="23">
        <f>ECP!V87</f>
        <v>2.8503044555633377</v>
      </c>
      <c r="AC60" s="23">
        <f>ECP!W87</f>
        <v>3.1569235502708537</v>
      </c>
      <c r="AD60" s="23">
        <f>ECP!X87</f>
        <v>3.0551830841766852</v>
      </c>
      <c r="AE60" s="23">
        <f>ECP!Y87</f>
        <v>3.0987535391781158</v>
      </c>
      <c r="AF60" s="23">
        <f>ECP!Z87</f>
        <v>3.0174220974374788</v>
      </c>
      <c r="AG60" s="23">
        <f>ECP!AA87</f>
        <v>3.5185167494770879</v>
      </c>
      <c r="AH60" s="23">
        <f>ECP!AB87</f>
        <v>4.1134373417874057</v>
      </c>
      <c r="AI60" s="23">
        <f>ECP!AC87</f>
        <v>4.0261816463805626</v>
      </c>
      <c r="AJ60" s="23">
        <f>ECP!AD87</f>
        <v>3.7734353222496688</v>
      </c>
      <c r="AK60" s="23">
        <f>ECP!AE87</f>
        <v>3.4676294228882734</v>
      </c>
      <c r="AL60" s="89">
        <f t="shared" si="43"/>
        <v>3.3386869140723543</v>
      </c>
      <c r="AM60" s="23">
        <f>ECP!AG87</f>
        <v>4.1365715055226415</v>
      </c>
      <c r="AN60" s="23">
        <f>ECP!AH87</f>
        <v>4.3950532451154336</v>
      </c>
      <c r="AO60" s="23">
        <f>ECP!AI87</f>
        <v>4.4781980815160098</v>
      </c>
      <c r="AP60" s="23">
        <f>ECP!AJ87</f>
        <v>4.5469396655281527</v>
      </c>
      <c r="AQ60" s="23">
        <f>ECP!AK87</f>
        <v>4.610205179188668</v>
      </c>
      <c r="AR60" s="23">
        <f>ECP!AL87</f>
        <v>4.4132842683884217</v>
      </c>
      <c r="AS60" s="23">
        <f>ECP!AM87</f>
        <v>4.2582424499443157</v>
      </c>
      <c r="AT60" s="23">
        <f>ECP!AN87</f>
        <v>4.3834042650876466</v>
      </c>
      <c r="AU60" s="23">
        <f>ECP!AO87</f>
        <v>4.5399839964953514</v>
      </c>
      <c r="AV60" s="23">
        <f>ECP!AP87</f>
        <v>4.606850603245956</v>
      </c>
      <c r="AW60" s="23">
        <f>ECP!AQ87</f>
        <v>4.7694648327959168</v>
      </c>
      <c r="AX60" s="31"/>
      <c r="AY60" s="31"/>
    </row>
    <row r="61" spans="1:51">
      <c r="A61" s="6"/>
      <c r="B61" t="s">
        <v>236</v>
      </c>
      <c r="D61" s="4"/>
      <c r="E61" s="4"/>
      <c r="F61" s="4"/>
      <c r="G61" s="4"/>
      <c r="H61" s="4"/>
      <c r="I61" s="4"/>
      <c r="J61" s="4"/>
      <c r="K61" s="4"/>
      <c r="L61" s="89"/>
      <c r="M61" s="4">
        <f>-('FAC, PPA, ES, SC'!M52+'FAC, PPA, ES, SC'!M53)/(Rates!M7+Rates!M8)</f>
        <v>-3.5419987678431255</v>
      </c>
      <c r="N61" s="4">
        <f>-('FAC, PPA, ES, SC'!N52+'FAC, PPA, ES, SC'!N53)/(Rates!N7+Rates!N8)</f>
        <v>-3.8534978053181028</v>
      </c>
      <c r="O61" s="4">
        <f>-('FAC, PPA, ES, SC'!O52+'FAC, PPA, ES, SC'!O53)/(Rates!O7+Rates!O8)</f>
        <v>-4.3303966389368087</v>
      </c>
      <c r="P61" s="4">
        <f>-('FAC, PPA, ES, SC'!P52+'FAC, PPA, ES, SC'!P53)/(Rates!P7+Rates!P8)</f>
        <v>-5.048932403708319</v>
      </c>
      <c r="Q61" s="4">
        <f>-('FAC, PPA, ES, SC'!Q52+'FAC, PPA, ES, SC'!Q53)/(Rates!Q7+Rates!Q8)</f>
        <v>-4.7533128779436753</v>
      </c>
      <c r="R61" s="4">
        <f>-('FAC, PPA, ES, SC'!R52+'FAC, PPA, ES, SC'!R53)/(Rates!R7+Rates!R8)</f>
        <v>-3.8706361659587825</v>
      </c>
      <c r="S61" s="4">
        <f>-('FAC, PPA, ES, SC'!S52+'FAC, PPA, ES, SC'!S53)/(Rates!S7+Rates!S8)</f>
        <v>-3.5315807075026906</v>
      </c>
      <c r="T61" s="4">
        <f>-('FAC, PPA, ES, SC'!T52+'FAC, PPA, ES, SC'!T53)/(Rates!T7+Rates!T8)</f>
        <v>-2.8660062033734497</v>
      </c>
      <c r="U61" s="4">
        <f>-('FAC, PPA, ES, SC'!U52+'FAC, PPA, ES, SC'!U53)/(Rates!U7+Rates!U8)</f>
        <v>-1.9099490423013319</v>
      </c>
      <c r="V61" s="4">
        <f>-('FAC, PPA, ES, SC'!V52+'FAC, PPA, ES, SC'!V53)/(Rates!V7+Rates!V8)</f>
        <v>-2.1420632362953818</v>
      </c>
      <c r="W61" s="4">
        <f>-('FAC, PPA, ES, SC'!W52+'FAC, PPA, ES, SC'!W53)/(Rates!W7+Rates!W8)</f>
        <v>-1.9063198549526461</v>
      </c>
      <c r="X61" s="4">
        <f>-('FAC, PPA, ES, SC'!X52+'FAC, PPA, ES, SC'!X53)/(Rates!X7+Rates!X8)</f>
        <v>-1.5368370338124206</v>
      </c>
      <c r="Y61" s="89">
        <f t="shared" si="41"/>
        <v>-3.2742531407098139</v>
      </c>
      <c r="Z61" s="4">
        <f>-('FAC, PPA, ES, SC'!Z52+'FAC, PPA, ES, SC'!Z53)/(Rates!Z7+Rates!Z8)</f>
        <v>-1.5004831843630528</v>
      </c>
      <c r="AA61" s="4">
        <f>-('FAC, PPA, ES, SC'!AA52+'FAC, PPA, ES, SC'!AA53)/(Rates!AA7+Rates!AA8)</f>
        <v>-1.6368182323109093</v>
      </c>
      <c r="AB61" s="4">
        <f>-('FAC, PPA, ES, SC'!AB52+'FAC, PPA, ES, SC'!AB53)/(Rates!AB7+Rates!AB8)</f>
        <v>-1.8398813480720406</v>
      </c>
      <c r="AC61" s="4">
        <f>-('FAC, PPA, ES, SC'!AC52+'FAC, PPA, ES, SC'!AC53)/(Rates!AC7+Rates!AC8)</f>
        <v>-2.1467870053988767</v>
      </c>
      <c r="AD61" s="4">
        <f>-('FAC, PPA, ES, SC'!AD52+'FAC, PPA, ES, SC'!AD53)/(Rates!AD7+Rates!AD8)</f>
        <v>-2.0202342508791742</v>
      </c>
      <c r="AE61" s="4">
        <f>-('FAC, PPA, ES, SC'!AE52+'FAC, PPA, ES, SC'!AE53)/(Rates!AE7+Rates!AE8)</f>
        <v>-1.6435781306420623</v>
      </c>
      <c r="AF61" s="4">
        <f>-('FAC, PPA, ES, SC'!AF52+'FAC, PPA, ES, SC'!AF53)/(Rates!AF7+Rates!AF8)</f>
        <v>-1.5106951013206491</v>
      </c>
      <c r="AG61" s="4">
        <f>-('FAC, PPA, ES, SC'!AG52+'FAC, PPA, ES, SC'!AG53)/(Rates!AG7+Rates!AG8)</f>
        <v>-1.5579589524549675</v>
      </c>
      <c r="AH61" s="4">
        <f>-('FAC, PPA, ES, SC'!AH52+'FAC, PPA, ES, SC'!AH53)/(Rates!AH7+Rates!AH8)</f>
        <v>-1.888516000997958</v>
      </c>
      <c r="AI61" s="4">
        <f>-('FAC, PPA, ES, SC'!AI52+'FAC, PPA, ES, SC'!AI53)/(Rates!AI7+Rates!AI8)</f>
        <v>-2.1193805839546793</v>
      </c>
      <c r="AJ61" s="4">
        <f>-('FAC, PPA, ES, SC'!AJ52+'FAC, PPA, ES, SC'!AJ53)/(Rates!AJ7+Rates!AJ8)</f>
        <v>-1.8850186614847981</v>
      </c>
      <c r="AK61" s="4">
        <f>-('FAC, PPA, ES, SC'!AK52+'FAC, PPA, ES, SC'!AK53)/(Rates!AK7+Rates!AK8)</f>
        <v>-1.5183662190185225</v>
      </c>
      <c r="AL61" s="89">
        <f t="shared" si="43"/>
        <v>-1.7702440275501636</v>
      </c>
      <c r="AM61" s="4">
        <f>-('FAC, PPA, ES, SC'!AM52+'FAC, PPA, ES, SC'!AM53)/(Rates!AM7+Rates!AM8)</f>
        <v>-1.7270976087488248</v>
      </c>
      <c r="AN61" s="4">
        <f>-('FAC, PPA, ES, SC'!AN52+'FAC, PPA, ES, SC'!AN53)/(Rates!AN7+Rates!AN8)</f>
        <v>-1.7100561832913621</v>
      </c>
      <c r="AO61" s="4">
        <f>-('FAC, PPA, ES, SC'!AO52+'FAC, PPA, ES, SC'!AO53)/(Rates!AO7+Rates!AO8)</f>
        <v>-2.1941616088628115</v>
      </c>
      <c r="AP61" s="4">
        <f>-('FAC, PPA, ES, SC'!AP52+'FAC, PPA, ES, SC'!AP53)/(Rates!AP7+Rates!AP8)</f>
        <v>-2.3243394891963254</v>
      </c>
      <c r="AQ61" s="4">
        <f>-('FAC, PPA, ES, SC'!AQ52+'FAC, PPA, ES, SC'!AQ53)/(Rates!AQ7+Rates!AQ8)</f>
        <v>-2.3064338386218677</v>
      </c>
      <c r="AR61" s="4">
        <f>-('FAC, PPA, ES, SC'!AR52+'FAC, PPA, ES, SC'!AR53)/(Rates!AR7+Rates!AR8)</f>
        <v>-2.2870896642681657</v>
      </c>
      <c r="AS61" s="4">
        <f>-('FAC, PPA, ES, SC'!AS52+'FAC, PPA, ES, SC'!AS53)/(Rates!AS7+Rates!AS8)</f>
        <v>-2.2622949474014744</v>
      </c>
      <c r="AT61" s="4">
        <f>-('FAC, PPA, ES, SC'!AT52+'FAC, PPA, ES, SC'!AT53)/(Rates!AT7+Rates!AT8)</f>
        <v>-2.2398610526860865</v>
      </c>
      <c r="AU61" s="4">
        <f>-('FAC, PPA, ES, SC'!AU52+'FAC, PPA, ES, SC'!AU53)/(Rates!AU7+Rates!AU8)</f>
        <v>-2.2174078410732232</v>
      </c>
      <c r="AV61" s="4">
        <f>-('FAC, PPA, ES, SC'!AV52+'FAC, PPA, ES, SC'!AV53)/(Rates!AV7+Rates!AV8)</f>
        <v>-2.197370348866766</v>
      </c>
      <c r="AW61" s="4">
        <f>-('FAC, PPA, ES, SC'!AW52+'FAC, PPA, ES, SC'!AW53)/(Rates!AW7+Rates!AW8)</f>
        <v>-2.172887928901718</v>
      </c>
      <c r="AX61" s="837"/>
      <c r="AY61" s="837"/>
    </row>
    <row r="62" spans="1:51">
      <c r="A62" s="6"/>
      <c r="B62" t="s">
        <v>145</v>
      </c>
      <c r="D62" s="4"/>
      <c r="E62" s="4"/>
      <c r="F62" s="4"/>
      <c r="G62" s="4"/>
      <c r="H62" s="4"/>
      <c r="I62" s="4"/>
      <c r="J62" s="4"/>
      <c r="K62" s="4"/>
      <c r="L62" s="89"/>
      <c r="M62" s="4">
        <f>SUM(M59:M61)</f>
        <v>3.0041837173174279</v>
      </c>
      <c r="N62" s="4">
        <f t="shared" ref="N62:X62" si="46">SUM(N59:N61)</f>
        <v>2.8865143346001219</v>
      </c>
      <c r="O62" s="4">
        <f t="shared" si="46"/>
        <v>2.3789707579020689</v>
      </c>
      <c r="P62" s="4">
        <f t="shared" si="46"/>
        <v>1.5639791663307534</v>
      </c>
      <c r="Q62" s="4">
        <f t="shared" si="46"/>
        <v>1.9361975189440228</v>
      </c>
      <c r="R62" s="4">
        <f t="shared" si="46"/>
        <v>3.0158800223028535</v>
      </c>
      <c r="S62" s="4">
        <f t="shared" si="46"/>
        <v>3.7680969440597187</v>
      </c>
      <c r="T62" s="4">
        <f t="shared" si="46"/>
        <v>4.3307664200659932</v>
      </c>
      <c r="U62" s="4">
        <f t="shared" si="46"/>
        <v>6.1081359315832877</v>
      </c>
      <c r="V62" s="4">
        <f t="shared" si="46"/>
        <v>5.5767738937945328</v>
      </c>
      <c r="W62" s="4">
        <f t="shared" si="46"/>
        <v>5.6984769544922198</v>
      </c>
      <c r="X62" s="4">
        <f t="shared" si="46"/>
        <v>5.9256167989974537</v>
      </c>
      <c r="Y62" s="89">
        <f t="shared" si="41"/>
        <v>3.8503534315013024</v>
      </c>
      <c r="Z62" s="4">
        <f>SUM(Z59:Z61)</f>
        <v>6.3483155358711274</v>
      </c>
      <c r="AA62" s="4">
        <f t="shared" ref="AA62:AK62" si="47">SUM(AA59:AA61)</f>
        <v>6.4674637781805044</v>
      </c>
      <c r="AB62" s="4">
        <f t="shared" si="47"/>
        <v>6.2109825696989507</v>
      </c>
      <c r="AC62" s="4">
        <f t="shared" si="47"/>
        <v>6.3326411983029489</v>
      </c>
      <c r="AD62" s="4">
        <f t="shared" si="47"/>
        <v>6.4665219435541896</v>
      </c>
      <c r="AE62" s="4">
        <f t="shared" si="47"/>
        <v>7.0851569690842489</v>
      </c>
      <c r="AF62" s="4">
        <f t="shared" si="47"/>
        <v>7.1585164322952091</v>
      </c>
      <c r="AG62" s="4">
        <f t="shared" si="47"/>
        <v>7.6509019526135038</v>
      </c>
      <c r="AH62" s="4">
        <f t="shared" si="47"/>
        <v>7.9866676824230982</v>
      </c>
      <c r="AI62" s="4">
        <f t="shared" si="47"/>
        <v>7.2866402916353596</v>
      </c>
      <c r="AJ62" s="4">
        <f t="shared" si="47"/>
        <v>7.3130884838395378</v>
      </c>
      <c r="AK62" s="4">
        <f t="shared" si="47"/>
        <v>7.3893399207840371</v>
      </c>
      <c r="AL62" s="89">
        <f t="shared" si="43"/>
        <v>6.9768022119498667</v>
      </c>
      <c r="AM62" s="4">
        <f t="shared" ref="AM62:AW62" si="48">SUM(AM59:AM61)</f>
        <v>8.8524076910193088</v>
      </c>
      <c r="AN62" s="4">
        <f t="shared" si="48"/>
        <v>9.6194527345680978</v>
      </c>
      <c r="AO62" s="4">
        <f t="shared" si="48"/>
        <v>10.455177551568449</v>
      </c>
      <c r="AP62" s="4">
        <f t="shared" si="48"/>
        <v>11.312444157991816</v>
      </c>
      <c r="AQ62" s="4">
        <f t="shared" si="48"/>
        <v>11.963786790119226</v>
      </c>
      <c r="AR62" s="4">
        <f t="shared" si="48"/>
        <v>13.388214545887733</v>
      </c>
      <c r="AS62" s="4">
        <f t="shared" si="48"/>
        <v>14.714945936567432</v>
      </c>
      <c r="AT62" s="4">
        <f t="shared" si="48"/>
        <v>16.116757159400969</v>
      </c>
      <c r="AU62" s="4">
        <f t="shared" si="48"/>
        <v>17.916632693264837</v>
      </c>
      <c r="AV62" s="4">
        <f t="shared" si="48"/>
        <v>18.722406179893682</v>
      </c>
      <c r="AW62" s="4">
        <f t="shared" si="48"/>
        <v>21.945675819548068</v>
      </c>
      <c r="AX62" s="837"/>
      <c r="AY62" s="837"/>
    </row>
    <row r="63" spans="1:51" s="165" customFormat="1">
      <c r="A63" s="360"/>
      <c r="B63" s="165" t="s">
        <v>146</v>
      </c>
      <c r="D63" s="191"/>
      <c r="E63" s="191"/>
      <c r="F63" s="191"/>
      <c r="G63" s="191"/>
      <c r="H63" s="191"/>
      <c r="I63" s="191"/>
      <c r="J63" s="191"/>
      <c r="K63" s="191"/>
      <c r="L63" s="89"/>
      <c r="M63" s="191">
        <f t="shared" ref="M63:W63" si="49">IF((M$42-M$27)*(M$7)+(M$62-M$27)*M$8&gt;M$142+M$144,-(M$142+M$144)/(M$7+M$8),-M$62+M$27)</f>
        <v>-7.2161837173174277</v>
      </c>
      <c r="N63" s="191">
        <f t="shared" si="49"/>
        <v>-7.0985143346001216</v>
      </c>
      <c r="O63" s="191">
        <f t="shared" si="49"/>
        <v>-6.5909707579020687</v>
      </c>
      <c r="P63" s="191">
        <f t="shared" si="49"/>
        <v>-5.7759791663307531</v>
      </c>
      <c r="Q63" s="191">
        <f t="shared" si="49"/>
        <v>-6.1481975189440226</v>
      </c>
      <c r="R63" s="191">
        <f t="shared" si="49"/>
        <v>-7.2278800223028536</v>
      </c>
      <c r="S63" s="191">
        <f t="shared" si="49"/>
        <v>-6.9800969440597189</v>
      </c>
      <c r="T63" s="191">
        <f t="shared" si="49"/>
        <v>-7.542766420065993</v>
      </c>
      <c r="U63" s="191">
        <f t="shared" si="49"/>
        <v>-9.3201359315832875</v>
      </c>
      <c r="V63" s="191">
        <f t="shared" si="49"/>
        <v>-8.7887738937945326</v>
      </c>
      <c r="W63" s="191">
        <f t="shared" si="49"/>
        <v>-8.9104769544922195</v>
      </c>
      <c r="X63" s="191">
        <f>IF((X$42-X$27)*(X$7)+(X$62-X$27)*X$8&gt;X$142+X$144,-(X$142+X$144)/(X$7+X$8),-X$62+X$27)</f>
        <v>-9.1376167989974526</v>
      </c>
      <c r="Y63" s="89">
        <f t="shared" si="41"/>
        <v>-7.5568424914507402</v>
      </c>
      <c r="Z63" s="191">
        <f>IF((Z$42-Z$27)*(Z$7)+(Z$62-Z$27)*Z$8&gt;Z$142+Z$144,-(Z$142+Z$144)/(Z$7+Z$8),-Z$62+Z$27)</f>
        <v>-9.5603155358711263</v>
      </c>
      <c r="AA63" s="191">
        <f t="shared" ref="AA63:AW63" si="50">IF((AA$42-AA$27)*(AA$7)+(AA$62-AA$27)*AA$8&gt;AA$142+AA$144,-(AA$142+AA$144)/(AA$7+AA$8),-AA$62+AA$27)</f>
        <v>-9.6794637781805051</v>
      </c>
      <c r="AB63" s="191">
        <f t="shared" si="50"/>
        <v>-9.4229825696989504</v>
      </c>
      <c r="AC63" s="191">
        <f t="shared" si="50"/>
        <v>-9.5446411983029478</v>
      </c>
      <c r="AD63" s="191">
        <f t="shared" si="50"/>
        <v>-9.6785219435541894</v>
      </c>
      <c r="AE63" s="191">
        <f t="shared" si="50"/>
        <v>-10.297156969084249</v>
      </c>
      <c r="AF63" s="191">
        <f t="shared" si="50"/>
        <v>-8.3705164322952079</v>
      </c>
      <c r="AG63" s="191">
        <f t="shared" si="50"/>
        <v>-8.8629019526135036</v>
      </c>
      <c r="AH63" s="191">
        <f t="shared" si="50"/>
        <v>-9.198667682423098</v>
      </c>
      <c r="AI63" s="191">
        <f t="shared" si="50"/>
        <v>-8.4986402916353594</v>
      </c>
      <c r="AJ63" s="191">
        <f t="shared" si="50"/>
        <v>-8.5250884838395375</v>
      </c>
      <c r="AK63" s="191">
        <f t="shared" si="50"/>
        <v>-8.6013399207840369</v>
      </c>
      <c r="AL63" s="89">
        <f t="shared" si="43"/>
        <v>-9.1784994544952276</v>
      </c>
      <c r="AM63" s="191">
        <f t="shared" si="50"/>
        <v>-6.2570983071537754</v>
      </c>
      <c r="AN63" s="191">
        <f t="shared" si="50"/>
        <v>0</v>
      </c>
      <c r="AO63" s="191">
        <f t="shared" si="50"/>
        <v>0</v>
      </c>
      <c r="AP63" s="191">
        <f t="shared" si="50"/>
        <v>0</v>
      </c>
      <c r="AQ63" s="191">
        <f t="shared" si="50"/>
        <v>0</v>
      </c>
      <c r="AR63" s="191">
        <f t="shared" si="50"/>
        <v>0</v>
      </c>
      <c r="AS63" s="191">
        <f t="shared" si="50"/>
        <v>0</v>
      </c>
      <c r="AT63" s="191">
        <f t="shared" si="50"/>
        <v>0</v>
      </c>
      <c r="AU63" s="191">
        <f t="shared" si="50"/>
        <v>0</v>
      </c>
      <c r="AV63" s="191">
        <f t="shared" si="50"/>
        <v>0</v>
      </c>
      <c r="AW63" s="191">
        <f t="shared" si="50"/>
        <v>0</v>
      </c>
      <c r="AX63" s="934"/>
      <c r="AY63" s="934"/>
    </row>
    <row r="64" spans="1:51" s="165" customFormat="1">
      <c r="A64" s="360"/>
      <c r="B64" s="165" t="s">
        <v>160</v>
      </c>
      <c r="L64" s="88"/>
      <c r="Y64" s="88">
        <f t="shared" si="41"/>
        <v>0</v>
      </c>
      <c r="AL64" s="88">
        <f t="shared" si="43"/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0">
        <v>0</v>
      </c>
      <c r="AS64" s="210">
        <v>0</v>
      </c>
      <c r="AT64" s="210">
        <v>0</v>
      </c>
      <c r="AU64" s="210">
        <v>0</v>
      </c>
      <c r="AV64" s="210">
        <v>0</v>
      </c>
      <c r="AW64" s="210">
        <v>0</v>
      </c>
      <c r="AX64" s="934"/>
      <c r="AY64" s="934"/>
    </row>
    <row r="65" spans="1:51" ht="13.5" thickBot="1">
      <c r="A65" s="6"/>
      <c r="B65" t="s">
        <v>161</v>
      </c>
      <c r="D65" s="52"/>
      <c r="E65" s="52"/>
      <c r="F65" s="52"/>
      <c r="G65" s="52"/>
      <c r="H65" s="52"/>
      <c r="I65" s="52"/>
      <c r="J65" s="52"/>
      <c r="K65" s="52"/>
      <c r="L65" s="176"/>
      <c r="M65" s="52">
        <f>+M53+M55+M57+M62+M63+M64</f>
        <v>37.561854590103671</v>
      </c>
      <c r="N65" s="52">
        <f t="shared" ref="N65:X65" si="51">+N53+N55+N57+N62+N63+N64</f>
        <v>38.705221411328438</v>
      </c>
      <c r="O65" s="52">
        <f t="shared" si="51"/>
        <v>37.104496592418656</v>
      </c>
      <c r="P65" s="52">
        <f t="shared" si="51"/>
        <v>37.8904543153144</v>
      </c>
      <c r="Q65" s="52">
        <f t="shared" si="51"/>
        <v>37.330997209425995</v>
      </c>
      <c r="R65" s="52">
        <f t="shared" si="51"/>
        <v>37.859708450973805</v>
      </c>
      <c r="S65" s="52">
        <f t="shared" si="51"/>
        <v>38.05810013660551</v>
      </c>
      <c r="T65" s="52">
        <f t="shared" si="51"/>
        <v>41.413544772901496</v>
      </c>
      <c r="U65" s="52">
        <f t="shared" si="51"/>
        <v>48.14437878294634</v>
      </c>
      <c r="V65" s="52">
        <f t="shared" si="51"/>
        <v>47.891425759305953</v>
      </c>
      <c r="W65" s="52">
        <f t="shared" si="51"/>
        <v>48.43517456750957</v>
      </c>
      <c r="X65" s="52">
        <f t="shared" si="51"/>
        <v>47.880526794307286</v>
      </c>
      <c r="Y65" s="176">
        <f t="shared" si="41"/>
        <v>41.501047727735035</v>
      </c>
      <c r="Z65" s="52">
        <f t="shared" ref="Z65:AK65" si="52">+Z53+Z55+Z57+Z62+Z63+Z64</f>
        <v>48.134032741486109</v>
      </c>
      <c r="AA65" s="52">
        <f t="shared" si="52"/>
        <v>49.46825379209492</v>
      </c>
      <c r="AB65" s="52">
        <f t="shared" si="52"/>
        <v>47.57634950612632</v>
      </c>
      <c r="AC65" s="52">
        <f t="shared" si="52"/>
        <v>48.505276681472623</v>
      </c>
      <c r="AD65" s="52">
        <f t="shared" si="52"/>
        <v>47.84405166394167</v>
      </c>
      <c r="AE65" s="52">
        <f t="shared" si="52"/>
        <v>48.468937997999596</v>
      </c>
      <c r="AF65" s="52">
        <f t="shared" si="52"/>
        <v>49.52151331406526</v>
      </c>
      <c r="AG65" s="52">
        <f t="shared" si="52"/>
        <v>49.783398814265567</v>
      </c>
      <c r="AH65" s="52">
        <f t="shared" si="52"/>
        <v>50.509510019421754</v>
      </c>
      <c r="AI65" s="52">
        <f t="shared" si="52"/>
        <v>50.256556995781366</v>
      </c>
      <c r="AJ65" s="52">
        <f t="shared" si="52"/>
        <v>50.800305803984976</v>
      </c>
      <c r="AK65" s="52">
        <f t="shared" si="52"/>
        <v>50.245658030782707</v>
      </c>
      <c r="AL65" s="176">
        <f t="shared" si="43"/>
        <v>49.255329716639622</v>
      </c>
      <c r="AM65" s="52">
        <f t="shared" ref="AM65:AW65" si="53">+AM53+AM55+AM57+AM62+AM63+AM64</f>
        <v>54.29691161510943</v>
      </c>
      <c r="AN65" s="52">
        <f t="shared" si="53"/>
        <v>62.665544535191032</v>
      </c>
      <c r="AO65" s="52">
        <f t="shared" si="53"/>
        <v>63.463975366098012</v>
      </c>
      <c r="AP65" s="52">
        <f t="shared" si="53"/>
        <v>64.315005761643192</v>
      </c>
      <c r="AQ65" s="52">
        <f t="shared" si="53"/>
        <v>65.054273539851209</v>
      </c>
      <c r="AR65" s="52">
        <f t="shared" si="53"/>
        <v>66.460638240016934</v>
      </c>
      <c r="AS65" s="52">
        <f t="shared" si="53"/>
        <v>67.782457125993091</v>
      </c>
      <c r="AT65" s="52">
        <f t="shared" si="53"/>
        <v>69.273175613372572</v>
      </c>
      <c r="AU65" s="52">
        <f t="shared" si="53"/>
        <v>71.061079906379518</v>
      </c>
      <c r="AV65" s="52">
        <f t="shared" si="53"/>
        <v>71.846480685556742</v>
      </c>
      <c r="AW65" s="52">
        <f t="shared" si="53"/>
        <v>75.164635163726672</v>
      </c>
      <c r="AX65" s="837"/>
      <c r="AY65" s="837"/>
    </row>
    <row r="66" spans="1:51" ht="13.5" thickTop="1">
      <c r="A66" s="6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8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89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837"/>
      <c r="AY66" s="837"/>
    </row>
    <row r="67" spans="1:51" ht="15.75">
      <c r="A67" s="6"/>
      <c r="B67" s="51" t="s">
        <v>274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89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89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837"/>
      <c r="AY67" s="837"/>
    </row>
    <row r="68" spans="1:51" ht="15">
      <c r="A68" s="6"/>
      <c r="B68" s="53" t="s">
        <v>275</v>
      </c>
      <c r="D68" s="4"/>
      <c r="E68" s="4"/>
      <c r="F68" s="4"/>
      <c r="G68" s="4"/>
      <c r="H68" s="4"/>
      <c r="I68" s="4"/>
      <c r="J68" s="4"/>
      <c r="K68" s="4"/>
      <c r="L68" s="89"/>
      <c r="M68" s="4">
        <f t="shared" ref="M68:AW68" si="54">M33*M7/(M8+M7)+M53*M8/(M7+M8)</f>
        <v>48.603981033797666</v>
      </c>
      <c r="N68" s="4">
        <f t="shared" si="54"/>
        <v>49.78433763690424</v>
      </c>
      <c r="O68" s="4">
        <f t="shared" si="54"/>
        <v>48.459059831763447</v>
      </c>
      <c r="P68" s="4">
        <f t="shared" si="54"/>
        <v>48.29317792758561</v>
      </c>
      <c r="Q68" s="4">
        <f t="shared" si="54"/>
        <v>48.566067913326272</v>
      </c>
      <c r="R68" s="4">
        <f t="shared" si="54"/>
        <v>48.597290286127532</v>
      </c>
      <c r="S68" s="4">
        <f t="shared" si="54"/>
        <v>47.386815921681915</v>
      </c>
      <c r="T68" s="4">
        <f t="shared" si="54"/>
        <v>54.504280907622032</v>
      </c>
      <c r="U68" s="4">
        <f t="shared" si="54"/>
        <v>64.214061678146038</v>
      </c>
      <c r="V68" s="4">
        <f t="shared" si="54"/>
        <v>61.869420779495996</v>
      </c>
      <c r="W68" s="4">
        <f t="shared" si="54"/>
        <v>61.659963074839226</v>
      </c>
      <c r="X68" s="4">
        <f t="shared" si="54"/>
        <v>61.120173484189216</v>
      </c>
      <c r="Y68" s="89">
        <f t="shared" si="54"/>
        <v>53.426658124339262</v>
      </c>
      <c r="Z68" s="4">
        <f t="shared" si="54"/>
        <v>63.220735611997668</v>
      </c>
      <c r="AA68" s="4">
        <f t="shared" si="54"/>
        <v>65.126069509677393</v>
      </c>
      <c r="AB68" s="4">
        <f t="shared" si="54"/>
        <v>62.962419884276052</v>
      </c>
      <c r="AC68" s="4">
        <f t="shared" si="54"/>
        <v>62.435527214246825</v>
      </c>
      <c r="AD68" s="4">
        <f t="shared" si="54"/>
        <v>63.052519784069041</v>
      </c>
      <c r="AE68" s="4">
        <f t="shared" si="54"/>
        <v>63.116895299204494</v>
      </c>
      <c r="AF68" s="4">
        <f t="shared" si="54"/>
        <v>61.092316012333349</v>
      </c>
      <c r="AG68" s="4">
        <f t="shared" si="54"/>
        <v>64.225655299563684</v>
      </c>
      <c r="AH68" s="4">
        <f t="shared" si="54"/>
        <v>64.233345071487264</v>
      </c>
      <c r="AI68" s="4">
        <f t="shared" si="54"/>
        <v>61.887303814199804</v>
      </c>
      <c r="AJ68" s="4">
        <f t="shared" si="54"/>
        <v>61.691609278384902</v>
      </c>
      <c r="AK68" s="4">
        <f t="shared" si="54"/>
        <v>61.142195551408477</v>
      </c>
      <c r="AL68" s="89">
        <f t="shared" si="54"/>
        <v>62.840895414930209</v>
      </c>
      <c r="AM68" s="4">
        <f t="shared" si="54"/>
        <v>62.859137629709181</v>
      </c>
      <c r="AN68" s="4">
        <f t="shared" si="54"/>
        <v>62.876365601266471</v>
      </c>
      <c r="AO68" s="4">
        <f t="shared" si="54"/>
        <v>62.899763635637321</v>
      </c>
      <c r="AP68" s="4">
        <f t="shared" si="54"/>
        <v>62.916073873070907</v>
      </c>
      <c r="AQ68" s="4">
        <f t="shared" si="54"/>
        <v>62.932176199464053</v>
      </c>
      <c r="AR68" s="4">
        <f t="shared" si="54"/>
        <v>62.945872544263828</v>
      </c>
      <c r="AS68" s="4">
        <f t="shared" si="54"/>
        <v>62.966980042308684</v>
      </c>
      <c r="AT68" s="4">
        <f t="shared" si="54"/>
        <v>62.984567651738807</v>
      </c>
      <c r="AU68" s="4">
        <f t="shared" si="54"/>
        <v>63.002126593511996</v>
      </c>
      <c r="AV68" s="4">
        <f t="shared" si="54"/>
        <v>63.016126251435885</v>
      </c>
      <c r="AW68" s="4">
        <f t="shared" si="54"/>
        <v>63.036728440565071</v>
      </c>
      <c r="AX68" s="837"/>
      <c r="AY68" s="837"/>
    </row>
    <row r="69" spans="1:51">
      <c r="A69" s="6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89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89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837"/>
      <c r="AY69" s="837"/>
    </row>
    <row r="70" spans="1:51" ht="15.75">
      <c r="A70" s="6"/>
      <c r="B70" s="58" t="s">
        <v>164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89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89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837"/>
      <c r="AY70" s="837"/>
    </row>
    <row r="71" spans="1:51" s="13" customFormat="1">
      <c r="A71" s="56"/>
      <c r="B71" s="66" t="s">
        <v>340</v>
      </c>
      <c r="D71" s="59"/>
      <c r="E71" s="59"/>
      <c r="F71" s="59"/>
      <c r="G71" s="59"/>
      <c r="H71" s="59"/>
      <c r="I71" s="59"/>
      <c r="J71" s="59"/>
      <c r="K71" s="59"/>
      <c r="L71" s="103"/>
      <c r="M71" s="353">
        <v>0.25</v>
      </c>
      <c r="N71" s="353">
        <v>0.25</v>
      </c>
      <c r="O71" s="353">
        <v>0.25</v>
      </c>
      <c r="P71" s="353">
        <v>0.25</v>
      </c>
      <c r="Q71" s="353">
        <v>0.25</v>
      </c>
      <c r="R71" s="353">
        <v>0.25</v>
      </c>
      <c r="S71" s="353">
        <v>0.25</v>
      </c>
      <c r="T71" s="353">
        <v>0.25</v>
      </c>
      <c r="U71" s="353">
        <v>0.25</v>
      </c>
      <c r="V71" s="353">
        <v>0.25</v>
      </c>
      <c r="W71" s="353">
        <v>0.25</v>
      </c>
      <c r="X71" s="353">
        <v>0.25</v>
      </c>
      <c r="Y71" s="460">
        <v>0</v>
      </c>
      <c r="Z71" s="353">
        <v>0.25</v>
      </c>
      <c r="AA71" s="353">
        <v>0.25</v>
      </c>
      <c r="AB71" s="353">
        <v>0.25</v>
      </c>
      <c r="AC71" s="353">
        <v>0.25</v>
      </c>
      <c r="AD71" s="353">
        <v>0.25</v>
      </c>
      <c r="AE71" s="353">
        <v>0.25</v>
      </c>
      <c r="AF71" s="353">
        <v>0.25</v>
      </c>
      <c r="AG71" s="353">
        <v>0.25</v>
      </c>
      <c r="AH71" s="353">
        <v>0.25</v>
      </c>
      <c r="AI71" s="353">
        <v>0.25</v>
      </c>
      <c r="AJ71" s="353">
        <v>0.25</v>
      </c>
      <c r="AK71" s="353">
        <v>0.25</v>
      </c>
      <c r="AL71" s="89">
        <f>(SUMPRODUCT(Z71:AK71,Z$9:AK$9)+SUMPRODUCT(Z71:AK71,Z$10:AK$10))/(AL$9+AL$10)</f>
        <v>0.25</v>
      </c>
      <c r="AM71" s="353">
        <v>0.25</v>
      </c>
      <c r="AN71" s="353">
        <v>0.25</v>
      </c>
      <c r="AO71" s="353">
        <v>0.25</v>
      </c>
      <c r="AP71" s="353">
        <v>0.25</v>
      </c>
      <c r="AQ71" s="353">
        <v>0.25</v>
      </c>
      <c r="AR71" s="353">
        <v>0.25</v>
      </c>
      <c r="AS71" s="353">
        <v>0.25</v>
      </c>
      <c r="AT71" s="353">
        <v>0.25</v>
      </c>
      <c r="AU71" s="353">
        <v>0.25</v>
      </c>
      <c r="AV71" s="353">
        <v>0.25</v>
      </c>
      <c r="AW71" s="353">
        <v>0.25</v>
      </c>
      <c r="AX71" s="935"/>
      <c r="AY71" s="935"/>
    </row>
    <row r="72" spans="1:51">
      <c r="A72" s="6"/>
      <c r="B72" t="s">
        <v>165</v>
      </c>
      <c r="D72" s="4"/>
      <c r="E72" s="4"/>
      <c r="F72" s="4"/>
      <c r="G72" s="4"/>
      <c r="H72" s="4"/>
      <c r="I72" s="4"/>
      <c r="J72" s="4"/>
      <c r="K72" s="4"/>
      <c r="L72" s="89"/>
      <c r="M72" s="4">
        <f>(M50/(M3*0.024*0.98/12)+M51)+M71</f>
        <v>39.432103718199613</v>
      </c>
      <c r="N72" s="4">
        <f t="shared" ref="N72:S72" si="55">(N50/(N3*0.024*0.98/12)+N51)+N71</f>
        <v>39.432103718199613</v>
      </c>
      <c r="O72" s="4">
        <f t="shared" si="55"/>
        <v>39.432103718199613</v>
      </c>
      <c r="P72" s="4">
        <f t="shared" si="55"/>
        <v>39.432103718199613</v>
      </c>
      <c r="Q72" s="4">
        <f t="shared" si="55"/>
        <v>39.432103718199613</v>
      </c>
      <c r="R72" s="4">
        <f t="shared" si="55"/>
        <v>39.432103718199613</v>
      </c>
      <c r="S72" s="4">
        <f t="shared" si="55"/>
        <v>39.432103718199613</v>
      </c>
      <c r="T72" s="4">
        <f>(T50/(T3*0.024*0.98/12)+T51)+T71</f>
        <v>42.329303254664659</v>
      </c>
      <c r="U72" s="4">
        <f>(U50/(U3*0.024*0.98/12)+U51)+U71</f>
        <v>47.59693877551021</v>
      </c>
      <c r="V72" s="4">
        <f t="shared" ref="V72:Z72" si="56">(V50/(V3*0.024*0.98/12)+V51)+V71</f>
        <v>47.59693877551021</v>
      </c>
      <c r="W72" s="4">
        <f t="shared" si="56"/>
        <v>47.59693877551021</v>
      </c>
      <c r="X72" s="4">
        <f t="shared" si="56"/>
        <v>47.59693877551021</v>
      </c>
      <c r="Y72" s="89">
        <f>(SUMPRODUCT(M72:X72,M$9:X$9)+SUMPRODUCT(M72:X72,M$10:X$10))/(Y$9+Y$10)</f>
        <v>41.154125766754426</v>
      </c>
      <c r="Z72" s="4">
        <f t="shared" si="56"/>
        <v>47.59693877551021</v>
      </c>
      <c r="AA72" s="4">
        <f t="shared" ref="AA72" si="57">(AA50/(AA3*0.024*0.98/12)+AA51)+AA71</f>
        <v>47.59693877551021</v>
      </c>
      <c r="AB72" s="4">
        <f t="shared" ref="AB72" si="58">(AB50/(AB3*0.024*0.98/12)+AB51)+AB71</f>
        <v>47.59693877551021</v>
      </c>
      <c r="AC72" s="4">
        <f t="shared" ref="AC72" si="59">(AC50/(AC3*0.024*0.98/12)+AC51)+AC71</f>
        <v>47.59693877551021</v>
      </c>
      <c r="AD72" s="4">
        <f t="shared" ref="AD72" si="60">(AD50/(AD3*0.024*0.98/12)+AD51)+AD71</f>
        <v>47.59693877551021</v>
      </c>
      <c r="AE72" s="4">
        <f t="shared" ref="AE72" si="61">(AE50/(AE3*0.024*0.98/12)+AE51)+AE71</f>
        <v>47.59693877551021</v>
      </c>
      <c r="AF72" s="4">
        <f t="shared" ref="AF72" si="62">(AF50/(AF3*0.024*0.98/12)+AF51)+AF71</f>
        <v>47.59693877551021</v>
      </c>
      <c r="AG72" s="4">
        <f t="shared" ref="AG72" si="63">(AG50/(AG3*0.024*0.98/12)+AG51)+AG71</f>
        <v>47.59693877551021</v>
      </c>
      <c r="AH72" s="4">
        <f t="shared" ref="AH72" si="64">(AH50/(AH3*0.024*0.98/12)+AH51)+AH71</f>
        <v>47.59693877551021</v>
      </c>
      <c r="AI72" s="4">
        <f t="shared" ref="AI72" si="65">(AI50/(AI3*0.024*0.98/12)+AI51)+AI71</f>
        <v>47.59693877551021</v>
      </c>
      <c r="AJ72" s="4">
        <f t="shared" ref="AJ72" si="66">(AJ50/(AJ3*0.024*0.98/12)+AJ51)+AJ71</f>
        <v>47.59693877551021</v>
      </c>
      <c r="AK72" s="4">
        <f t="shared" ref="AK72" si="67">(AK50/(AK3*0.024*0.98/12)+AK51)+AK71</f>
        <v>47.59693877551021</v>
      </c>
      <c r="AL72" s="89">
        <f>(SUMPRODUCT(Z72:AK72,Z$9:AK$9)+SUMPRODUCT(Z72:AK72,Z$10:AK$10))/(AL$9+AL$10)</f>
        <v>47.596938775510225</v>
      </c>
      <c r="AM72" s="4">
        <f>(AM50/(AM3*0.024*0.98/12)+AM51)+AM71</f>
        <v>47.59693877551021</v>
      </c>
      <c r="AN72" s="4">
        <f>(AN50/(AN3*0.024*0.98/12)+AN51)+AN71</f>
        <v>47.549542767926837</v>
      </c>
      <c r="AO72" s="4">
        <f t="shared" ref="AO72:AW72" si="68">(AO50/(AO3*0.024*0.98/12)+AO51)+AO71</f>
        <v>47.59693877551021</v>
      </c>
      <c r="AP72" s="4">
        <f t="shared" si="68"/>
        <v>47.59693877551021</v>
      </c>
      <c r="AQ72" s="4">
        <f t="shared" si="68"/>
        <v>47.59693877551021</v>
      </c>
      <c r="AR72" s="4">
        <f t="shared" si="68"/>
        <v>47.549542767926837</v>
      </c>
      <c r="AS72" s="4">
        <f t="shared" si="68"/>
        <v>47.59693877551021</v>
      </c>
      <c r="AT72" s="4">
        <f t="shared" si="68"/>
        <v>47.59693877551021</v>
      </c>
      <c r="AU72" s="4">
        <f t="shared" si="68"/>
        <v>47.59693877551021</v>
      </c>
      <c r="AV72" s="4">
        <f t="shared" si="68"/>
        <v>47.549542767926837</v>
      </c>
      <c r="AW72" s="4">
        <f t="shared" si="68"/>
        <v>47.59693877551021</v>
      </c>
      <c r="AX72" s="837"/>
      <c r="AY72" s="837"/>
    </row>
    <row r="73" spans="1:51" s="165" customFormat="1">
      <c r="A73" s="360"/>
      <c r="B73" s="165" t="s">
        <v>166</v>
      </c>
      <c r="L73" s="88"/>
      <c r="Y73" s="88"/>
      <c r="AL73" s="88"/>
      <c r="AM73" s="191">
        <v>0</v>
      </c>
      <c r="AN73" s="191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0</v>
      </c>
      <c r="AT73" s="191">
        <v>0</v>
      </c>
      <c r="AU73" s="191">
        <v>0</v>
      </c>
      <c r="AV73" s="191">
        <v>0</v>
      </c>
      <c r="AW73" s="191">
        <v>0</v>
      </c>
      <c r="AX73" s="934"/>
      <c r="AY73" s="934"/>
    </row>
    <row r="74" spans="1:51" s="165" customFormat="1">
      <c r="A74" s="360"/>
      <c r="B74" s="165" t="s">
        <v>167</v>
      </c>
      <c r="D74" s="191"/>
      <c r="E74" s="191"/>
      <c r="F74" s="191"/>
      <c r="G74" s="191"/>
      <c r="H74" s="191"/>
      <c r="I74" s="191"/>
      <c r="J74" s="191"/>
      <c r="K74" s="191"/>
      <c r="L74" s="89"/>
      <c r="M74" s="191">
        <f>SUM(M72:M73)</f>
        <v>39.432103718199613</v>
      </c>
      <c r="N74" s="191">
        <f t="shared" ref="N74:X74" si="69">SUM(N72:N73)</f>
        <v>39.432103718199613</v>
      </c>
      <c r="O74" s="191">
        <f t="shared" si="69"/>
        <v>39.432103718199613</v>
      </c>
      <c r="P74" s="191">
        <f t="shared" si="69"/>
        <v>39.432103718199613</v>
      </c>
      <c r="Q74" s="191">
        <f t="shared" si="69"/>
        <v>39.432103718199613</v>
      </c>
      <c r="R74" s="191">
        <f t="shared" si="69"/>
        <v>39.432103718199613</v>
      </c>
      <c r="S74" s="191">
        <f t="shared" si="69"/>
        <v>39.432103718199613</v>
      </c>
      <c r="T74" s="191">
        <f t="shared" si="69"/>
        <v>42.329303254664659</v>
      </c>
      <c r="U74" s="191">
        <f t="shared" si="69"/>
        <v>47.59693877551021</v>
      </c>
      <c r="V74" s="191">
        <f t="shared" si="69"/>
        <v>47.59693877551021</v>
      </c>
      <c r="W74" s="191">
        <f t="shared" si="69"/>
        <v>47.59693877551021</v>
      </c>
      <c r="X74" s="191">
        <f t="shared" si="69"/>
        <v>47.59693877551021</v>
      </c>
      <c r="Y74" s="89">
        <f>(SUMPRODUCT(M74:X74,M$9:X$9)+SUMPRODUCT(M74:X74,M$10:X$10))/(Y$9+Y$10)</f>
        <v>41.154125766754426</v>
      </c>
      <c r="Z74" s="191">
        <f t="shared" ref="Z74:AN74" si="70">SUM(Z72:Z73)</f>
        <v>47.59693877551021</v>
      </c>
      <c r="AA74" s="191">
        <f t="shared" si="70"/>
        <v>47.59693877551021</v>
      </c>
      <c r="AB74" s="191">
        <f t="shared" si="70"/>
        <v>47.59693877551021</v>
      </c>
      <c r="AC74" s="191">
        <f t="shared" si="70"/>
        <v>47.59693877551021</v>
      </c>
      <c r="AD74" s="191">
        <f t="shared" si="70"/>
        <v>47.59693877551021</v>
      </c>
      <c r="AE74" s="191">
        <f t="shared" si="70"/>
        <v>47.59693877551021</v>
      </c>
      <c r="AF74" s="191">
        <f t="shared" si="70"/>
        <v>47.59693877551021</v>
      </c>
      <c r="AG74" s="191">
        <f t="shared" si="70"/>
        <v>47.59693877551021</v>
      </c>
      <c r="AH74" s="191">
        <f t="shared" si="70"/>
        <v>47.59693877551021</v>
      </c>
      <c r="AI74" s="191">
        <f t="shared" si="70"/>
        <v>47.59693877551021</v>
      </c>
      <c r="AJ74" s="191">
        <f t="shared" si="70"/>
        <v>47.59693877551021</v>
      </c>
      <c r="AK74" s="191">
        <f t="shared" si="70"/>
        <v>47.59693877551021</v>
      </c>
      <c r="AL74" s="89">
        <f>(SUMPRODUCT(Z74:AK74,Z$9:AK$9)+SUMPRODUCT(Z74:AK74,Z$10:AK$10))/(AL$9+AL$10)</f>
        <v>47.596938775510225</v>
      </c>
      <c r="AM74" s="191">
        <f t="shared" si="70"/>
        <v>47.59693877551021</v>
      </c>
      <c r="AN74" s="191">
        <f t="shared" si="70"/>
        <v>47.549542767926837</v>
      </c>
      <c r="AO74" s="191">
        <f t="shared" ref="AO74:AW74" si="71">SUM(AO72:AO73)</f>
        <v>47.59693877551021</v>
      </c>
      <c r="AP74" s="191">
        <f t="shared" si="71"/>
        <v>47.59693877551021</v>
      </c>
      <c r="AQ74" s="191">
        <f t="shared" si="71"/>
        <v>47.59693877551021</v>
      </c>
      <c r="AR74" s="191">
        <f t="shared" si="71"/>
        <v>47.549542767926837</v>
      </c>
      <c r="AS74" s="191">
        <f t="shared" si="71"/>
        <v>47.59693877551021</v>
      </c>
      <c r="AT74" s="191">
        <f t="shared" si="71"/>
        <v>47.59693877551021</v>
      </c>
      <c r="AU74" s="191">
        <f t="shared" si="71"/>
        <v>47.59693877551021</v>
      </c>
      <c r="AV74" s="191">
        <f t="shared" si="71"/>
        <v>47.549542767926837</v>
      </c>
      <c r="AW74" s="191">
        <f t="shared" si="71"/>
        <v>47.59693877551021</v>
      </c>
      <c r="AX74" s="934"/>
      <c r="AY74" s="934"/>
    </row>
    <row r="75" spans="1:51">
      <c r="A75" s="6"/>
      <c r="B75" t="s">
        <v>168</v>
      </c>
      <c r="D75" s="4"/>
      <c r="E75" s="4"/>
      <c r="F75" s="4"/>
      <c r="G75" s="4"/>
      <c r="H75" s="4"/>
      <c r="I75" s="4"/>
      <c r="J75" s="4"/>
      <c r="K75" s="4"/>
      <c r="L75" s="89"/>
      <c r="M75" s="23">
        <f>'FAC, PPA, ES, SC'!M16+'FAC, PPA, ES, SC'!M24+ECP!G88</f>
        <v>5.6875728134228147</v>
      </c>
      <c r="N75" s="23">
        <f>'FAC, PPA, ES, SC'!N16+'FAC, PPA, ES, SC'!N24+ECP!H88</f>
        <v>5.8527608239912734</v>
      </c>
      <c r="O75" s="23">
        <f>'FAC, PPA, ES, SC'!O16+'FAC, PPA, ES, SC'!O24+ECP!I88</f>
        <v>5.8920595310735795</v>
      </c>
      <c r="P75" s="23">
        <f>'FAC, PPA, ES, SC'!P16+'FAC, PPA, ES, SC'!P24+ECP!J88</f>
        <v>5.7916840080923571</v>
      </c>
      <c r="Q75" s="23">
        <f>'FAC, PPA, ES, SC'!Q16+'FAC, PPA, ES, SC'!Q24+ECP!K88</f>
        <v>5.8749807694614891</v>
      </c>
      <c r="R75" s="23">
        <f>'FAC, PPA, ES, SC'!R16+'FAC, PPA, ES, SC'!R24+ECP!L88</f>
        <v>6.0288999818017501</v>
      </c>
      <c r="S75" s="23">
        <f>'FAC, PPA, ES, SC'!S16+'FAC, PPA, ES, SC'!S24+ECP!M88</f>
        <v>6.4816833631532091</v>
      </c>
      <c r="T75" s="23">
        <f>'FAC, PPA, ES, SC'!T16+'FAC, PPA, ES, SC'!T24+ECP!N88</f>
        <v>6.3942829207968508</v>
      </c>
      <c r="U75" s="23">
        <f>'FAC, PPA, ES, SC'!U16+'FAC, PPA, ES, SC'!U24+ECP!O88</f>
        <v>7.3694648226256358</v>
      </c>
      <c r="V75" s="23">
        <f>'FAC, PPA, ES, SC'!V16+'FAC, PPA, ES, SC'!V24+ECP!P88</f>
        <v>7.1051265647701118</v>
      </c>
      <c r="W75" s="23">
        <f>'FAC, PPA, ES, SC'!W16+'FAC, PPA, ES, SC'!W24+ECP!Q88</f>
        <v>6.9693789533526447</v>
      </c>
      <c r="X75" s="23">
        <f>'FAC, PPA, ES, SC'!X16+'FAC, PPA, ES, SC'!X24+ECP!R88</f>
        <v>6.8007480734276804</v>
      </c>
      <c r="Y75" s="89">
        <f>(SUMPRODUCT(M75:X75,M$9:X$9)+SUMPRODUCT(M75:X75,M$10:X$10))/(Y$9+Y$10)</f>
        <v>6.1844643657733016</v>
      </c>
      <c r="Z75" s="23">
        <f>'FAC, PPA, ES, SC'!Z16+'FAC, PPA, ES, SC'!Z24+ECP!T88</f>
        <v>7.1703507850184449</v>
      </c>
      <c r="AA75" s="23">
        <f>'FAC, PPA, ES, SC'!AA16+'FAC, PPA, ES, SC'!AA24+ECP!U88</f>
        <v>7.4221794234593776</v>
      </c>
      <c r="AB75" s="23">
        <f>'FAC, PPA, ES, SC'!AB16+'FAC, PPA, ES, SC'!AB24+ECP!V88</f>
        <v>7.4643986743996784</v>
      </c>
      <c r="AC75" s="23">
        <f>'FAC, PPA, ES, SC'!AC16+'FAC, PPA, ES, SC'!AC24+ECP!W88</f>
        <v>7.8804871195010868</v>
      </c>
      <c r="AD75" s="23">
        <f>'FAC, PPA, ES, SC'!AD16+'FAC, PPA, ES, SC'!AD24+ECP!X88</f>
        <v>7.8972694922437565</v>
      </c>
      <c r="AE75" s="23">
        <f>'FAC, PPA, ES, SC'!AE16+'FAC, PPA, ES, SC'!AE24+ECP!Y88</f>
        <v>8.0636023609003864</v>
      </c>
      <c r="AF75" s="23">
        <f>'FAC, PPA, ES, SC'!AF16+'FAC, PPA, ES, SC'!AF24+ECP!Z88</f>
        <v>8.0207395557738366</v>
      </c>
      <c r="AG75" s="23">
        <f>'FAC, PPA, ES, SC'!AG16+'FAC, PPA, ES, SC'!AG24+ECP!AA88</f>
        <v>8.5147680733437863</v>
      </c>
      <c r="AH75" s="23">
        <f>'FAC, PPA, ES, SC'!AH16+'FAC, PPA, ES, SC'!AH24+ECP!AB88</f>
        <v>9.1979683911780441</v>
      </c>
      <c r="AI75" s="23">
        <f>'FAC, PPA, ES, SC'!AI16+'FAC, PPA, ES, SC'!AI24+ECP!AC88</f>
        <v>8.7667852814260616</v>
      </c>
      <c r="AJ75" s="23">
        <f>'FAC, PPA, ES, SC'!AJ16+'FAC, PPA, ES, SC'!AJ24+ECP!AD88</f>
        <v>8.528896501411408</v>
      </c>
      <c r="AK75" s="23">
        <f>'FAC, PPA, ES, SC'!AK16+'FAC, PPA, ES, SC'!AK24+ECP!AE88</f>
        <v>8.222033072115817</v>
      </c>
      <c r="AL75" s="89">
        <f>(SUMPRODUCT(Z75:AK75,Z$9:AK$9)+SUMPRODUCT(Z75:AK75,Z$10:AK$10))/(AL$9+AL$10)</f>
        <v>8.097798213727545</v>
      </c>
      <c r="AM75" s="23">
        <f>'FAC, PPA, ES, SC'!AM16+'FAC, PPA, ES, SC'!AM24+ECP!AG88</f>
        <v>11.354921888633868</v>
      </c>
      <c r="AN75" s="23">
        <f>'FAC, PPA, ES, SC'!AN16+'FAC, PPA, ES, SC'!AN24+ECP!AH88</f>
        <v>11.980893913320688</v>
      </c>
      <c r="AO75" s="23">
        <f>'FAC, PPA, ES, SC'!AO16+'FAC, PPA, ES, SC'!AO24+ECP!AI88</f>
        <v>13.298827703005752</v>
      </c>
      <c r="AP75" s="23">
        <f>'FAC, PPA, ES, SC'!AP16+'FAC, PPA, ES, SC'!AP24+ECP!AJ88</f>
        <v>14.378041047994868</v>
      </c>
      <c r="AQ75" s="23">
        <f>'FAC, PPA, ES, SC'!AQ16+'FAC, PPA, ES, SC'!AQ24+ECP!AK88</f>
        <v>14.995377589503606</v>
      </c>
      <c r="AR75" s="23">
        <f>'FAC, PPA, ES, SC'!AR16+'FAC, PPA, ES, SC'!AR24+ECP!AL88</f>
        <v>16.407923664945095</v>
      </c>
      <c r="AS75" s="23">
        <f>'FAC, PPA, ES, SC'!AS16+'FAC, PPA, ES, SC'!AS24+ECP!AM88</f>
        <v>17.825958566557389</v>
      </c>
      <c r="AT75" s="23">
        <f>'FAC, PPA, ES, SC'!AT16+'FAC, PPA, ES, SC'!AT24+ECP!AN88</f>
        <v>19.185477065853256</v>
      </c>
      <c r="AU75" s="23">
        <f>'FAC, PPA, ES, SC'!AU16+'FAC, PPA, ES, SC'!AU24+ECP!AO88</f>
        <v>20.948612725729241</v>
      </c>
      <c r="AV75" s="23">
        <f>'FAC, PPA, ES, SC'!AV16+'FAC, PPA, ES, SC'!AV24+ECP!AP88</f>
        <v>21.822393672000398</v>
      </c>
      <c r="AW75" s="23">
        <f>'FAC, PPA, ES, SC'!AW16+'FAC, PPA, ES, SC'!AW24+ECP!AQ88</f>
        <v>25.011752440429323</v>
      </c>
      <c r="AX75" s="31"/>
      <c r="AY75" s="31"/>
    </row>
    <row r="76" spans="1:51">
      <c r="A76" s="6"/>
      <c r="B76" t="s">
        <v>1018</v>
      </c>
      <c r="D76" s="4"/>
      <c r="E76" s="4"/>
      <c r="F76" s="4"/>
      <c r="G76" s="4"/>
      <c r="H76" s="4"/>
      <c r="I76" s="4"/>
      <c r="J76" s="4"/>
      <c r="K76" s="4"/>
      <c r="L76" s="89"/>
      <c r="M76" s="4">
        <f>'FAC, PPA, ES, SC'!M52/(Rates!M9+Rates!M10)</f>
        <v>0.65120393618812877</v>
      </c>
      <c r="N76" s="4">
        <f>'FAC, PPA, ES, SC'!N52/(Rates!N9+Rates!N10)</f>
        <v>0.72097578649399952</v>
      </c>
      <c r="O76" s="4">
        <f>'FAC, PPA, ES, SC'!O52/(Rates!O9+Rates!O10)</f>
        <v>0.65120393618812877</v>
      </c>
      <c r="P76" s="4">
        <f>'FAC, PPA, ES, SC'!P52/(Rates!P9+Rates!P10)</f>
        <v>0.67291073406106627</v>
      </c>
      <c r="Q76" s="4">
        <f>'FAC, PPA, ES, SC'!Q52/(Rates!Q9+Rates!Q10)</f>
        <v>0.65120393618812877</v>
      </c>
      <c r="R76" s="4">
        <f>'FAC, PPA, ES, SC'!R52/(Rates!R9+Rates!R10)</f>
        <v>0.67291073406106627</v>
      </c>
      <c r="S76" s="4">
        <f>'FAC, PPA, ES, SC'!S52/(Rates!S9+Rates!S10)</f>
        <v>0.65886515896681264</v>
      </c>
      <c r="T76" s="4">
        <f>'FAC, PPA, ES, SC'!T52/(Rates!T9+Rates!T10)</f>
        <v>0.67430741985569631</v>
      </c>
      <c r="U76" s="4">
        <f>'FAC, PPA, ES, SC'!U52/(Rates!U9+Rates!U10)</f>
        <v>0.68083052967563851</v>
      </c>
      <c r="V76" s="4">
        <f>'FAC, PPA, ES, SC'!V52/(Rates!V9+Rates!V10)</f>
        <v>0.65886825452481146</v>
      </c>
      <c r="W76" s="4">
        <f>'FAC, PPA, ES, SC'!W52/(Rates!W9+Rates!W10)</f>
        <v>0.68083052967563851</v>
      </c>
      <c r="X76" s="4">
        <f>'FAC, PPA, ES, SC'!X52/(Rates!X9+Rates!X10)</f>
        <v>0.65886825452481146</v>
      </c>
      <c r="Y76" s="89">
        <f>(SUMPRODUCT(M76:X76,M$9:X$9)+SUMPRODUCT(M76:X76,M$10:X$10))/(Y$9+Y$10)</f>
        <v>0.66860477613086344</v>
      </c>
      <c r="Z76" s="4">
        <f>'FAC, PPA, ES, SC'!Z52/(Rates!Z9+Rates!Z10)</f>
        <v>0.65886825452481146</v>
      </c>
      <c r="AA76" s="4">
        <f>'FAC, PPA, ES, SC'!AA52/(Rates!AA9+Rates!AA10)</f>
        <v>0.72946128179532699</v>
      </c>
      <c r="AB76" s="4">
        <f>'FAC, PPA, ES, SC'!AB52/(Rates!AB9+Rates!AB10)</f>
        <v>0.65886825452481146</v>
      </c>
      <c r="AC76" s="4">
        <f>'FAC, PPA, ES, SC'!AC52/(Rates!AC9+Rates!AC10)</f>
        <v>0.68083052967563851</v>
      </c>
      <c r="AD76" s="4">
        <f>'FAC, PPA, ES, SC'!AD52/(Rates!AD9+Rates!AD10)</f>
        <v>0.65886825452481146</v>
      </c>
      <c r="AE76" s="4">
        <f>'FAC, PPA, ES, SC'!AE52/(Rates!AE9+Rates!AE10)</f>
        <v>0.68083052967563851</v>
      </c>
      <c r="AF76" s="4">
        <f>'FAC, PPA, ES, SC'!AF52/(Rates!AF9+Rates!AF10)</f>
        <v>0.65886825452481146</v>
      </c>
      <c r="AG76" s="4">
        <f>'FAC, PPA, ES, SC'!AG52/(Rates!AG9+Rates!AG10)</f>
        <v>0.65886825452481146</v>
      </c>
      <c r="AH76" s="4">
        <f>'FAC, PPA, ES, SC'!AH52/(Rates!AH9+Rates!AH10)</f>
        <v>0.68083052967563851</v>
      </c>
      <c r="AI76" s="4">
        <f>'FAC, PPA, ES, SC'!AI52/(Rates!AI9+Rates!AI10)</f>
        <v>0.65886825452481146</v>
      </c>
      <c r="AJ76" s="4">
        <f>'FAC, PPA, ES, SC'!AJ52/(Rates!AJ9+Rates!AJ10)</f>
        <v>0.68083052967563851</v>
      </c>
      <c r="AK76" s="4">
        <f>'FAC, PPA, ES, SC'!AK52/(Rates!AK9+Rates!AK10)</f>
        <v>0.65886825452481146</v>
      </c>
      <c r="AL76" s="89">
        <f>(SUMPRODUCT(Z76:AK76,Z$9:AK$9)+SUMPRODUCT(Z76:AK76,Z$10:AK$10))/(AL$9+AL$10)</f>
        <v>0.67150408406364359</v>
      </c>
      <c r="AM76" s="4">
        <f>'FAC, PPA, ES, SC'!AM52/(Rates!AM9+Rates!AM10)</f>
        <v>0.67150408406364348</v>
      </c>
      <c r="AN76" s="4">
        <f>'FAC, PPA, ES, SC'!AN52/(Rates!AN9+Rates!AN10)</f>
        <v>0.66966937345144784</v>
      </c>
      <c r="AO76" s="4">
        <f>'FAC, PPA, ES, SC'!AO52/(Rates!AO9+Rates!AO10)</f>
        <v>1.2310154854079807</v>
      </c>
      <c r="AP76" s="4">
        <f>'FAC, PPA, ES, SC'!AP52/(Rates!AP9+Rates!AP10)</f>
        <v>1.3954643799151583</v>
      </c>
      <c r="AQ76" s="4">
        <f>'FAC, PPA, ES, SC'!AQ52/(Rates!AQ9+Rates!AQ10)</f>
        <v>1.3954643799151583</v>
      </c>
      <c r="AR76" s="4">
        <f>'FAC, PPA, ES, SC'!AR52/(Rates!AR9+Rates!AR10)</f>
        <v>1.39165163570774</v>
      </c>
      <c r="AS76" s="4">
        <f>'FAC, PPA, ES, SC'!AS52/(Rates!AS9+Rates!AS10)</f>
        <v>1.3954643799151583</v>
      </c>
      <c r="AT76" s="4">
        <f>'FAC, PPA, ES, SC'!AT52/(Rates!AT9+Rates!AT10)</f>
        <v>1.3954643799151583</v>
      </c>
      <c r="AU76" s="4">
        <f>'FAC, PPA, ES, SC'!AU52/(Rates!AU9+Rates!AU10)</f>
        <v>1.3954643799151583</v>
      </c>
      <c r="AV76" s="4">
        <f>'FAC, PPA, ES, SC'!AV52/(Rates!AV9+Rates!AV10)</f>
        <v>1.39165163570774</v>
      </c>
      <c r="AW76" s="4">
        <f>'FAC, PPA, ES, SC'!AW52/(Rates!AW9+Rates!AW10)</f>
        <v>1.3954643799151583</v>
      </c>
      <c r="AX76" s="837"/>
      <c r="AY76" s="837"/>
    </row>
    <row r="77" spans="1:51">
      <c r="A77" s="6"/>
      <c r="B77" t="s">
        <v>1019</v>
      </c>
      <c r="D77" s="4"/>
      <c r="E77" s="4"/>
      <c r="F77" s="4"/>
      <c r="G77" s="4"/>
      <c r="H77" s="4"/>
      <c r="I77" s="4"/>
      <c r="J77" s="4"/>
      <c r="K77" s="4"/>
      <c r="L77" s="89"/>
      <c r="M77" s="4">
        <f>'FAC, PPA, ES, SC'!M53/(Rates!M9+Rates!M10)</f>
        <v>1.2</v>
      </c>
      <c r="N77" s="4">
        <f>'FAC, PPA, ES, SC'!N53/(Rates!N9+Rates!N10)</f>
        <v>1.2</v>
      </c>
      <c r="O77" s="4">
        <f>'FAC, PPA, ES, SC'!O53/(Rates!O9+Rates!O10)</f>
        <v>1.2</v>
      </c>
      <c r="P77" s="4">
        <f>'FAC, PPA, ES, SC'!P53/(Rates!P9+Rates!P10)</f>
        <v>1.2</v>
      </c>
      <c r="Q77" s="4">
        <f>'FAC, PPA, ES, SC'!Q53/(Rates!Q9+Rates!Q10)</f>
        <v>1.2</v>
      </c>
      <c r="R77" s="4">
        <f>'FAC, PPA, ES, SC'!R53/(Rates!R9+Rates!R10)</f>
        <v>1.2</v>
      </c>
      <c r="S77" s="4">
        <f>'FAC, PPA, ES, SC'!S53/(Rates!S9+Rates!S10)</f>
        <v>1.2</v>
      </c>
      <c r="T77" s="4">
        <f>'FAC, PPA, ES, SC'!T53/(Rates!T9+Rates!T10)</f>
        <v>1.2</v>
      </c>
      <c r="U77" s="4">
        <f>'FAC, PPA, ES, SC'!U53/(Rates!U9+Rates!U10)</f>
        <v>1.2</v>
      </c>
      <c r="V77" s="4">
        <f>'FAC, PPA, ES, SC'!V53/(Rates!V9+Rates!V10)</f>
        <v>1.2</v>
      </c>
      <c r="W77" s="4">
        <f>'FAC, PPA, ES, SC'!W53/(Rates!W9+Rates!W10)</f>
        <v>1.2</v>
      </c>
      <c r="X77" s="4">
        <f>'FAC, PPA, ES, SC'!X53/(Rates!X9+Rates!X10)</f>
        <v>1.2</v>
      </c>
      <c r="Y77" s="89">
        <f>(SUMPRODUCT(M77:X77,M$9:X$9)+SUMPRODUCT(M77:X77,M$10:X$10))/(Y$9+Y$10)</f>
        <v>1.1999999999999997</v>
      </c>
      <c r="Z77" s="4">
        <f>'FAC, PPA, ES, SC'!Z53/(Rates!Z9+Rates!Z10)</f>
        <v>1.2</v>
      </c>
      <c r="AA77" s="4">
        <f>'FAC, PPA, ES, SC'!AA53/(Rates!AA9+Rates!AA10)</f>
        <v>1.2</v>
      </c>
      <c r="AB77" s="4">
        <f>'FAC, PPA, ES, SC'!AB53/(Rates!AB9+Rates!AB10)</f>
        <v>1.2</v>
      </c>
      <c r="AC77" s="4">
        <f>'FAC, PPA, ES, SC'!AC53/(Rates!AC9+Rates!AC10)</f>
        <v>1.2</v>
      </c>
      <c r="AD77" s="4">
        <f>'FAC, PPA, ES, SC'!AD53/(Rates!AD9+Rates!AD10)</f>
        <v>1.2</v>
      </c>
      <c r="AE77" s="4">
        <f>'FAC, PPA, ES, SC'!AE53/(Rates!AE9+Rates!AE10)</f>
        <v>1.2</v>
      </c>
      <c r="AF77" s="4">
        <f>'FAC, PPA, ES, SC'!AF53/(Rates!AF9+Rates!AF10)</f>
        <v>1.2</v>
      </c>
      <c r="AG77" s="4">
        <f>'FAC, PPA, ES, SC'!AG53/(Rates!AG9+Rates!AG10)</f>
        <v>1.2</v>
      </c>
      <c r="AH77" s="4">
        <f>'FAC, PPA, ES, SC'!AH53/(Rates!AH9+Rates!AH10)</f>
        <v>1.2</v>
      </c>
      <c r="AI77" s="4">
        <f>'FAC, PPA, ES, SC'!AI53/(Rates!AI9+Rates!AI10)</f>
        <v>1.2</v>
      </c>
      <c r="AJ77" s="4">
        <f>'FAC, PPA, ES, SC'!AJ53/(Rates!AJ9+Rates!AJ10)</f>
        <v>1.2</v>
      </c>
      <c r="AK77" s="4">
        <f>'FAC, PPA, ES, SC'!AK53/(Rates!AK9+Rates!AK10)</f>
        <v>1.2</v>
      </c>
      <c r="AL77" s="89">
        <f>(SUMPRODUCT(Z77:AK77,Z$9:AK$9)+SUMPRODUCT(Z77:AK77,Z$10:AK$10))/(AL$9+AL$10)</f>
        <v>1.2000000000000002</v>
      </c>
      <c r="AM77" s="4">
        <f>'FAC, PPA, ES, SC'!AM53/(Rates!AM9+Rates!AM10)</f>
        <v>1.2</v>
      </c>
      <c r="AN77" s="4">
        <f>'FAC, PPA, ES, SC'!AN53/(Rates!AN9+Rates!AN10)</f>
        <v>1.2</v>
      </c>
      <c r="AO77" s="4">
        <f>'FAC, PPA, ES, SC'!AO53/(Rates!AO9+Rates!AO10)</f>
        <v>1.2</v>
      </c>
      <c r="AP77" s="4">
        <f>'FAC, PPA, ES, SC'!AP53/(Rates!AP9+Rates!AP10)</f>
        <v>1.2</v>
      </c>
      <c r="AQ77" s="4">
        <f>'FAC, PPA, ES, SC'!AQ53/(Rates!AQ9+Rates!AQ10)</f>
        <v>1.2</v>
      </c>
      <c r="AR77" s="4">
        <f>'FAC, PPA, ES, SC'!AR53/(Rates!AR9+Rates!AR10)</f>
        <v>1.2</v>
      </c>
      <c r="AS77" s="4">
        <f>'FAC, PPA, ES, SC'!AS53/(Rates!AS9+Rates!AS10)</f>
        <v>1.2</v>
      </c>
      <c r="AT77" s="4">
        <f>'FAC, PPA, ES, SC'!AT53/(Rates!AT9+Rates!AT10)</f>
        <v>1.2</v>
      </c>
      <c r="AU77" s="4">
        <f>'FAC, PPA, ES, SC'!AU53/(Rates!AU9+Rates!AU10)</f>
        <v>1.2</v>
      </c>
      <c r="AV77" s="4">
        <f>'FAC, PPA, ES, SC'!AV53/(Rates!AV9+Rates!AV10)</f>
        <v>1.2</v>
      </c>
      <c r="AW77" s="4">
        <f>'FAC, PPA, ES, SC'!AW53/(Rates!AW9+Rates!AW10)</f>
        <v>1.2</v>
      </c>
      <c r="AX77" s="837"/>
      <c r="AY77" s="837"/>
    </row>
    <row r="78" spans="1:51" s="165" customFormat="1">
      <c r="A78" s="360"/>
      <c r="B78" s="165" t="s">
        <v>160</v>
      </c>
      <c r="D78" s="397"/>
      <c r="E78" s="397"/>
      <c r="F78" s="397"/>
      <c r="G78" s="397"/>
      <c r="H78" s="397"/>
      <c r="I78" s="397"/>
      <c r="J78" s="397"/>
      <c r="K78" s="397"/>
      <c r="L78" s="398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8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8"/>
      <c r="AM78" s="210">
        <v>0</v>
      </c>
      <c r="AN78" s="210">
        <v>0</v>
      </c>
      <c r="AO78" s="210">
        <v>0</v>
      </c>
      <c r="AP78" s="210">
        <v>0</v>
      </c>
      <c r="AQ78" s="210">
        <v>0</v>
      </c>
      <c r="AR78" s="210">
        <v>0</v>
      </c>
      <c r="AS78" s="210">
        <v>0</v>
      </c>
      <c r="AT78" s="210">
        <v>0</v>
      </c>
      <c r="AU78" s="210">
        <v>0</v>
      </c>
      <c r="AV78" s="210">
        <v>0</v>
      </c>
      <c r="AW78" s="210">
        <v>0</v>
      </c>
      <c r="AX78" s="934"/>
      <c r="AY78" s="934"/>
    </row>
    <row r="79" spans="1:51">
      <c r="A79" s="6"/>
      <c r="B79" t="s">
        <v>163</v>
      </c>
      <c r="D79" s="4"/>
      <c r="E79" s="4"/>
      <c r="F79" s="4"/>
      <c r="G79" s="4"/>
      <c r="H79" s="4"/>
      <c r="I79" s="4"/>
      <c r="J79" s="4"/>
      <c r="K79" s="4"/>
      <c r="L79" s="89"/>
      <c r="M79" s="4">
        <f>+M74+M75+M76+M77+M78</f>
        <v>46.970880467810566</v>
      </c>
      <c r="N79" s="4">
        <f t="shared" ref="N79:AK79" si="72">+N74+N75+N76+N77+N78</f>
        <v>47.205840328684893</v>
      </c>
      <c r="O79" s="4">
        <f t="shared" si="72"/>
        <v>47.175367185461326</v>
      </c>
      <c r="P79" s="4">
        <f t="shared" si="72"/>
        <v>47.096698460353046</v>
      </c>
      <c r="Q79" s="4">
        <f t="shared" si="72"/>
        <v>47.158288423849235</v>
      </c>
      <c r="R79" s="4">
        <f t="shared" si="72"/>
        <v>47.333914434062436</v>
      </c>
      <c r="S79" s="4">
        <f t="shared" si="72"/>
        <v>47.772652240319637</v>
      </c>
      <c r="T79" s="4">
        <f t="shared" si="72"/>
        <v>50.597893595317203</v>
      </c>
      <c r="U79" s="4">
        <f t="shared" si="72"/>
        <v>56.84723412781149</v>
      </c>
      <c r="V79" s="4">
        <f t="shared" si="72"/>
        <v>56.560933594805135</v>
      </c>
      <c r="W79" s="4">
        <f t="shared" si="72"/>
        <v>56.447148258538498</v>
      </c>
      <c r="X79" s="4">
        <f t="shared" si="72"/>
        <v>56.256555103462709</v>
      </c>
      <c r="Y79" s="89">
        <f>(SUMPRODUCT(M79:X79,M$9:X$9)+SUMPRODUCT(M79:X79,M$10:X$10))/(Y$9+Y$10)</f>
        <v>49.2071949086586</v>
      </c>
      <c r="Z79" s="4">
        <f t="shared" si="72"/>
        <v>56.626157815053467</v>
      </c>
      <c r="AA79" s="4">
        <f t="shared" si="72"/>
        <v>56.948579480764913</v>
      </c>
      <c r="AB79" s="4">
        <f t="shared" si="72"/>
        <v>56.9202057044347</v>
      </c>
      <c r="AC79" s="4">
        <f t="shared" si="72"/>
        <v>57.358256424686935</v>
      </c>
      <c r="AD79" s="4">
        <f t="shared" si="72"/>
        <v>57.353076522278784</v>
      </c>
      <c r="AE79" s="4">
        <f t="shared" si="72"/>
        <v>57.541371666086242</v>
      </c>
      <c r="AF79" s="4">
        <f t="shared" si="72"/>
        <v>57.476546585808862</v>
      </c>
      <c r="AG79" s="4">
        <f t="shared" si="72"/>
        <v>57.970575103378813</v>
      </c>
      <c r="AH79" s="4">
        <f t="shared" si="72"/>
        <v>58.675737696363896</v>
      </c>
      <c r="AI79" s="4">
        <f t="shared" si="72"/>
        <v>58.222592311461085</v>
      </c>
      <c r="AJ79" s="4">
        <f t="shared" si="72"/>
        <v>58.006665806597262</v>
      </c>
      <c r="AK79" s="4">
        <f t="shared" si="72"/>
        <v>57.677840102150846</v>
      </c>
      <c r="AL79" s="89">
        <f>(SUMPRODUCT(Z79:AK79,Z$9:AK$9)+SUMPRODUCT(Z79:AK79,Z$10:AK$10))/(AL$9+AL$10)</f>
        <v>57.566241073301413</v>
      </c>
      <c r="AM79" s="4">
        <f t="shared" ref="AM79:AW79" si="73">+AM74+AM75+AM76+AM77+AM78</f>
        <v>60.823364748207723</v>
      </c>
      <c r="AN79" s="4">
        <f t="shared" si="73"/>
        <v>61.400106054698973</v>
      </c>
      <c r="AO79" s="4">
        <f t="shared" si="73"/>
        <v>63.326781963923949</v>
      </c>
      <c r="AP79" s="4">
        <f t="shared" si="73"/>
        <v>64.570444203420237</v>
      </c>
      <c r="AQ79" s="4">
        <f t="shared" si="73"/>
        <v>65.187780744928972</v>
      </c>
      <c r="AR79" s="4">
        <f t="shared" si="73"/>
        <v>66.549118068579673</v>
      </c>
      <c r="AS79" s="4">
        <f t="shared" si="73"/>
        <v>68.018361721982757</v>
      </c>
      <c r="AT79" s="4">
        <f t="shared" si="73"/>
        <v>69.37788022127863</v>
      </c>
      <c r="AU79" s="4">
        <f t="shared" si="73"/>
        <v>71.141015881154615</v>
      </c>
      <c r="AV79" s="4">
        <f t="shared" si="73"/>
        <v>71.963588075634988</v>
      </c>
      <c r="AW79" s="4">
        <f t="shared" si="73"/>
        <v>75.204155595854687</v>
      </c>
      <c r="AX79" s="837"/>
      <c r="AY79" s="837"/>
    </row>
    <row r="81" spans="1:51" s="13" customFormat="1">
      <c r="B81" s="13" t="s">
        <v>339</v>
      </c>
      <c r="D81" s="60"/>
      <c r="E81" s="60"/>
      <c r="F81" s="60"/>
      <c r="G81" s="60"/>
      <c r="H81" s="60"/>
      <c r="I81" s="60"/>
      <c r="J81" s="60"/>
      <c r="K81" s="60"/>
      <c r="L81" s="189"/>
      <c r="M81" s="348">
        <v>2.95</v>
      </c>
      <c r="N81" s="348">
        <v>2.95</v>
      </c>
      <c r="O81" s="348">
        <v>2.95</v>
      </c>
      <c r="P81" s="348">
        <v>2.95</v>
      </c>
      <c r="Q81" s="348">
        <v>2.95</v>
      </c>
      <c r="R81" s="348">
        <v>2.95</v>
      </c>
      <c r="S81" s="348">
        <v>2.95</v>
      </c>
      <c r="T81" s="348">
        <v>2.95</v>
      </c>
      <c r="U81" s="348">
        <v>2.95</v>
      </c>
      <c r="V81" s="348">
        <v>2.95</v>
      </c>
      <c r="W81" s="348">
        <v>2.95</v>
      </c>
      <c r="X81" s="348">
        <v>2.95</v>
      </c>
      <c r="Y81" s="379">
        <v>2.95</v>
      </c>
      <c r="Z81" s="348">
        <v>2.95</v>
      </c>
      <c r="AA81" s="348">
        <v>2.95</v>
      </c>
      <c r="AB81" s="348">
        <v>2.95</v>
      </c>
      <c r="AC81" s="348">
        <v>2.95</v>
      </c>
      <c r="AD81" s="348">
        <v>2.95</v>
      </c>
      <c r="AE81" s="348">
        <v>2.95</v>
      </c>
      <c r="AF81" s="348">
        <v>2.95</v>
      </c>
      <c r="AG81" s="348">
        <v>2.95</v>
      </c>
      <c r="AH81" s="348">
        <v>2.95</v>
      </c>
      <c r="AI81" s="348">
        <v>2.95</v>
      </c>
      <c r="AJ81" s="348">
        <v>2.95</v>
      </c>
      <c r="AK81" s="348">
        <v>2.95</v>
      </c>
      <c r="AL81" s="379">
        <v>2.95</v>
      </c>
      <c r="AM81" s="348">
        <v>3.55</v>
      </c>
      <c r="AN81" s="348">
        <v>3.55</v>
      </c>
      <c r="AO81" s="348">
        <v>3.55</v>
      </c>
      <c r="AP81" s="348">
        <v>4.1500000000000004</v>
      </c>
      <c r="AQ81" s="348">
        <v>4.1500000000000004</v>
      </c>
      <c r="AR81" s="348">
        <v>4.1500000000000004</v>
      </c>
      <c r="AS81" s="348">
        <v>4.75</v>
      </c>
      <c r="AT81" s="348">
        <v>4.75</v>
      </c>
      <c r="AU81" s="348">
        <v>4.75</v>
      </c>
      <c r="AV81" s="60">
        <v>4.75</v>
      </c>
      <c r="AW81" s="60">
        <v>4.75</v>
      </c>
      <c r="AX81" s="936"/>
      <c r="AY81" s="936"/>
    </row>
    <row r="83" spans="1:51" s="13" customFormat="1">
      <c r="B83" s="13" t="s">
        <v>137</v>
      </c>
      <c r="D83" s="23"/>
      <c r="E83" s="23"/>
      <c r="F83" s="23"/>
      <c r="G83" s="23"/>
      <c r="H83" s="23"/>
      <c r="I83" s="23"/>
      <c r="J83" s="23"/>
      <c r="K83" s="23"/>
      <c r="L83" s="89"/>
      <c r="M83" s="23">
        <f>PCM!N77</f>
        <v>32.365304649577816</v>
      </c>
      <c r="N83" s="23">
        <f>PCM!O77</f>
        <v>31.453733200566685</v>
      </c>
      <c r="O83" s="23">
        <f>PCM!P77</f>
        <v>30.365038623853565</v>
      </c>
      <c r="P83" s="23">
        <f>PCM!Q77</f>
        <v>31.597869062965575</v>
      </c>
      <c r="Q83" s="23">
        <f>PCM!R77</f>
        <v>29.632041074028418</v>
      </c>
      <c r="R83" s="23">
        <f>PCM!S77</f>
        <v>32.709173043128665</v>
      </c>
      <c r="S83" s="23">
        <f>PCM!T77</f>
        <v>41.250305031543498</v>
      </c>
      <c r="T83" s="23">
        <f>PCM!U77</f>
        <v>33.258682455805818</v>
      </c>
      <c r="U83" s="23">
        <f>PCM!V77</f>
        <v>28.451497043157481</v>
      </c>
      <c r="V83" s="23">
        <f>PCM!W77</f>
        <v>28.081991506278342</v>
      </c>
      <c r="W83" s="23">
        <f>PCM!X77</f>
        <v>27.891478742114352</v>
      </c>
      <c r="X83" s="23">
        <f>PCM!Y77</f>
        <v>30.712188937724221</v>
      </c>
      <c r="Y83" s="824">
        <f>PCM!Z77</f>
        <v>30.778511443569016</v>
      </c>
      <c r="Z83" s="23">
        <f>PCM!AA77</f>
        <v>34.604803274343226</v>
      </c>
      <c r="AA83" s="23">
        <f>PCM!AB77</f>
        <v>33.683774355345285</v>
      </c>
      <c r="AB83" s="23">
        <f>PCM!AC77</f>
        <v>31.839287602487524</v>
      </c>
      <c r="AC83" s="23">
        <f>PCM!AD77</f>
        <v>31.928912610960055</v>
      </c>
      <c r="AD83" s="23">
        <f>PCM!AE77</f>
        <v>29.942720279349807</v>
      </c>
      <c r="AE83" s="23">
        <f>PCM!AF77</f>
        <v>32.483432338056652</v>
      </c>
      <c r="AF83" s="23">
        <f>PCM!AG77</f>
        <v>36.21512126024534</v>
      </c>
      <c r="AG83" s="23">
        <f>PCM!AH77</f>
        <v>33.822930614234551</v>
      </c>
      <c r="AH83" s="23">
        <f>PCM!AI77</f>
        <v>29.16151843554286</v>
      </c>
      <c r="AI83" s="23">
        <f>PCM!AJ77</f>
        <v>28.940946958526826</v>
      </c>
      <c r="AJ83" s="23">
        <f>PCM!AK77</f>
        <v>29.105144314083631</v>
      </c>
      <c r="AK83" s="23">
        <f>PCM!AL77</f>
        <v>32.043443939085677</v>
      </c>
      <c r="AL83" s="89">
        <f>PCM!AM77</f>
        <v>31.692298807086363</v>
      </c>
      <c r="AM83" s="23">
        <f>PCM!AN77</f>
        <v>34.384132258165153</v>
      </c>
      <c r="AN83" s="23">
        <f>PCM!AO77</f>
        <v>35.562098758935107</v>
      </c>
      <c r="AO83" s="23">
        <f>PCM!AP77</f>
        <v>38.020633509456623</v>
      </c>
      <c r="AP83" s="23">
        <f>PCM!AQ77</f>
        <v>40.352919502700942</v>
      </c>
      <c r="AQ83" s="23">
        <f>PCM!AR77</f>
        <v>46.50406055078151</v>
      </c>
      <c r="AR83" s="23">
        <f>PCM!AS77</f>
        <v>57.407079449718523</v>
      </c>
      <c r="AS83" s="23">
        <f>PCM!AT77</f>
        <v>66.066469515730105</v>
      </c>
      <c r="AT83" s="23">
        <f>PCM!AU77</f>
        <v>67.281217107295873</v>
      </c>
      <c r="AU83" s="23">
        <f>PCM!AV77</f>
        <v>68.486915409131257</v>
      </c>
      <c r="AV83" s="23">
        <f>PCM!AW77</f>
        <v>69.026525458920162</v>
      </c>
      <c r="AW83" s="23">
        <f>PCM!AX77</f>
        <v>72.548398381810784</v>
      </c>
      <c r="AX83" s="31"/>
      <c r="AY83" s="31"/>
    </row>
    <row r="86" spans="1:51" ht="15.75">
      <c r="A86" s="2"/>
    </row>
    <row r="87" spans="1:51">
      <c r="A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69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69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904"/>
      <c r="AY87" s="904"/>
    </row>
    <row r="88" spans="1:51">
      <c r="A88" s="1"/>
      <c r="B88" t="s">
        <v>238</v>
      </c>
      <c r="D88" s="4"/>
      <c r="E88" s="4"/>
      <c r="F88" s="4"/>
      <c r="G88" s="4"/>
      <c r="H88" s="4"/>
      <c r="I88" s="4"/>
      <c r="J88" s="4"/>
      <c r="K88" s="4"/>
      <c r="L88" s="89"/>
      <c r="M88" s="4">
        <f t="shared" ref="M88:X88" si="74">M46*M7</f>
        <v>11.154331646047396</v>
      </c>
      <c r="N88" s="4">
        <f t="shared" si="74"/>
        <v>9.6074923230680298</v>
      </c>
      <c r="O88" s="4">
        <f t="shared" si="74"/>
        <v>8.513842373089247</v>
      </c>
      <c r="P88" s="4">
        <f t="shared" si="74"/>
        <v>6.6911955197159818</v>
      </c>
      <c r="Q88" s="4">
        <f t="shared" si="74"/>
        <v>7.5503180291506</v>
      </c>
      <c r="R88" s="4">
        <f t="shared" si="74"/>
        <v>9.7240907795253904</v>
      </c>
      <c r="S88" s="4">
        <f t="shared" si="74"/>
        <v>10.810145433034663</v>
      </c>
      <c r="T88" s="4">
        <f t="shared" si="74"/>
        <v>12.393679774499711</v>
      </c>
      <c r="U88" s="4">
        <f t="shared" si="74"/>
        <v>11.725251541346466</v>
      </c>
      <c r="V88" s="4">
        <f t="shared" si="74"/>
        <v>9.7213039769479792</v>
      </c>
      <c r="W88" s="4">
        <f t="shared" si="74"/>
        <v>11.072289147254624</v>
      </c>
      <c r="X88" s="4">
        <f t="shared" si="74"/>
        <v>14.789621367855782</v>
      </c>
      <c r="Y88" s="89">
        <f t="shared" ref="Y88:Y96" si="75">SUM(M88:X88)</f>
        <v>123.75356191153588</v>
      </c>
      <c r="Z88" s="4">
        <f t="shared" ref="Z88:AK88" si="76">Z46*Z7</f>
        <v>15.907861303527651</v>
      </c>
      <c r="AA88" s="4">
        <f t="shared" si="76"/>
        <v>13.816199531639036</v>
      </c>
      <c r="AB88" s="4">
        <f t="shared" si="76"/>
        <v>12.186779597158731</v>
      </c>
      <c r="AC88" s="4">
        <f t="shared" si="76"/>
        <v>9.5713583418597654</v>
      </c>
      <c r="AD88" s="4">
        <f t="shared" si="76"/>
        <v>10.824042314521986</v>
      </c>
      <c r="AE88" s="4">
        <f t="shared" si="76"/>
        <v>13.871237658312323</v>
      </c>
      <c r="AF88" s="4">
        <f t="shared" si="76"/>
        <v>15.435154250406116</v>
      </c>
      <c r="AG88" s="4">
        <f t="shared" si="76"/>
        <v>15.863411402775041</v>
      </c>
      <c r="AH88" s="4">
        <f t="shared" si="76"/>
        <v>12.335247210587058</v>
      </c>
      <c r="AI88" s="4">
        <f t="shared" si="76"/>
        <v>10.240042170062855</v>
      </c>
      <c r="AJ88" s="4">
        <f t="shared" si="76"/>
        <v>11.678539281851593</v>
      </c>
      <c r="AK88" s="4">
        <f t="shared" si="76"/>
        <v>15.612893633044694</v>
      </c>
      <c r="AL88" s="89">
        <f t="shared" ref="AL88:AL97" si="77">SUM(Z88:AK88)</f>
        <v>157.34276669574686</v>
      </c>
      <c r="AM88" s="4">
        <f t="shared" ref="AM88:AW88" si="78">AM46*AM7</f>
        <v>162.29773730038406</v>
      </c>
      <c r="AN88" s="4">
        <f t="shared" si="78"/>
        <v>168.22179473192958</v>
      </c>
      <c r="AO88" s="4">
        <f t="shared" si="78"/>
        <v>176.10600330583659</v>
      </c>
      <c r="AP88" s="4">
        <f t="shared" si="78"/>
        <v>207.43817543667325</v>
      </c>
      <c r="AQ88" s="4">
        <f t="shared" si="78"/>
        <v>211.52106054395969</v>
      </c>
      <c r="AR88" s="4">
        <f t="shared" si="78"/>
        <v>217.77043331185797</v>
      </c>
      <c r="AS88" s="4">
        <f t="shared" si="78"/>
        <v>223.94805279305925</v>
      </c>
      <c r="AT88" s="4">
        <f t="shared" si="78"/>
        <v>230.97351726834964</v>
      </c>
      <c r="AU88" s="4">
        <f t="shared" si="78"/>
        <v>238.99802462339827</v>
      </c>
      <c r="AV88" s="4">
        <f t="shared" si="78"/>
        <v>244.45006745502982</v>
      </c>
      <c r="AW88" s="4">
        <f t="shared" si="78"/>
        <v>257.00721523937858</v>
      </c>
      <c r="AX88" s="837"/>
      <c r="AY88" s="837"/>
    </row>
    <row r="89" spans="1:51">
      <c r="A89" s="1"/>
      <c r="B89" t="s">
        <v>239</v>
      </c>
      <c r="D89" s="4"/>
      <c r="E89" s="4"/>
      <c r="F89" s="4"/>
      <c r="G89" s="4"/>
      <c r="H89" s="4"/>
      <c r="I89" s="4"/>
      <c r="J89" s="4"/>
      <c r="K89" s="4"/>
      <c r="L89" s="89"/>
      <c r="M89" s="4">
        <f t="shared" ref="M89:X89" si="79">M65*M8</f>
        <v>2.9491045344623998</v>
      </c>
      <c r="N89" s="4">
        <f t="shared" si="79"/>
        <v>2.8759258948416</v>
      </c>
      <c r="O89" s="4">
        <f t="shared" si="79"/>
        <v>2.9830562693472009</v>
      </c>
      <c r="P89" s="4">
        <f t="shared" si="79"/>
        <v>2.9259959114880001</v>
      </c>
      <c r="Q89" s="4">
        <f t="shared" si="79"/>
        <v>2.9497996529471999</v>
      </c>
      <c r="R89" s="4">
        <f t="shared" si="79"/>
        <v>2.9100537792959993</v>
      </c>
      <c r="S89" s="4">
        <f t="shared" si="79"/>
        <v>3.1574355959552007</v>
      </c>
      <c r="T89" s="4">
        <f t="shared" si="79"/>
        <v>3.4027283016417802</v>
      </c>
      <c r="U89" s="4">
        <f t="shared" si="79"/>
        <v>3.6979258747890369</v>
      </c>
      <c r="V89" s="4">
        <f t="shared" si="79"/>
        <v>3.7771480057433222</v>
      </c>
      <c r="W89" s="4">
        <f t="shared" si="79"/>
        <v>3.7259187171703405</v>
      </c>
      <c r="X89" s="4">
        <f t="shared" si="79"/>
        <v>3.781534349624009</v>
      </c>
      <c r="Y89" s="89">
        <f t="shared" si="75"/>
        <v>39.136626887306086</v>
      </c>
      <c r="Z89" s="4">
        <f t="shared" ref="Z89:AK89" si="80">Z65*Z8</f>
        <v>3.8114702879256681</v>
      </c>
      <c r="AA89" s="4">
        <f t="shared" si="80"/>
        <v>3.6756547790123872</v>
      </c>
      <c r="AB89" s="4">
        <f t="shared" si="80"/>
        <v>3.8249522483995104</v>
      </c>
      <c r="AC89" s="4">
        <f t="shared" si="80"/>
        <v>3.745699116577232</v>
      </c>
      <c r="AD89" s="4">
        <f t="shared" si="80"/>
        <v>3.7805142520609638</v>
      </c>
      <c r="AE89" s="4">
        <f t="shared" si="80"/>
        <v>3.7255230420538079</v>
      </c>
      <c r="AF89" s="4">
        <f t="shared" si="80"/>
        <v>4.1084811995910959</v>
      </c>
      <c r="AG89" s="4">
        <f t="shared" si="80"/>
        <v>4.0904342051894558</v>
      </c>
      <c r="AH89" s="4">
        <f t="shared" si="80"/>
        <v>3.8795894504281572</v>
      </c>
      <c r="AI89" s="4">
        <f t="shared" si="80"/>
        <v>3.9636834991335657</v>
      </c>
      <c r="AJ89" s="4">
        <f t="shared" si="80"/>
        <v>3.9078585330424866</v>
      </c>
      <c r="AK89" s="4">
        <f t="shared" si="80"/>
        <v>3.9683289738879148</v>
      </c>
      <c r="AL89" s="89">
        <f t="shared" si="77"/>
        <v>46.482189587302244</v>
      </c>
      <c r="AM89" s="4">
        <f t="shared" ref="AM89:AW89" si="81">AM65*AM8</f>
        <v>51.239923764958526</v>
      </c>
      <c r="AN89" s="4">
        <f t="shared" si="81"/>
        <v>59.162952822158921</v>
      </c>
      <c r="AO89" s="4">
        <f t="shared" si="81"/>
        <v>59.890869717075248</v>
      </c>
      <c r="AP89" s="4">
        <f t="shared" si="81"/>
        <v>60.69398597714008</v>
      </c>
      <c r="AQ89" s="4">
        <f t="shared" si="81"/>
        <v>61.391632002862252</v>
      </c>
      <c r="AR89" s="4">
        <f t="shared" si="81"/>
        <v>62.745925753770464</v>
      </c>
      <c r="AS89" s="4">
        <f t="shared" si="81"/>
        <v>63.966215249173828</v>
      </c>
      <c r="AT89" s="4">
        <f t="shared" si="81"/>
        <v>65.37300431647472</v>
      </c>
      <c r="AU89" s="4">
        <f t="shared" si="81"/>
        <v>67.0602472359638</v>
      </c>
      <c r="AV89" s="4">
        <f t="shared" si="81"/>
        <v>67.830735035753378</v>
      </c>
      <c r="AW89" s="4">
        <f t="shared" si="81"/>
        <v>70.932766911525817</v>
      </c>
      <c r="AX89" s="837"/>
      <c r="AY89" s="837"/>
    </row>
    <row r="90" spans="1:51">
      <c r="A90" s="1"/>
      <c r="B90" t="s">
        <v>240</v>
      </c>
      <c r="D90" s="4"/>
      <c r="E90" s="4"/>
      <c r="F90" s="4"/>
      <c r="G90" s="4"/>
      <c r="H90" s="4"/>
      <c r="I90" s="4"/>
      <c r="J90" s="4"/>
      <c r="K90" s="4"/>
      <c r="L90" s="89"/>
      <c r="M90" s="4">
        <f t="shared" ref="M90:X90" si="82">M79*(M9+M10)</f>
        <v>29.452771195353431</v>
      </c>
      <c r="N90" s="4">
        <f t="shared" si="82"/>
        <v>26.735575257898503</v>
      </c>
      <c r="O90" s="4">
        <f t="shared" si="82"/>
        <v>29.580993201146658</v>
      </c>
      <c r="P90" s="4">
        <f t="shared" si="82"/>
        <v>28.579030172917594</v>
      </c>
      <c r="Q90" s="4">
        <f t="shared" si="82"/>
        <v>29.570284079813376</v>
      </c>
      <c r="R90" s="4">
        <f t="shared" si="82"/>
        <v>28.722976621220031</v>
      </c>
      <c r="S90" s="4">
        <f t="shared" si="82"/>
        <v>29.60719677124257</v>
      </c>
      <c r="T90" s="4">
        <f t="shared" si="82"/>
        <v>24.474824498104024</v>
      </c>
      <c r="U90" s="4">
        <f t="shared" si="82"/>
        <v>14.760998291414833</v>
      </c>
      <c r="V90" s="4">
        <f t="shared" si="82"/>
        <v>15.176212508173109</v>
      </c>
      <c r="W90" s="4">
        <f t="shared" si="82"/>
        <v>14.657111674530711</v>
      </c>
      <c r="X90" s="4">
        <f t="shared" si="82"/>
        <v>15.094542840189515</v>
      </c>
      <c r="Y90" s="89">
        <f t="shared" si="75"/>
        <v>286.41251711200431</v>
      </c>
      <c r="Z90" s="4">
        <f t="shared" ref="Z90:AK90" si="83">Z79*(Z9+Z10)</f>
        <v>15.193713220489135</v>
      </c>
      <c r="AA90" s="4">
        <f t="shared" si="83"/>
        <v>13.801492793049734</v>
      </c>
      <c r="AB90" s="4">
        <f t="shared" si="83"/>
        <v>15.272611021024012</v>
      </c>
      <c r="AC90" s="4">
        <f t="shared" si="83"/>
        <v>14.893690749839347</v>
      </c>
      <c r="AD90" s="4">
        <f t="shared" si="83"/>
        <v>15.388757256643997</v>
      </c>
      <c r="AE90" s="4">
        <f t="shared" si="83"/>
        <v>14.941238599913286</v>
      </c>
      <c r="AF90" s="4">
        <f t="shared" si="83"/>
        <v>15.421886269965343</v>
      </c>
      <c r="AG90" s="4">
        <f t="shared" si="83"/>
        <v>15.554442104730205</v>
      </c>
      <c r="AH90" s="4">
        <f t="shared" si="83"/>
        <v>15.235788990828004</v>
      </c>
      <c r="AI90" s="4">
        <f t="shared" si="83"/>
        <v>15.62206239425676</v>
      </c>
      <c r="AJ90" s="4">
        <f t="shared" si="83"/>
        <v>15.062057248673689</v>
      </c>
      <c r="AK90" s="4">
        <f t="shared" si="83"/>
        <v>15.475896573303121</v>
      </c>
      <c r="AL90" s="89">
        <f t="shared" si="77"/>
        <v>181.86363722271665</v>
      </c>
      <c r="AM90" s="4">
        <f t="shared" ref="AM90:AW90" si="84">AM79*(AM9+AM10)</f>
        <v>192.15356318207222</v>
      </c>
      <c r="AN90" s="4">
        <f t="shared" si="84"/>
        <v>194.50704803062533</v>
      </c>
      <c r="AO90" s="4">
        <f t="shared" si="84"/>
        <v>200.0623748718331</v>
      </c>
      <c r="AP90" s="4">
        <f t="shared" si="84"/>
        <v>203.99136057828812</v>
      </c>
      <c r="AQ90" s="4">
        <f t="shared" si="84"/>
        <v>205.94165413117636</v>
      </c>
      <c r="AR90" s="4">
        <f t="shared" si="84"/>
        <v>210.81840629117858</v>
      </c>
      <c r="AS90" s="4">
        <f t="shared" si="84"/>
        <v>214.88404366960293</v>
      </c>
      <c r="AT90" s="4">
        <f t="shared" si="84"/>
        <v>219.17904321349687</v>
      </c>
      <c r="AU90" s="4">
        <f t="shared" si="84"/>
        <v>224.74915267424529</v>
      </c>
      <c r="AV90" s="4">
        <f t="shared" si="84"/>
        <v>227.97069877719605</v>
      </c>
      <c r="AW90" s="4">
        <f t="shared" si="84"/>
        <v>237.58544966501995</v>
      </c>
      <c r="AX90" s="837"/>
      <c r="AY90" s="837"/>
    </row>
    <row r="91" spans="1:51">
      <c r="A91" s="1"/>
      <c r="B91" t="s">
        <v>241</v>
      </c>
      <c r="D91" s="4"/>
      <c r="E91" s="4"/>
      <c r="F91" s="4"/>
      <c r="G91" s="4"/>
      <c r="H91" s="4"/>
      <c r="I91" s="4"/>
      <c r="J91" s="4"/>
      <c r="K91" s="4"/>
      <c r="L91" s="89"/>
      <c r="M91" s="4">
        <f>-PCM!N151</f>
        <v>3.5832022533844055</v>
      </c>
      <c r="N91" s="4">
        <f>-PCM!O151</f>
        <v>3.3714956045813005</v>
      </c>
      <c r="O91" s="4">
        <f>-PCM!P151</f>
        <v>3.9447198841739168</v>
      </c>
      <c r="P91" s="4">
        <f>-PCM!Q151</f>
        <v>2.4615969789114112</v>
      </c>
      <c r="Q91" s="4">
        <f>-PCM!R151</f>
        <v>1.9742129510805424</v>
      </c>
      <c r="R91" s="4">
        <f>-PCM!S151</f>
        <v>1.9839802552353518</v>
      </c>
      <c r="S91" s="4">
        <f>-PCM!T151</f>
        <v>3.4172134995957673</v>
      </c>
      <c r="T91" s="4">
        <f>-PCM!U151</f>
        <v>6.5409816462873076</v>
      </c>
      <c r="U91" s="4">
        <f>-PCM!V151</f>
        <v>4.6731979653710018</v>
      </c>
      <c r="V91" s="4">
        <f>-PCM!W151</f>
        <v>6.8936346099604453</v>
      </c>
      <c r="W91" s="4">
        <f>-PCM!X151</f>
        <v>5.7948949477747211</v>
      </c>
      <c r="X91" s="4">
        <f>-PCM!Y151</f>
        <v>4.7089354599070559</v>
      </c>
      <c r="Y91" s="89">
        <f t="shared" si="75"/>
        <v>49.348066056263221</v>
      </c>
      <c r="Z91" s="4">
        <f>-PCM!AA151</f>
        <v>5.7566989981360068</v>
      </c>
      <c r="AA91" s="4">
        <f>-PCM!AB151</f>
        <v>5.2967042770114903</v>
      </c>
      <c r="AB91" s="4">
        <f>-PCM!AC151</f>
        <v>3.8270949399697463</v>
      </c>
      <c r="AC91" s="4">
        <f>-PCM!AD151</f>
        <v>3.5831114882960575</v>
      </c>
      <c r="AD91" s="4">
        <f>-PCM!AE151</f>
        <v>3.3177176280984106</v>
      </c>
      <c r="AE91" s="4">
        <f>-PCM!AF151</f>
        <v>4.1394084150745902</v>
      </c>
      <c r="AF91" s="4">
        <f>-PCM!AG151</f>
        <v>4.1009745028856948</v>
      </c>
      <c r="AG91" s="4">
        <f>-PCM!AH151</f>
        <v>4.1266500839949272</v>
      </c>
      <c r="AH91" s="4">
        <f>-PCM!AI151</f>
        <v>4.625795757196026</v>
      </c>
      <c r="AI91" s="4">
        <f>-PCM!AJ151</f>
        <v>6.9088881393163701</v>
      </c>
      <c r="AJ91" s="4">
        <f>-PCM!AK151</f>
        <v>5.7656739052663459</v>
      </c>
      <c r="AK91" s="4">
        <f>-PCM!AL151</f>
        <v>4.5455792902488623</v>
      </c>
      <c r="AL91" s="89">
        <f t="shared" si="77"/>
        <v>55.994297425494523</v>
      </c>
      <c r="AM91" s="4">
        <f t="shared" ref="AM91:AW91" si="85">AM83*AM11</f>
        <v>58.736209835812559</v>
      </c>
      <c r="AN91" s="4">
        <f t="shared" si="85"/>
        <v>57.872900048375776</v>
      </c>
      <c r="AO91" s="4">
        <f t="shared" si="85"/>
        <v>59.135910536332723</v>
      </c>
      <c r="AP91" s="4">
        <f t="shared" si="85"/>
        <v>64.595536280598083</v>
      </c>
      <c r="AQ91" s="4">
        <f t="shared" si="85"/>
        <v>231.54893638856259</v>
      </c>
      <c r="AR91" s="4">
        <f t="shared" si="85"/>
        <v>324.33297923495741</v>
      </c>
      <c r="AS91" s="4">
        <f t="shared" si="85"/>
        <v>348.02709461864919</v>
      </c>
      <c r="AT91" s="4">
        <f t="shared" si="85"/>
        <v>373.92693574530119</v>
      </c>
      <c r="AU91" s="4">
        <f t="shared" si="85"/>
        <v>349.96812270278002</v>
      </c>
      <c r="AV91" s="4">
        <f t="shared" si="85"/>
        <v>361.8305305149529</v>
      </c>
      <c r="AW91" s="4">
        <f t="shared" si="85"/>
        <v>352.51002671368315</v>
      </c>
      <c r="AX91" s="837"/>
      <c r="AY91" s="837"/>
    </row>
    <row r="92" spans="1:51">
      <c r="A92" s="1"/>
      <c r="B92" t="s">
        <v>364</v>
      </c>
      <c r="D92" s="4"/>
      <c r="E92" s="4"/>
      <c r="F92" s="4"/>
      <c r="G92" s="4"/>
      <c r="H92" s="4"/>
      <c r="I92" s="4"/>
      <c r="J92" s="4"/>
      <c r="K92" s="4"/>
      <c r="L92" s="89"/>
      <c r="M92" s="4">
        <f>-'Trial Bal'!S467</f>
        <v>0</v>
      </c>
      <c r="N92" s="4">
        <f>-'Trial Bal'!T467</f>
        <v>0</v>
      </c>
      <c r="O92" s="4">
        <f>-'Trial Bal'!U467</f>
        <v>0</v>
      </c>
      <c r="P92" s="4">
        <f>-'Trial Bal'!V467</f>
        <v>0</v>
      </c>
      <c r="Q92" s="4">
        <f>-'Trial Bal'!W467</f>
        <v>0</v>
      </c>
      <c r="R92" s="4">
        <f>-'Trial Bal'!X467</f>
        <v>0</v>
      </c>
      <c r="S92" s="4">
        <f>-'Trial Bal'!Y467</f>
        <v>0</v>
      </c>
      <c r="T92" s="4">
        <f>-'Trial Bal'!Z467</f>
        <v>0</v>
      </c>
      <c r="U92" s="4">
        <f>-'Trial Bal'!AA467</f>
        <v>0</v>
      </c>
      <c r="V92" s="4">
        <f>-'Trial Bal'!AB467</f>
        <v>0</v>
      </c>
      <c r="W92" s="4">
        <f>-'Trial Bal'!AC467</f>
        <v>0</v>
      </c>
      <c r="X92" s="4">
        <f>-'Trial Bal'!AD467</f>
        <v>0</v>
      </c>
      <c r="Y92" s="89">
        <f t="shared" si="75"/>
        <v>0</v>
      </c>
      <c r="Z92" s="4">
        <f>-'Trial Bal'!AF467</f>
        <v>0</v>
      </c>
      <c r="AA92" s="4">
        <f>-'Trial Bal'!AG467</f>
        <v>0</v>
      </c>
      <c r="AB92" s="4">
        <f>-'Trial Bal'!AH467</f>
        <v>0</v>
      </c>
      <c r="AC92" s="4">
        <f>-'Trial Bal'!AI467</f>
        <v>0</v>
      </c>
      <c r="AD92" s="4">
        <f>-'Trial Bal'!AJ467</f>
        <v>0</v>
      </c>
      <c r="AE92" s="4">
        <f>-'Trial Bal'!AK467</f>
        <v>0</v>
      </c>
      <c r="AF92" s="4">
        <f>-'Trial Bal'!AL467</f>
        <v>0</v>
      </c>
      <c r="AG92" s="4">
        <f>-'Trial Bal'!AM467</f>
        <v>0</v>
      </c>
      <c r="AH92" s="4">
        <f>-'Trial Bal'!AN467</f>
        <v>0</v>
      </c>
      <c r="AI92" s="4">
        <f>-'Trial Bal'!AO467</f>
        <v>0</v>
      </c>
      <c r="AJ92" s="4">
        <f>-'Trial Bal'!AP467</f>
        <v>0</v>
      </c>
      <c r="AK92" s="4">
        <f>-'Trial Bal'!AQ467</f>
        <v>0</v>
      </c>
      <c r="AL92" s="89">
        <f t="shared" si="77"/>
        <v>0</v>
      </c>
      <c r="AM92" s="4">
        <f>-'Trial Bal'!AS467</f>
        <v>0</v>
      </c>
      <c r="AN92" s="4">
        <f>-'Trial Bal'!AT467</f>
        <v>0</v>
      </c>
      <c r="AO92" s="4">
        <f>-'Trial Bal'!AU467</f>
        <v>0</v>
      </c>
      <c r="AP92" s="4">
        <f>-'Trial Bal'!AV467</f>
        <v>0</v>
      </c>
      <c r="AQ92" s="4">
        <f>-'Trial Bal'!AW467</f>
        <v>0</v>
      </c>
      <c r="AR92" s="4">
        <f>-'Trial Bal'!AX467</f>
        <v>0</v>
      </c>
      <c r="AS92" s="4">
        <f>-'Trial Bal'!AY467</f>
        <v>0</v>
      </c>
      <c r="AT92" s="4">
        <f>-'Trial Bal'!AZ467</f>
        <v>0</v>
      </c>
      <c r="AU92" s="4">
        <f>-'Trial Bal'!BA467</f>
        <v>0</v>
      </c>
      <c r="AV92" s="4">
        <f>-'Trial Bal'!BB467</f>
        <v>0</v>
      </c>
      <c r="AW92" s="4">
        <f>-'Trial Bal'!BC467</f>
        <v>0</v>
      </c>
      <c r="AX92" s="837"/>
      <c r="AY92" s="837"/>
    </row>
    <row r="93" spans="1:51">
      <c r="A93" s="1"/>
      <c r="B93" t="s">
        <v>55</v>
      </c>
      <c r="F93" s="78"/>
      <c r="G93" s="78"/>
      <c r="H93" s="78"/>
      <c r="I93" s="78"/>
      <c r="J93" s="78"/>
      <c r="K93" s="78"/>
      <c r="L93" s="89"/>
      <c r="M93" s="4">
        <f>'Stmts RUS'!G87</f>
        <v>0.31216700000000003</v>
      </c>
      <c r="N93" s="4">
        <f>'Stmts RUS'!H87</f>
        <v>0.30766700000000002</v>
      </c>
      <c r="O93" s="4">
        <f>'Stmts RUS'!I87</f>
        <v>0.30766700000000002</v>
      </c>
      <c r="P93" s="4">
        <f>'Stmts RUS'!J87</f>
        <v>0.30766700000000002</v>
      </c>
      <c r="Q93" s="4">
        <f>'Stmts RUS'!K87</f>
        <v>0.30766700000000002</v>
      </c>
      <c r="R93" s="4">
        <f>'Stmts RUS'!L87</f>
        <v>0.30766700000000002</v>
      </c>
      <c r="S93" s="4">
        <f>'Stmts RUS'!M87</f>
        <v>0.30766700000000002</v>
      </c>
      <c r="T93" s="4">
        <f>'Stmts RUS'!N87</f>
        <v>0.30766700000000002</v>
      </c>
      <c r="U93" s="4">
        <f>'Stmts RUS'!O87</f>
        <v>0.30766700000000002</v>
      </c>
      <c r="V93" s="4">
        <f>'Stmts RUS'!P87</f>
        <v>0.30766700000000002</v>
      </c>
      <c r="W93" s="4">
        <f>'Stmts RUS'!Q87</f>
        <v>0.30766700000000002</v>
      </c>
      <c r="X93" s="4">
        <f>'Stmts RUS'!R87</f>
        <v>0.30766300000000002</v>
      </c>
      <c r="Y93" s="89">
        <f t="shared" si="75"/>
        <v>3.6964999999999995</v>
      </c>
      <c r="Z93" s="4">
        <f>'Stmts RUS'!T87</f>
        <v>0.31216700000000003</v>
      </c>
      <c r="AA93" s="4">
        <f>'Stmts RUS'!U87</f>
        <v>0.30766700000000002</v>
      </c>
      <c r="AB93" s="4">
        <f>'Stmts RUS'!V87</f>
        <v>0.30766700000000002</v>
      </c>
      <c r="AC93" s="4">
        <f>'Stmts RUS'!W87</f>
        <v>0.30766700000000002</v>
      </c>
      <c r="AD93" s="4">
        <f>'Stmts RUS'!X87</f>
        <v>0.30766700000000002</v>
      </c>
      <c r="AE93" s="4">
        <f>'Stmts RUS'!Y87</f>
        <v>0.30766700000000002</v>
      </c>
      <c r="AF93" s="4">
        <f>'Stmts RUS'!Z87</f>
        <v>0.30766700000000002</v>
      </c>
      <c r="AG93" s="4">
        <f>'Stmts RUS'!AA87</f>
        <v>0.30766700000000002</v>
      </c>
      <c r="AH93" s="4">
        <f>'Stmts RUS'!AB87</f>
        <v>0.30766700000000002</v>
      </c>
      <c r="AI93" s="4">
        <f>'Stmts RUS'!AC87</f>
        <v>0.30766700000000002</v>
      </c>
      <c r="AJ93" s="4">
        <f>'Stmts RUS'!AD87</f>
        <v>0.30766700000000002</v>
      </c>
      <c r="AK93" s="4">
        <f>'Stmts RUS'!AE87</f>
        <v>0.30766300000000002</v>
      </c>
      <c r="AL93" s="89">
        <f t="shared" si="77"/>
        <v>3.6964999999999995</v>
      </c>
      <c r="AM93" s="4">
        <f>'Stmts RUS'!AG87</f>
        <v>3.6964999999999999</v>
      </c>
      <c r="AN93" s="4">
        <f>'Stmts RUS'!AH87</f>
        <v>3.6964999999999999</v>
      </c>
      <c r="AO93" s="4">
        <f>'Stmts RUS'!AI87</f>
        <v>3.6971750000000001</v>
      </c>
      <c r="AP93" s="4">
        <f>'Stmts RUS'!AJ87</f>
        <v>3.6978702499999998</v>
      </c>
      <c r="AQ93" s="4">
        <f>'Stmts RUS'!AK87</f>
        <v>3.6985863575</v>
      </c>
      <c r="AR93" s="4">
        <f>'Stmts RUS'!AL87</f>
        <v>3.699323948225</v>
      </c>
      <c r="AS93" s="4">
        <f>'Stmts RUS'!AM87</f>
        <v>3.70008366667175</v>
      </c>
      <c r="AT93" s="4">
        <f>'Stmts RUS'!AN87</f>
        <v>3.7008661766719024</v>
      </c>
      <c r="AU93" s="4">
        <f>'Stmts RUS'!AO87</f>
        <v>3.7016721619720596</v>
      </c>
      <c r="AV93" s="4">
        <f>'Stmts RUS'!AP87</f>
        <v>3.7025023268312212</v>
      </c>
      <c r="AW93" s="4">
        <f>'Stmts RUS'!AQ87</f>
        <v>3.7033573966361577</v>
      </c>
      <c r="AX93" s="837"/>
      <c r="AY93" s="837"/>
    </row>
    <row r="94" spans="1:51">
      <c r="A94" s="1"/>
      <c r="B94" t="s">
        <v>129</v>
      </c>
      <c r="D94" s="232"/>
      <c r="E94" s="232"/>
      <c r="F94" s="232"/>
      <c r="G94" s="232"/>
      <c r="H94" s="232"/>
      <c r="I94" s="232"/>
      <c r="J94" s="232"/>
      <c r="K94" s="232"/>
      <c r="L94" s="206"/>
      <c r="M94" s="23">
        <f>'Stmts RUS'!G120</f>
        <v>0.17073353166899355</v>
      </c>
      <c r="N94" s="23">
        <f>'Stmts RUS'!H120</f>
        <v>0.17009169511140093</v>
      </c>
      <c r="O94" s="23">
        <f>'Stmts RUS'!I120</f>
        <v>0.16977814021572091</v>
      </c>
      <c r="P94" s="23">
        <f>'Stmts RUS'!J120</f>
        <v>0.16947336528656909</v>
      </c>
      <c r="Q94" s="23">
        <f>'Stmts RUS'!K120</f>
        <v>0.16879698315529648</v>
      </c>
      <c r="R94" s="23">
        <f>'Stmts RUS'!L120</f>
        <v>0.16792666529029654</v>
      </c>
      <c r="S94" s="23">
        <f>'Stmts RUS'!M120</f>
        <v>0.16806924121043876</v>
      </c>
      <c r="T94" s="23">
        <f>'Stmts RUS'!N120</f>
        <v>0.16779094943149278</v>
      </c>
      <c r="U94" s="23">
        <f>'Stmts RUS'!O120</f>
        <v>0.16794803245991258</v>
      </c>
      <c r="V94" s="23">
        <f>'Stmts RUS'!P120</f>
        <v>0.16753659061636295</v>
      </c>
      <c r="W94" s="23">
        <f>'Stmts RUS'!Q120</f>
        <v>0.16636562886447287</v>
      </c>
      <c r="X94" s="23">
        <f>'Stmts RUS'!R120</f>
        <v>0.16445705037247971</v>
      </c>
      <c r="Y94" s="89">
        <f t="shared" si="75"/>
        <v>2.0189678736834371</v>
      </c>
      <c r="Z94" s="23">
        <f>'Stmts RUS'!T120</f>
        <v>0.16584148914560665</v>
      </c>
      <c r="AA94" s="23">
        <f>'Stmts RUS'!U120</f>
        <v>0.16511526944357627</v>
      </c>
      <c r="AB94" s="23">
        <f>'Stmts RUS'!V120</f>
        <v>0.16595804788047308</v>
      </c>
      <c r="AC94" s="23">
        <f>'Stmts RUS'!W120</f>
        <v>0.16448790320242462</v>
      </c>
      <c r="AD94" s="23">
        <f>'Stmts RUS'!X120</f>
        <v>0.16310366962968792</v>
      </c>
      <c r="AE94" s="23">
        <f>'Stmts RUS'!Y120</f>
        <v>0.16092508332300048</v>
      </c>
      <c r="AF94" s="23">
        <f>'Stmts RUS'!Z120</f>
        <v>0.16155922303300657</v>
      </c>
      <c r="AG94" s="23">
        <f>'Stmts RUS'!AA120</f>
        <v>0.16152578419709135</v>
      </c>
      <c r="AH94" s="23">
        <f>'Stmts RUS'!AB120</f>
        <v>0.1603252534848548</v>
      </c>
      <c r="AI94" s="23">
        <f>'Stmts RUS'!AC120</f>
        <v>0.16089467170513985</v>
      </c>
      <c r="AJ94" s="23">
        <f>'Stmts RUS'!AD120</f>
        <v>0.1606482265119179</v>
      </c>
      <c r="AK94" s="23">
        <f>'Stmts RUS'!AE120</f>
        <v>0.15938429104598745</v>
      </c>
      <c r="AL94" s="89">
        <f t="shared" si="77"/>
        <v>1.9497689126027669</v>
      </c>
      <c r="AM94" s="4">
        <f>'Stmts RUS'!AG120</f>
        <v>1.8777426026243624</v>
      </c>
      <c r="AN94" s="4">
        <f>'Stmts RUS'!AH120</f>
        <v>1.8170941780643934</v>
      </c>
      <c r="AO94" s="4">
        <f>'Stmts RUS'!AI120</f>
        <v>1.7597520542275795</v>
      </c>
      <c r="AP94" s="4">
        <f>'Stmts RUS'!AJ120</f>
        <v>1.6931378141532183</v>
      </c>
      <c r="AQ94" s="4">
        <f>'Stmts RUS'!AK120</f>
        <v>1.6224381246517554</v>
      </c>
      <c r="AR94" s="4">
        <f>'Stmts RUS'!AL120</f>
        <v>1.5332517745948551</v>
      </c>
      <c r="AS94" s="4">
        <f>'Stmts RUS'!AM120</f>
        <v>1.4275314885653088</v>
      </c>
      <c r="AT94" s="4">
        <f>'Stmts RUS'!AN120</f>
        <v>1.3116743086316032</v>
      </c>
      <c r="AU94" s="4">
        <f>'Stmts RUS'!AO120</f>
        <v>1.2108962867926953</v>
      </c>
      <c r="AV94" s="4">
        <f>'Stmts RUS'!AP120</f>
        <v>1.2855074427264881</v>
      </c>
      <c r="AW94" s="4">
        <f>'Stmts RUS'!AQ120</f>
        <v>1.1480391437867417</v>
      </c>
      <c r="AX94" s="837"/>
      <c r="AY94" s="837"/>
    </row>
    <row r="95" spans="1:51" s="165" customFormat="1">
      <c r="A95" s="168"/>
      <c r="B95" s="165" t="s">
        <v>146</v>
      </c>
      <c r="D95" s="319"/>
      <c r="E95" s="319"/>
      <c r="F95" s="319"/>
      <c r="G95" s="319"/>
      <c r="H95" s="319"/>
      <c r="I95" s="319"/>
      <c r="J95" s="319"/>
      <c r="K95" s="319"/>
      <c r="L95" s="170"/>
      <c r="M95" s="191">
        <f>-(M145+M148)</f>
        <v>2.4699945129857181</v>
      </c>
      <c r="N95" s="191">
        <f t="shared" ref="N95:X95" si="86">-(N145+N148)</f>
        <v>2.0949932083090541</v>
      </c>
      <c r="O95" s="191">
        <f t="shared" si="86"/>
        <v>1.8596657159334395</v>
      </c>
      <c r="P95" s="191">
        <f t="shared" si="86"/>
        <v>1.3610819513848305</v>
      </c>
      <c r="Q95" s="191">
        <f t="shared" si="86"/>
        <v>1.5818625277299339</v>
      </c>
      <c r="R95" s="191">
        <f t="shared" si="86"/>
        <v>2.2110620220058941</v>
      </c>
      <c r="S95" s="191">
        <f t="shared" si="86"/>
        <v>2.3647545740138276</v>
      </c>
      <c r="T95" s="191">
        <f t="shared" si="86"/>
        <v>2.5465591956331171</v>
      </c>
      <c r="U95" s="191">
        <f t="shared" si="86"/>
        <v>2.5658031676906958</v>
      </c>
      <c r="V95" s="191">
        <f t="shared" si="86"/>
        <v>2.1819560403726403</v>
      </c>
      <c r="W95" s="191">
        <f t="shared" si="86"/>
        <v>2.4091938715863592</v>
      </c>
      <c r="X95" s="191">
        <f t="shared" si="86"/>
        <v>3.1161688562500967</v>
      </c>
      <c r="Y95" s="89">
        <f t="shared" si="75"/>
        <v>26.76309564389561</v>
      </c>
      <c r="Z95" s="191">
        <f>-(Z145+Z148)</f>
        <v>3.3714407925663492</v>
      </c>
      <c r="AA95" s="191">
        <f t="shared" ref="AA95:AK95" si="87">-(AA145+AA148)</f>
        <v>2.9405788179600707</v>
      </c>
      <c r="AB95" s="191">
        <f t="shared" si="87"/>
        <v>2.711067198951377</v>
      </c>
      <c r="AC95" s="191">
        <f t="shared" si="87"/>
        <v>2.2961607223027198</v>
      </c>
      <c r="AD95" s="191">
        <f t="shared" si="87"/>
        <v>2.5387070538267951</v>
      </c>
      <c r="AE95" s="191">
        <f t="shared" si="87"/>
        <v>3.230415731739968</v>
      </c>
      <c r="AF95" s="191">
        <f t="shared" si="87"/>
        <v>2.9324366828028516</v>
      </c>
      <c r="AG95" s="191">
        <f t="shared" si="87"/>
        <v>3.0836775499325859</v>
      </c>
      <c r="AH95" s="191">
        <f t="shared" si="87"/>
        <v>2.6044289762755088</v>
      </c>
      <c r="AI95" s="191">
        <f t="shared" si="87"/>
        <v>2.1683456050416248</v>
      </c>
      <c r="AJ95" s="191">
        <f t="shared" si="87"/>
        <v>2.3680188189964824</v>
      </c>
      <c r="AK95" s="191">
        <f t="shared" si="87"/>
        <v>3.012908818777456</v>
      </c>
      <c r="AL95" s="89">
        <f t="shared" si="77"/>
        <v>33.25818676917379</v>
      </c>
      <c r="AM95" s="191">
        <f t="shared" ref="AM95:AW95" si="88">-(AM145+AM148)</f>
        <v>21.420266766757855</v>
      </c>
      <c r="AN95" s="191">
        <f t="shared" si="88"/>
        <v>0</v>
      </c>
      <c r="AO95" s="191">
        <f t="shared" si="88"/>
        <v>0</v>
      </c>
      <c r="AP95" s="191">
        <f t="shared" si="88"/>
        <v>0</v>
      </c>
      <c r="AQ95" s="191">
        <f t="shared" si="88"/>
        <v>0</v>
      </c>
      <c r="AR95" s="191">
        <f t="shared" si="88"/>
        <v>0</v>
      </c>
      <c r="AS95" s="191">
        <f t="shared" si="88"/>
        <v>0</v>
      </c>
      <c r="AT95" s="191">
        <f t="shared" si="88"/>
        <v>0</v>
      </c>
      <c r="AU95" s="191">
        <f t="shared" si="88"/>
        <v>0</v>
      </c>
      <c r="AV95" s="191">
        <f t="shared" si="88"/>
        <v>0</v>
      </c>
      <c r="AW95" s="191">
        <f t="shared" si="88"/>
        <v>0</v>
      </c>
      <c r="AX95" s="934"/>
      <c r="AY95" s="934"/>
    </row>
    <row r="96" spans="1:51" s="165" customFormat="1">
      <c r="A96" s="168"/>
      <c r="B96" s="165" t="s">
        <v>639</v>
      </c>
      <c r="D96" s="319"/>
      <c r="E96" s="319"/>
      <c r="F96" s="319"/>
      <c r="G96" s="319"/>
      <c r="H96" s="319"/>
      <c r="I96" s="319"/>
      <c r="J96" s="319"/>
      <c r="K96" s="319"/>
      <c r="L96" s="170"/>
      <c r="M96" s="191">
        <f>-M155</f>
        <v>0</v>
      </c>
      <c r="N96" s="191">
        <f t="shared" ref="N96:AW96" si="89">-N155</f>
        <v>0</v>
      </c>
      <c r="O96" s="191">
        <f t="shared" si="89"/>
        <v>0</v>
      </c>
      <c r="P96" s="191">
        <f t="shared" si="89"/>
        <v>0</v>
      </c>
      <c r="Q96" s="191">
        <f t="shared" si="89"/>
        <v>0</v>
      </c>
      <c r="R96" s="191">
        <f t="shared" si="89"/>
        <v>0</v>
      </c>
      <c r="S96" s="191">
        <f t="shared" si="89"/>
        <v>0</v>
      </c>
      <c r="T96" s="191">
        <f t="shared" si="89"/>
        <v>0</v>
      </c>
      <c r="U96" s="191">
        <f t="shared" si="89"/>
        <v>0</v>
      </c>
      <c r="V96" s="191">
        <f t="shared" si="89"/>
        <v>0</v>
      </c>
      <c r="W96" s="191">
        <f t="shared" si="89"/>
        <v>0</v>
      </c>
      <c r="X96" s="191">
        <f t="shared" si="89"/>
        <v>0</v>
      </c>
      <c r="Y96" s="89">
        <f t="shared" si="75"/>
        <v>0</v>
      </c>
      <c r="Z96" s="191">
        <f t="shared" si="89"/>
        <v>0</v>
      </c>
      <c r="AA96" s="191">
        <f t="shared" si="89"/>
        <v>0</v>
      </c>
      <c r="AB96" s="191">
        <f t="shared" si="89"/>
        <v>0</v>
      </c>
      <c r="AC96" s="191">
        <f t="shared" si="89"/>
        <v>0</v>
      </c>
      <c r="AD96" s="191">
        <f t="shared" si="89"/>
        <v>0</v>
      </c>
      <c r="AE96" s="191">
        <f t="shared" si="89"/>
        <v>0</v>
      </c>
      <c r="AF96" s="191">
        <f t="shared" si="89"/>
        <v>0</v>
      </c>
      <c r="AG96" s="191">
        <f t="shared" si="89"/>
        <v>0</v>
      </c>
      <c r="AH96" s="191">
        <f t="shared" si="89"/>
        <v>0</v>
      </c>
      <c r="AI96" s="191">
        <f t="shared" si="89"/>
        <v>0</v>
      </c>
      <c r="AJ96" s="191">
        <f t="shared" si="89"/>
        <v>0</v>
      </c>
      <c r="AK96" s="191">
        <f t="shared" si="89"/>
        <v>0</v>
      </c>
      <c r="AL96" s="89">
        <f t="shared" si="77"/>
        <v>0</v>
      </c>
      <c r="AM96" s="191">
        <f t="shared" si="89"/>
        <v>12.080282999257401</v>
      </c>
      <c r="AN96" s="191">
        <f t="shared" si="89"/>
        <v>30.046419186305851</v>
      </c>
      <c r="AO96" s="191">
        <f t="shared" si="89"/>
        <v>27.005266833066308</v>
      </c>
      <c r="AP96" s="191">
        <f t="shared" si="89"/>
        <v>0</v>
      </c>
      <c r="AQ96" s="191">
        <f t="shared" si="89"/>
        <v>0</v>
      </c>
      <c r="AR96" s="191">
        <f t="shared" si="89"/>
        <v>0</v>
      </c>
      <c r="AS96" s="191">
        <f t="shared" si="89"/>
        <v>0</v>
      </c>
      <c r="AT96" s="191">
        <f t="shared" si="89"/>
        <v>0</v>
      </c>
      <c r="AU96" s="191">
        <f t="shared" si="89"/>
        <v>0</v>
      </c>
      <c r="AV96" s="191">
        <f t="shared" si="89"/>
        <v>0</v>
      </c>
      <c r="AW96" s="191">
        <f t="shared" si="89"/>
        <v>0</v>
      </c>
      <c r="AX96" s="934"/>
      <c r="AY96" s="934"/>
    </row>
    <row r="97" spans="1:51">
      <c r="A97" s="1"/>
      <c r="B97" t="s">
        <v>170</v>
      </c>
      <c r="D97" s="16"/>
      <c r="E97" s="16"/>
      <c r="F97" s="16"/>
      <c r="G97" s="16"/>
      <c r="H97" s="16"/>
      <c r="I97" s="16"/>
      <c r="J97" s="16"/>
      <c r="K97" s="16"/>
      <c r="L97" s="170"/>
      <c r="M97" s="4">
        <f>SUM(M88:M96)</f>
        <v>50.092304673902348</v>
      </c>
      <c r="N97" s="4">
        <f t="shared" ref="N97:Z97" si="90">SUM(N88:N96)</f>
        <v>45.163240983809892</v>
      </c>
      <c r="O97" s="4">
        <f t="shared" si="90"/>
        <v>47.359722583906176</v>
      </c>
      <c r="P97" s="4">
        <f t="shared" si="90"/>
        <v>42.49604089970439</v>
      </c>
      <c r="Q97" s="4">
        <f t="shared" si="90"/>
        <v>44.102941223876954</v>
      </c>
      <c r="R97" s="4">
        <f t="shared" si="90"/>
        <v>46.027757122572964</v>
      </c>
      <c r="S97" s="4">
        <f t="shared" si="90"/>
        <v>49.832482115052471</v>
      </c>
      <c r="T97" s="4">
        <f t="shared" si="90"/>
        <v>49.834231365597432</v>
      </c>
      <c r="U97" s="4">
        <f t="shared" si="90"/>
        <v>37.89879187307195</v>
      </c>
      <c r="V97" s="4">
        <f t="shared" si="90"/>
        <v>38.225458731813859</v>
      </c>
      <c r="W97" s="4">
        <f t="shared" si="90"/>
        <v>38.133440987181238</v>
      </c>
      <c r="X97" s="4">
        <f t="shared" si="90"/>
        <v>41.962922924198928</v>
      </c>
      <c r="Y97" s="179">
        <f>SUM(M97:X97)</f>
        <v>531.12933548468857</v>
      </c>
      <c r="Z97" s="4">
        <f t="shared" si="90"/>
        <v>44.51919309179042</v>
      </c>
      <c r="AA97" s="4">
        <f t="shared" ref="AA97:AK97" si="91">SUM(AA88:AA96)</f>
        <v>40.003412468116302</v>
      </c>
      <c r="AB97" s="4">
        <f t="shared" si="91"/>
        <v>38.296130053383848</v>
      </c>
      <c r="AC97" s="4">
        <f t="shared" si="91"/>
        <v>34.56217532207755</v>
      </c>
      <c r="AD97" s="4">
        <f t="shared" si="91"/>
        <v>36.320509174781847</v>
      </c>
      <c r="AE97" s="4">
        <f t="shared" si="91"/>
        <v>40.376415530416978</v>
      </c>
      <c r="AF97" s="4">
        <f t="shared" si="91"/>
        <v>42.468159128684107</v>
      </c>
      <c r="AG97" s="4">
        <f t="shared" si="91"/>
        <v>43.187808130819306</v>
      </c>
      <c r="AH97" s="4">
        <f t="shared" si="91"/>
        <v>39.148842638799607</v>
      </c>
      <c r="AI97" s="4">
        <f t="shared" si="91"/>
        <v>39.37158347951631</v>
      </c>
      <c r="AJ97" s="4">
        <f t="shared" si="91"/>
        <v>39.250463014342515</v>
      </c>
      <c r="AK97" s="4">
        <f t="shared" si="91"/>
        <v>43.082654580308031</v>
      </c>
      <c r="AL97" s="179">
        <f t="shared" si="77"/>
        <v>480.5873466130368</v>
      </c>
      <c r="AM97" s="4">
        <f>SUM(AM88:AM96)</f>
        <v>503.50222645186699</v>
      </c>
      <c r="AN97" s="4">
        <f t="shared" ref="AN97:AW97" si="92">SUM(AN88:AN96)</f>
        <v>515.32470899745977</v>
      </c>
      <c r="AO97" s="4">
        <f t="shared" si="92"/>
        <v>527.65735231837164</v>
      </c>
      <c r="AP97" s="4">
        <f t="shared" si="92"/>
        <v>542.11006633685292</v>
      </c>
      <c r="AQ97" s="4">
        <f t="shared" si="92"/>
        <v>715.72430754871277</v>
      </c>
      <c r="AR97" s="4">
        <f t="shared" si="92"/>
        <v>820.90032031458429</v>
      </c>
      <c r="AS97" s="4">
        <f t="shared" si="92"/>
        <v>855.95302148572227</v>
      </c>
      <c r="AT97" s="4">
        <f t="shared" si="92"/>
        <v>894.46504102892595</v>
      </c>
      <c r="AU97" s="4">
        <f t="shared" si="92"/>
        <v>885.68811568515218</v>
      </c>
      <c r="AV97" s="4">
        <f t="shared" si="92"/>
        <v>907.0700415524899</v>
      </c>
      <c r="AW97" s="4">
        <f t="shared" si="92"/>
        <v>922.88685507003038</v>
      </c>
      <c r="AX97" s="837"/>
      <c r="AY97" s="837"/>
    </row>
    <row r="98" spans="1:51">
      <c r="A98" s="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89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89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837"/>
      <c r="AY98" s="837"/>
    </row>
    <row r="99" spans="1:51">
      <c r="A99" s="1"/>
      <c r="B99" t="s">
        <v>528</v>
      </c>
      <c r="D99" s="16"/>
      <c r="E99" s="16"/>
      <c r="F99" s="16"/>
      <c r="G99" s="16"/>
      <c r="H99" s="16"/>
      <c r="I99" s="16"/>
      <c r="J99" s="16"/>
      <c r="K99" s="16"/>
      <c r="L99" s="252"/>
      <c r="M99" s="4">
        <f>'Stmts RUS'!G116</f>
        <v>48.035740544490679</v>
      </c>
      <c r="N99" s="4">
        <f>'Stmts RUS'!H116</f>
        <v>45.049735253451914</v>
      </c>
      <c r="O99" s="4">
        <f>'Stmts RUS'!I116</f>
        <v>49.99029367457161</v>
      </c>
      <c r="P99" s="4">
        <f>'Stmts RUS'!J116</f>
        <v>47.711001211814953</v>
      </c>
      <c r="Q99" s="4">
        <f>'Stmts RUS'!K116</f>
        <v>51.810087374057119</v>
      </c>
      <c r="R99" s="4">
        <f>'Stmts RUS'!L116</f>
        <v>46.952660319551768</v>
      </c>
      <c r="S99" s="4">
        <f>'Stmts RUS'!M116</f>
        <v>48.912198040771898</v>
      </c>
      <c r="T99" s="4">
        <f>'Stmts RUS'!N116</f>
        <v>47.749129733751971</v>
      </c>
      <c r="U99" s="4">
        <f>'Stmts RUS'!O116</f>
        <v>38.808994132243491</v>
      </c>
      <c r="V99" s="4">
        <f>'Stmts RUS'!P116</f>
        <v>41.514029296113257</v>
      </c>
      <c r="W99" s="4">
        <f>'Stmts RUS'!Q116</f>
        <v>38.514456708005788</v>
      </c>
      <c r="X99" s="4">
        <f>'Stmts RUS'!R116</f>
        <v>38.789224549692896</v>
      </c>
      <c r="Y99" s="179">
        <f>SUM(M99:X99)</f>
        <v>543.83755083851736</v>
      </c>
      <c r="Z99" s="4">
        <f>'Stmts RUS'!T116</f>
        <v>40.153032164051702</v>
      </c>
      <c r="AA99" s="4">
        <f>'Stmts RUS'!U116</f>
        <v>37.167984378344052</v>
      </c>
      <c r="AB99" s="4">
        <f>'Stmts RUS'!V116</f>
        <v>41.147053544219958</v>
      </c>
      <c r="AC99" s="4">
        <f>'Stmts RUS'!W116</f>
        <v>41.975299259550695</v>
      </c>
      <c r="AD99" s="4">
        <f>'Stmts RUS'!X116</f>
        <v>41.328599894001051</v>
      </c>
      <c r="AE99" s="4">
        <f>'Stmts RUS'!Y116</f>
        <v>39.230245885718489</v>
      </c>
      <c r="AF99" s="4">
        <f>'Stmts RUS'!Z116</f>
        <v>39.531693694327338</v>
      </c>
      <c r="AG99" s="4">
        <f>'Stmts RUS'!AA116</f>
        <v>40.369617912147959</v>
      </c>
      <c r="AH99" s="4">
        <f>'Stmts RUS'!AB116</f>
        <v>39.326364286316284</v>
      </c>
      <c r="AI99" s="4">
        <f>'Stmts RUS'!AC116</f>
        <v>41.937268523571639</v>
      </c>
      <c r="AJ99" s="4">
        <f>'Stmts RUS'!AD116</f>
        <v>38.922970004592386</v>
      </c>
      <c r="AK99" s="4">
        <f>'Stmts RUS'!AE116</f>
        <v>40.057816119216618</v>
      </c>
      <c r="AL99" s="179">
        <f>SUM(Z99:AK99)</f>
        <v>481.14794566605815</v>
      </c>
      <c r="AM99" s="4">
        <f>'Stmts RUS'!AG116</f>
        <v>502.18977355841832</v>
      </c>
      <c r="AN99" s="4">
        <f>'Stmts RUS'!AH116</f>
        <v>520.61162991848846</v>
      </c>
      <c r="AO99" s="4">
        <f>'Stmts RUS'!AI116</f>
        <v>534.76913285659668</v>
      </c>
      <c r="AP99" s="4">
        <f>'Stmts RUS'!AJ116</f>
        <v>550.40865368285404</v>
      </c>
      <c r="AQ99" s="4">
        <f>'Stmts RUS'!AK116</f>
        <v>704.94887989577421</v>
      </c>
      <c r="AR99" s="4">
        <f>'Stmts RUS'!AL116</f>
        <v>754.99250676062172</v>
      </c>
      <c r="AS99" s="4">
        <f>'Stmts RUS'!AM116</f>
        <v>764.75665746002619</v>
      </c>
      <c r="AT99" s="4">
        <f>'Stmts RUS'!AN116</f>
        <v>799.77069847713642</v>
      </c>
      <c r="AU99" s="4">
        <f>'Stmts RUS'!AO116</f>
        <v>811.22723792845022</v>
      </c>
      <c r="AV99" s="4">
        <f>'Stmts RUS'!AP116</f>
        <v>847.53833424367713</v>
      </c>
      <c r="AW99" s="4">
        <f>'Stmts RUS'!AQ116</f>
        <v>876.79280527173239</v>
      </c>
      <c r="AX99" s="837"/>
      <c r="AY99" s="837"/>
    </row>
    <row r="100" spans="1:51">
      <c r="A100" s="1"/>
      <c r="B100" s="108" t="s">
        <v>533</v>
      </c>
      <c r="D100" s="65"/>
      <c r="E100" s="65"/>
      <c r="F100" s="65"/>
      <c r="G100" s="65"/>
      <c r="H100" s="65"/>
      <c r="I100" s="65"/>
      <c r="J100" s="65"/>
      <c r="K100" s="65"/>
      <c r="L100" s="251"/>
      <c r="M100" s="8">
        <f>SUM('Stmts RUS'!G121:G126)</f>
        <v>0</v>
      </c>
      <c r="N100" s="8">
        <f>SUM('Stmts RUS'!H121:H126)</f>
        <v>0</v>
      </c>
      <c r="O100" s="8">
        <f>SUM('Stmts RUS'!I121:I126)</f>
        <v>1.23832464783125</v>
      </c>
      <c r="P100" s="8">
        <f>SUM('Stmts RUS'!J121:J126)</f>
        <v>2.5000000000000001E-2</v>
      </c>
      <c r="Q100" s="8">
        <f>SUM('Stmts RUS'!K121:K126)</f>
        <v>0</v>
      </c>
      <c r="R100" s="8">
        <f>SUM('Stmts RUS'!L121:L126)</f>
        <v>0</v>
      </c>
      <c r="S100" s="8">
        <f>SUM('Stmts RUS'!M121:M126)</f>
        <v>0</v>
      </c>
      <c r="T100" s="8">
        <f>SUM('Stmts RUS'!N121:N126)</f>
        <v>8.0000000000000002E-3</v>
      </c>
      <c r="U100" s="8">
        <f>SUM('Stmts RUS'!O121:O126)</f>
        <v>0</v>
      </c>
      <c r="V100" s="8">
        <f>SUM('Stmts RUS'!P121:P126)</f>
        <v>0</v>
      </c>
      <c r="W100" s="8">
        <f>SUM('Stmts RUS'!Q121:Q126)</f>
        <v>0</v>
      </c>
      <c r="X100" s="8">
        <f>SUM('Stmts RUS'!R121:R126)</f>
        <v>0</v>
      </c>
      <c r="Y100" s="312">
        <f>SUM(M100:X100)</f>
        <v>1.2713246478312499</v>
      </c>
      <c r="Z100" s="8">
        <f>SUM('Stmts RUS'!T121:T126)</f>
        <v>0</v>
      </c>
      <c r="AA100" s="8">
        <f>SUM('Stmts RUS'!U121:U126)</f>
        <v>0</v>
      </c>
      <c r="AB100" s="8">
        <f>SUM('Stmts RUS'!V121:V126)</f>
        <v>2.7064475505600001</v>
      </c>
      <c r="AC100" s="8">
        <f>SUM('Stmts RUS'!W121:W126)</f>
        <v>0</v>
      </c>
      <c r="AD100" s="8">
        <f>SUM('Stmts RUS'!X121:X126)</f>
        <v>0</v>
      </c>
      <c r="AE100" s="8">
        <f>SUM('Stmts RUS'!Y121:Y126)</f>
        <v>0</v>
      </c>
      <c r="AF100" s="8">
        <f>SUM('Stmts RUS'!Z121:Z126)</f>
        <v>0</v>
      </c>
      <c r="AG100" s="8">
        <f>SUM('Stmts RUS'!AA121:AA126)</f>
        <v>0</v>
      </c>
      <c r="AH100" s="8">
        <f>SUM('Stmts RUS'!AB121:AB126)</f>
        <v>0</v>
      </c>
      <c r="AI100" s="8">
        <f>SUM('Stmts RUS'!AC121:AC126)</f>
        <v>0</v>
      </c>
      <c r="AJ100" s="8">
        <f>SUM('Stmts RUS'!AD121:AD126)</f>
        <v>0</v>
      </c>
      <c r="AK100" s="8">
        <f>SUM('Stmts RUS'!AE121:AE126)</f>
        <v>0</v>
      </c>
      <c r="AL100" s="312">
        <f>SUM(Z100:AK100)</f>
        <v>2.7064475505600001</v>
      </c>
      <c r="AM100" s="8">
        <f>SUM('Stmts RUS'!AG121:AG126)</f>
        <v>2.6243469322674997</v>
      </c>
      <c r="AN100" s="8">
        <f>SUM('Stmts RUS'!AH121:AH126)</f>
        <v>2.538535059075</v>
      </c>
      <c r="AO100" s="8">
        <f>SUM('Stmts RUS'!AI121:AI126)</f>
        <v>2.4486009990137503</v>
      </c>
      <c r="AP100" s="8">
        <f>SUM('Stmts RUS'!AJ121:AJ126)</f>
        <v>2.3536433920412501</v>
      </c>
      <c r="AQ100" s="8">
        <f>SUM('Stmts RUS'!AK121:AK126)</f>
        <v>2.2531521443862501</v>
      </c>
      <c r="AR100" s="8">
        <f>SUM('Stmts RUS'!AL121:AL126)</f>
        <v>2.1462980837550001</v>
      </c>
      <c r="AS100" s="8">
        <f>SUM('Stmts RUS'!AM121:AM126)</f>
        <v>2.0327081350387504</v>
      </c>
      <c r="AT100" s="8">
        <f>SUM('Stmts RUS'!AN121:AN126)</f>
        <v>1.9124854773837496</v>
      </c>
      <c r="AU100" s="8">
        <f>SUM('Stmts RUS'!AO121:AO126)</f>
        <v>1.7849191323025004</v>
      </c>
      <c r="AV100" s="8">
        <f>SUM('Stmts RUS'!AP121:AP126)</f>
        <v>1.6498390890600008</v>
      </c>
      <c r="AW100" s="8">
        <f>SUM('Stmts RUS'!AQ121:AQ126)</f>
        <v>1.5076748853300002</v>
      </c>
      <c r="AX100" s="837"/>
      <c r="AY100" s="837"/>
    </row>
    <row r="101" spans="1:51">
      <c r="A101" s="1"/>
      <c r="B101" t="s">
        <v>171</v>
      </c>
      <c r="D101" s="16"/>
      <c r="E101" s="16"/>
      <c r="F101" s="16"/>
      <c r="G101" s="16"/>
      <c r="H101" s="16"/>
      <c r="I101" s="16"/>
      <c r="J101" s="16"/>
      <c r="K101" s="16"/>
      <c r="L101" s="170"/>
      <c r="M101" s="4">
        <f>M97-M99+M100</f>
        <v>2.0565641294116688</v>
      </c>
      <c r="N101" s="4">
        <f t="shared" ref="N101:X101" si="93">N97-N99+N100</f>
        <v>0.11350573035797851</v>
      </c>
      <c r="O101" s="4">
        <f t="shared" si="93"/>
        <v>-1.3922464428341841</v>
      </c>
      <c r="P101" s="4">
        <f t="shared" si="93"/>
        <v>-5.1899603121105624</v>
      </c>
      <c r="Q101" s="4">
        <f t="shared" si="93"/>
        <v>-7.707146150180165</v>
      </c>
      <c r="R101" s="4">
        <f t="shared" si="93"/>
        <v>-0.92490319697880352</v>
      </c>
      <c r="S101" s="4">
        <f t="shared" si="93"/>
        <v>0.92028407428057335</v>
      </c>
      <c r="T101" s="4">
        <f t="shared" si="93"/>
        <v>2.0931016318454612</v>
      </c>
      <c r="U101" s="4">
        <f t="shared" si="93"/>
        <v>-0.91020225917154107</v>
      </c>
      <c r="V101" s="4">
        <f t="shared" si="93"/>
        <v>-3.2885705642993983</v>
      </c>
      <c r="W101" s="4">
        <f t="shared" si="93"/>
        <v>-0.38101572082454993</v>
      </c>
      <c r="X101" s="4">
        <f t="shared" si="93"/>
        <v>3.1736983745060314</v>
      </c>
      <c r="Y101" s="89">
        <f>Y97-Y99+Y100</f>
        <v>-11.436890705997541</v>
      </c>
      <c r="Z101" s="4">
        <f t="shared" ref="Z101:AL101" si="94">Z97-Z99+Z100</f>
        <v>4.3661609277387186</v>
      </c>
      <c r="AA101" s="4">
        <f t="shared" si="94"/>
        <v>2.8354280897722504</v>
      </c>
      <c r="AB101" s="4">
        <f t="shared" si="94"/>
        <v>-0.14447594027610933</v>
      </c>
      <c r="AC101" s="4">
        <f t="shared" si="94"/>
        <v>-7.413123937473145</v>
      </c>
      <c r="AD101" s="4">
        <f t="shared" si="94"/>
        <v>-5.0080907192192043</v>
      </c>
      <c r="AE101" s="4">
        <f t="shared" si="94"/>
        <v>1.1461696446984888</v>
      </c>
      <c r="AF101" s="4">
        <f t="shared" si="94"/>
        <v>2.9364654343567693</v>
      </c>
      <c r="AG101" s="4">
        <f t="shared" si="94"/>
        <v>2.8181902186713472</v>
      </c>
      <c r="AH101" s="4">
        <f t="shared" si="94"/>
        <v>-0.17752164751667721</v>
      </c>
      <c r="AI101" s="4">
        <f t="shared" si="94"/>
        <v>-2.5656850440553285</v>
      </c>
      <c r="AJ101" s="4">
        <f t="shared" si="94"/>
        <v>0.32749300975012829</v>
      </c>
      <c r="AK101" s="4">
        <f t="shared" si="94"/>
        <v>3.024838461091413</v>
      </c>
      <c r="AL101" s="89">
        <f t="shared" si="94"/>
        <v>2.1458484975386511</v>
      </c>
      <c r="AM101" s="4">
        <f t="shared" ref="AM101:AW101" si="95">AM97-AM99+AM100</f>
        <v>3.9367998257161645</v>
      </c>
      <c r="AN101" s="4">
        <f t="shared" si="95"/>
        <v>-2.7483858619536954</v>
      </c>
      <c r="AO101" s="4">
        <f t="shared" si="95"/>
        <v>-4.6631795392112974</v>
      </c>
      <c r="AP101" s="4">
        <f t="shared" si="95"/>
        <v>-5.9449439539598634</v>
      </c>
      <c r="AQ101" s="4">
        <f t="shared" si="95"/>
        <v>13.028579797324811</v>
      </c>
      <c r="AR101" s="4">
        <f t="shared" si="95"/>
        <v>68.054111637717568</v>
      </c>
      <c r="AS101" s="4">
        <f t="shared" si="95"/>
        <v>93.22907216073483</v>
      </c>
      <c r="AT101" s="4">
        <f>AT97-AT99+AT100</f>
        <v>96.606828029173286</v>
      </c>
      <c r="AU101" s="4">
        <f t="shared" si="95"/>
        <v>76.245796889004467</v>
      </c>
      <c r="AV101" s="4">
        <f t="shared" si="95"/>
        <v>61.181546397872772</v>
      </c>
      <c r="AW101" s="4">
        <f t="shared" si="95"/>
        <v>47.601724683627985</v>
      </c>
      <c r="AX101" s="837"/>
      <c r="AY101" s="837"/>
    </row>
    <row r="102" spans="1:51">
      <c r="A102" s="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89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89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837"/>
      <c r="AY102" s="837"/>
    </row>
    <row r="103" spans="1:51">
      <c r="A103" s="1"/>
      <c r="B103" t="s">
        <v>172</v>
      </c>
      <c r="D103" s="16"/>
      <c r="E103" s="16"/>
      <c r="F103" s="16"/>
      <c r="G103" s="16"/>
      <c r="H103" s="16"/>
      <c r="I103" s="16"/>
      <c r="J103" s="16"/>
      <c r="K103" s="16"/>
      <c r="L103" s="170"/>
      <c r="M103" s="4">
        <f>'Stmts RUS'!G110</f>
        <v>3.801779070814082</v>
      </c>
      <c r="N103" s="4">
        <f>'Stmts RUS'!H110</f>
        <v>3.4943951115753671</v>
      </c>
      <c r="O103" s="4">
        <f>'Stmts RUS'!I110</f>
        <v>3.9287821486613619</v>
      </c>
      <c r="P103" s="4">
        <f>'Stmts RUS'!J110</f>
        <v>3.83665864991969</v>
      </c>
      <c r="Q103" s="4">
        <f>'Stmts RUS'!K110</f>
        <v>3.9440452341408143</v>
      </c>
      <c r="R103" s="4">
        <f>'Stmts RUS'!L110</f>
        <v>3.8024176742278777</v>
      </c>
      <c r="S103" s="4">
        <f>'Stmts RUS'!M110</f>
        <v>3.9362067521730828</v>
      </c>
      <c r="T103" s="4">
        <f>'Stmts RUS'!N110</f>
        <v>3.9362085321730831</v>
      </c>
      <c r="U103" s="4">
        <f>'Stmts RUS'!O110</f>
        <v>3.8212760943723696</v>
      </c>
      <c r="V103" s="4">
        <f>'Stmts RUS'!P110</f>
        <v>3.9734602275230535</v>
      </c>
      <c r="W103" s="4">
        <f>'Stmts RUS'!Q110</f>
        <v>3.8654261019066158</v>
      </c>
      <c r="X103" s="4">
        <f>'Stmts RUS'!R110</f>
        <v>3.9650209604738875</v>
      </c>
      <c r="Y103" s="89">
        <f>SUM(M103:X103)</f>
        <v>46.305676557961284</v>
      </c>
      <c r="Z103" s="4">
        <f>'Stmts RUS'!T110</f>
        <v>3.9097754603369017</v>
      </c>
      <c r="AA103" s="4">
        <f>'Stmts RUS'!U110</f>
        <v>3.6642238723916956</v>
      </c>
      <c r="AB103" s="4">
        <f>'Stmts RUS'!V110</f>
        <v>3.9823145892786194</v>
      </c>
      <c r="AC103" s="4">
        <f>'Stmts RUS'!W110</f>
        <v>3.8982678284567012</v>
      </c>
      <c r="AD103" s="4">
        <f>'Stmts RUS'!X110</f>
        <v>4.0079655861279342</v>
      </c>
      <c r="AE103" s="4">
        <f>'Stmts RUS'!Y110</f>
        <v>3.8807800374799095</v>
      </c>
      <c r="AF103" s="4">
        <f>'Stmts RUS'!Z110</f>
        <v>4.0073893833703202</v>
      </c>
      <c r="AG103" s="4">
        <f>'Stmts RUS'!AA110</f>
        <v>4.0073912733703203</v>
      </c>
      <c r="AH103" s="4">
        <f>'Stmts RUS'!AB110</f>
        <v>3.8897148599820222</v>
      </c>
      <c r="AI103" s="4">
        <f>'Stmts RUS'!AC110</f>
        <v>4.0110692558724326</v>
      </c>
      <c r="AJ103" s="4">
        <f>'Stmts RUS'!AD110</f>
        <v>3.9016498424477755</v>
      </c>
      <c r="AK103" s="4">
        <f>'Stmts RUS'!AE110</f>
        <v>4.0023426518211815</v>
      </c>
      <c r="AL103" s="89">
        <f>SUM(Z103:AK103)</f>
        <v>47.162884640935815</v>
      </c>
      <c r="AM103" s="4">
        <f>'Stmts RUS'!AG110</f>
        <v>47.086316568922427</v>
      </c>
      <c r="AN103" s="4">
        <f>'Stmts RUS'!AH110</f>
        <v>46.728476173825342</v>
      </c>
      <c r="AO103" s="4">
        <f>'Stmts RUS'!AI110</f>
        <v>46.187527526229218</v>
      </c>
      <c r="AP103" s="4">
        <f>'Stmts RUS'!AJ110</f>
        <v>45.672031402321018</v>
      </c>
      <c r="AQ103" s="4">
        <f>'Stmts RUS'!AK110</f>
        <v>45.079611382012061</v>
      </c>
      <c r="AR103" s="4">
        <f>'Stmts RUS'!AL110</f>
        <v>42.852504259480142</v>
      </c>
      <c r="AS103" s="4">
        <f>'Stmts RUS'!AM110</f>
        <v>40.200945414741241</v>
      </c>
      <c r="AT103" s="4">
        <f>'Stmts RUS'!AN110</f>
        <v>38.506243554889551</v>
      </c>
      <c r="AU103" s="4">
        <f>'Stmts RUS'!AO110</f>
        <v>37.78500426261197</v>
      </c>
      <c r="AV103" s="4">
        <f>'Stmts RUS'!AP110</f>
        <v>49.247819955978557</v>
      </c>
      <c r="AW103" s="4">
        <f>'Stmts RUS'!AQ110</f>
        <v>47.555071233125901</v>
      </c>
      <c r="AX103" s="837"/>
      <c r="AY103" s="837"/>
    </row>
    <row r="104" spans="1:51">
      <c r="A104" s="1"/>
      <c r="B104" t="s">
        <v>78</v>
      </c>
      <c r="D104" s="16"/>
      <c r="E104" s="16"/>
      <c r="F104" s="16"/>
      <c r="G104" s="16"/>
      <c r="H104" s="16"/>
      <c r="I104" s="16"/>
      <c r="J104" s="16"/>
      <c r="K104" s="16"/>
      <c r="L104" s="170"/>
      <c r="M104" s="4">
        <f>Interest!M13</f>
        <v>0</v>
      </c>
      <c r="N104" s="4">
        <f>Interest!N13</f>
        <v>0</v>
      </c>
      <c r="O104" s="4">
        <f>Interest!O13</f>
        <v>0</v>
      </c>
      <c r="P104" s="4">
        <f>Interest!P13</f>
        <v>0</v>
      </c>
      <c r="Q104" s="4">
        <f>Interest!Q13</f>
        <v>0</v>
      </c>
      <c r="R104" s="4">
        <f>Interest!R13</f>
        <v>0</v>
      </c>
      <c r="S104" s="4">
        <f>Interest!S13</f>
        <v>0</v>
      </c>
      <c r="T104" s="4">
        <f>Interest!T13</f>
        <v>0</v>
      </c>
      <c r="U104" s="4">
        <f>Interest!U13</f>
        <v>0</v>
      </c>
      <c r="V104" s="4">
        <f>Interest!V13</f>
        <v>0</v>
      </c>
      <c r="W104" s="4">
        <f>Interest!W13</f>
        <v>0</v>
      </c>
      <c r="X104" s="4">
        <f>Interest!X13</f>
        <v>0</v>
      </c>
      <c r="Y104" s="89">
        <f>SUM(M104:X104)</f>
        <v>0</v>
      </c>
      <c r="Z104" s="4">
        <f>Interest!Z13</f>
        <v>0</v>
      </c>
      <c r="AA104" s="4">
        <f>Interest!AA13</f>
        <v>0</v>
      </c>
      <c r="AB104" s="4">
        <f>Interest!AB13</f>
        <v>0</v>
      </c>
      <c r="AC104" s="4">
        <f>Interest!AC13</f>
        <v>0</v>
      </c>
      <c r="AD104" s="4">
        <f>Interest!AD13</f>
        <v>0</v>
      </c>
      <c r="AE104" s="4">
        <f>Interest!AE13</f>
        <v>0</v>
      </c>
      <c r="AF104" s="4">
        <f>Interest!AF13</f>
        <v>0</v>
      </c>
      <c r="AG104" s="4">
        <f>Interest!AG13</f>
        <v>0</v>
      </c>
      <c r="AH104" s="4">
        <f>Interest!AH13</f>
        <v>0</v>
      </c>
      <c r="AI104" s="4">
        <f>Interest!AI13</f>
        <v>0</v>
      </c>
      <c r="AJ104" s="4">
        <f>Interest!AJ13</f>
        <v>0</v>
      </c>
      <c r="AK104" s="4">
        <f>Interest!AK13</f>
        <v>0</v>
      </c>
      <c r="AL104" s="89">
        <f>SUM(Z104:AK104)</f>
        <v>0</v>
      </c>
      <c r="AM104" s="4">
        <f>Interest!AM13</f>
        <v>0</v>
      </c>
      <c r="AN104" s="4">
        <f>Interest!AN13</f>
        <v>0</v>
      </c>
      <c r="AO104" s="4">
        <f>Interest!AO13</f>
        <v>0</v>
      </c>
      <c r="AP104" s="4">
        <f>Interest!AP13</f>
        <v>0</v>
      </c>
      <c r="AQ104" s="4">
        <f>Interest!AQ13</f>
        <v>0</v>
      </c>
      <c r="AR104" s="4">
        <f>Interest!AR13</f>
        <v>0</v>
      </c>
      <c r="AS104" s="4">
        <f>Interest!AS13</f>
        <v>0</v>
      </c>
      <c r="AT104" s="4">
        <f>Interest!AT13</f>
        <v>0</v>
      </c>
      <c r="AU104" s="4">
        <f>Interest!AU13</f>
        <v>0</v>
      </c>
      <c r="AV104" s="4">
        <f>Interest!AV13</f>
        <v>0</v>
      </c>
      <c r="AW104" s="4">
        <f>Interest!AW13</f>
        <v>0</v>
      </c>
      <c r="AX104" s="837"/>
      <c r="AY104" s="837"/>
    </row>
    <row r="105" spans="1:51">
      <c r="A105" s="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89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89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837"/>
      <c r="AY105" s="837"/>
    </row>
    <row r="106" spans="1:51">
      <c r="A106" s="1"/>
      <c r="B106" s="17" t="s">
        <v>173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89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89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837"/>
      <c r="AY106" s="837"/>
    </row>
    <row r="107" spans="1:51">
      <c r="A107" s="1"/>
      <c r="B107" s="18" t="s">
        <v>174</v>
      </c>
      <c r="D107" s="16"/>
      <c r="E107" s="16"/>
      <c r="F107" s="16"/>
      <c r="G107" s="16"/>
      <c r="H107" s="16"/>
      <c r="I107" s="16"/>
      <c r="J107" s="16"/>
      <c r="K107" s="16"/>
      <c r="L107" s="170"/>
      <c r="M107" s="4">
        <f>M101-M104</f>
        <v>2.0565641294116688</v>
      </c>
      <c r="N107" s="4">
        <f t="shared" ref="N107:AW107" si="96">N101-N104</f>
        <v>0.11350573035797851</v>
      </c>
      <c r="O107" s="4">
        <f t="shared" si="96"/>
        <v>-1.3922464428341841</v>
      </c>
      <c r="P107" s="4">
        <f t="shared" si="96"/>
        <v>-5.1899603121105624</v>
      </c>
      <c r="Q107" s="4">
        <f t="shared" si="96"/>
        <v>-7.707146150180165</v>
      </c>
      <c r="R107" s="4">
        <f t="shared" si="96"/>
        <v>-0.92490319697880352</v>
      </c>
      <c r="S107" s="4">
        <f t="shared" si="96"/>
        <v>0.92028407428057335</v>
      </c>
      <c r="T107" s="4">
        <f t="shared" si="96"/>
        <v>2.0931016318454612</v>
      </c>
      <c r="U107" s="4">
        <f t="shared" si="96"/>
        <v>-0.91020225917154107</v>
      </c>
      <c r="V107" s="4">
        <f t="shared" si="96"/>
        <v>-3.2885705642993983</v>
      </c>
      <c r="W107" s="4">
        <f t="shared" si="96"/>
        <v>-0.38101572082454993</v>
      </c>
      <c r="X107" s="4">
        <f t="shared" si="96"/>
        <v>3.1736983745060314</v>
      </c>
      <c r="Y107" s="89">
        <f t="shared" si="96"/>
        <v>-11.436890705997541</v>
      </c>
      <c r="Z107" s="4">
        <f t="shared" si="96"/>
        <v>4.3661609277387186</v>
      </c>
      <c r="AA107" s="4">
        <f t="shared" si="96"/>
        <v>2.8354280897722504</v>
      </c>
      <c r="AB107" s="4">
        <f t="shared" si="96"/>
        <v>-0.14447594027610933</v>
      </c>
      <c r="AC107" s="4">
        <f t="shared" si="96"/>
        <v>-7.413123937473145</v>
      </c>
      <c r="AD107" s="4">
        <f t="shared" si="96"/>
        <v>-5.0080907192192043</v>
      </c>
      <c r="AE107" s="4">
        <f t="shared" si="96"/>
        <v>1.1461696446984888</v>
      </c>
      <c r="AF107" s="4">
        <f t="shared" si="96"/>
        <v>2.9364654343567693</v>
      </c>
      <c r="AG107" s="4">
        <f t="shared" si="96"/>
        <v>2.8181902186713472</v>
      </c>
      <c r="AH107" s="4">
        <f t="shared" si="96"/>
        <v>-0.17752164751667721</v>
      </c>
      <c r="AI107" s="4">
        <f t="shared" si="96"/>
        <v>-2.5656850440553285</v>
      </c>
      <c r="AJ107" s="4">
        <f t="shared" si="96"/>
        <v>0.32749300975012829</v>
      </c>
      <c r="AK107" s="4">
        <f t="shared" si="96"/>
        <v>3.024838461091413</v>
      </c>
      <c r="AL107" s="89">
        <f t="shared" si="96"/>
        <v>2.1458484975386511</v>
      </c>
      <c r="AM107" s="4">
        <f t="shared" si="96"/>
        <v>3.9367998257161645</v>
      </c>
      <c r="AN107" s="4">
        <f t="shared" si="96"/>
        <v>-2.7483858619536954</v>
      </c>
      <c r="AO107" s="4">
        <f t="shared" si="96"/>
        <v>-4.6631795392112974</v>
      </c>
      <c r="AP107" s="4">
        <f t="shared" si="96"/>
        <v>-5.9449439539598634</v>
      </c>
      <c r="AQ107" s="4">
        <f t="shared" si="96"/>
        <v>13.028579797324811</v>
      </c>
      <c r="AR107" s="4">
        <f t="shared" si="96"/>
        <v>68.054111637717568</v>
      </c>
      <c r="AS107" s="4">
        <f t="shared" si="96"/>
        <v>93.22907216073483</v>
      </c>
      <c r="AT107" s="4">
        <f t="shared" si="96"/>
        <v>96.606828029173286</v>
      </c>
      <c r="AU107" s="4">
        <f t="shared" si="96"/>
        <v>76.245796889004467</v>
      </c>
      <c r="AV107" s="4">
        <f t="shared" si="96"/>
        <v>61.181546397872772</v>
      </c>
      <c r="AW107" s="4">
        <f t="shared" si="96"/>
        <v>47.601724683627985</v>
      </c>
      <c r="AX107" s="837"/>
      <c r="AY107" s="837"/>
    </row>
    <row r="108" spans="1:51">
      <c r="A108" s="1"/>
      <c r="B108" s="19" t="s">
        <v>79</v>
      </c>
      <c r="D108" s="16"/>
      <c r="E108" s="16"/>
      <c r="F108" s="16"/>
      <c r="G108" s="16"/>
      <c r="H108" s="16"/>
      <c r="I108" s="16"/>
      <c r="J108" s="16"/>
      <c r="K108" s="16"/>
      <c r="L108" s="170"/>
      <c r="M108" s="4">
        <f>+M103+M104</f>
        <v>3.801779070814082</v>
      </c>
      <c r="N108" s="4">
        <f t="shared" ref="N108:X108" si="97">+N103+N104</f>
        <v>3.4943951115753671</v>
      </c>
      <c r="O108" s="4">
        <f t="shared" si="97"/>
        <v>3.9287821486613619</v>
      </c>
      <c r="P108" s="4">
        <f t="shared" si="97"/>
        <v>3.83665864991969</v>
      </c>
      <c r="Q108" s="4">
        <f t="shared" si="97"/>
        <v>3.9440452341408143</v>
      </c>
      <c r="R108" s="4">
        <f t="shared" si="97"/>
        <v>3.8024176742278777</v>
      </c>
      <c r="S108" s="4">
        <f t="shared" si="97"/>
        <v>3.9362067521730828</v>
      </c>
      <c r="T108" s="4">
        <f t="shared" si="97"/>
        <v>3.9362085321730831</v>
      </c>
      <c r="U108" s="4">
        <f t="shared" si="97"/>
        <v>3.8212760943723696</v>
      </c>
      <c r="V108" s="4">
        <f t="shared" si="97"/>
        <v>3.9734602275230535</v>
      </c>
      <c r="W108" s="4">
        <f t="shared" si="97"/>
        <v>3.8654261019066158</v>
      </c>
      <c r="X108" s="4">
        <f t="shared" si="97"/>
        <v>3.9650209604738875</v>
      </c>
      <c r="Y108" s="89">
        <f>+Y103+Y104</f>
        <v>46.305676557961284</v>
      </c>
      <c r="Z108" s="4">
        <f>+Z103+Z104</f>
        <v>3.9097754603369017</v>
      </c>
      <c r="AA108" s="4">
        <f t="shared" ref="AA108:AK108" si="98">+AA103+AA104</f>
        <v>3.6642238723916956</v>
      </c>
      <c r="AB108" s="4">
        <f t="shared" si="98"/>
        <v>3.9823145892786194</v>
      </c>
      <c r="AC108" s="4">
        <f t="shared" si="98"/>
        <v>3.8982678284567012</v>
      </c>
      <c r="AD108" s="4">
        <f t="shared" si="98"/>
        <v>4.0079655861279342</v>
      </c>
      <c r="AE108" s="4">
        <f t="shared" si="98"/>
        <v>3.8807800374799095</v>
      </c>
      <c r="AF108" s="4">
        <f t="shared" si="98"/>
        <v>4.0073893833703202</v>
      </c>
      <c r="AG108" s="4">
        <f t="shared" si="98"/>
        <v>4.0073912733703203</v>
      </c>
      <c r="AH108" s="4">
        <f t="shared" si="98"/>
        <v>3.8897148599820222</v>
      </c>
      <c r="AI108" s="4">
        <f t="shared" si="98"/>
        <v>4.0110692558724326</v>
      </c>
      <c r="AJ108" s="4">
        <f t="shared" si="98"/>
        <v>3.9016498424477755</v>
      </c>
      <c r="AK108" s="4">
        <f t="shared" si="98"/>
        <v>4.0023426518211815</v>
      </c>
      <c r="AL108" s="89">
        <f>+AL103+AL104</f>
        <v>47.162884640935815</v>
      </c>
      <c r="AM108" s="4">
        <f t="shared" ref="AM108:AW108" si="99">+AM103+AM104</f>
        <v>47.086316568922427</v>
      </c>
      <c r="AN108" s="4">
        <f t="shared" si="99"/>
        <v>46.728476173825342</v>
      </c>
      <c r="AO108" s="4">
        <f t="shared" si="99"/>
        <v>46.187527526229218</v>
      </c>
      <c r="AP108" s="4">
        <f t="shared" si="99"/>
        <v>45.672031402321018</v>
      </c>
      <c r="AQ108" s="4">
        <f t="shared" si="99"/>
        <v>45.079611382012061</v>
      </c>
      <c r="AR108" s="4">
        <f t="shared" si="99"/>
        <v>42.852504259480142</v>
      </c>
      <c r="AS108" s="4">
        <f t="shared" si="99"/>
        <v>40.200945414741241</v>
      </c>
      <c r="AT108" s="4">
        <f t="shared" si="99"/>
        <v>38.506243554889551</v>
      </c>
      <c r="AU108" s="4">
        <f t="shared" si="99"/>
        <v>37.78500426261197</v>
      </c>
      <c r="AV108" s="4">
        <f t="shared" si="99"/>
        <v>49.247819955978557</v>
      </c>
      <c r="AW108" s="4">
        <f t="shared" si="99"/>
        <v>47.555071233125901</v>
      </c>
      <c r="AX108" s="837"/>
      <c r="AY108" s="837"/>
    </row>
    <row r="109" spans="1:51">
      <c r="A109" s="1"/>
      <c r="B109" s="19" t="s">
        <v>273</v>
      </c>
      <c r="D109" s="16"/>
      <c r="E109" s="16"/>
      <c r="F109" s="16"/>
      <c r="G109" s="16"/>
      <c r="H109" s="16"/>
      <c r="I109" s="16"/>
      <c r="J109" s="16"/>
      <c r="K109" s="16"/>
      <c r="L109" s="170"/>
      <c r="M109" s="4">
        <f t="shared" ref="M109:X109" si="100">M68*M24*(M7+M8)</f>
        <v>0</v>
      </c>
      <c r="N109" s="4">
        <f t="shared" si="100"/>
        <v>0</v>
      </c>
      <c r="O109" s="4">
        <f t="shared" si="100"/>
        <v>0</v>
      </c>
      <c r="P109" s="4">
        <f t="shared" si="100"/>
        <v>0</v>
      </c>
      <c r="Q109" s="4">
        <f t="shared" si="100"/>
        <v>0</v>
      </c>
      <c r="R109" s="4">
        <f t="shared" si="100"/>
        <v>0</v>
      </c>
      <c r="S109" s="4">
        <f t="shared" si="100"/>
        <v>0</v>
      </c>
      <c r="T109" s="4">
        <f t="shared" si="100"/>
        <v>0</v>
      </c>
      <c r="U109" s="4">
        <f t="shared" si="100"/>
        <v>0</v>
      </c>
      <c r="V109" s="4">
        <f t="shared" si="100"/>
        <v>0</v>
      </c>
      <c r="W109" s="4">
        <f t="shared" si="100"/>
        <v>0</v>
      </c>
      <c r="X109" s="4">
        <f t="shared" si="100"/>
        <v>0</v>
      </c>
      <c r="Y109" s="89">
        <f>SUM(M109:X109)</f>
        <v>0</v>
      </c>
      <c r="Z109" s="4">
        <f t="shared" ref="Z109:AK109" si="101">Z68*Z24*(Z7+Z8)</f>
        <v>0</v>
      </c>
      <c r="AA109" s="4">
        <f t="shared" si="101"/>
        <v>0</v>
      </c>
      <c r="AB109" s="4">
        <f t="shared" si="101"/>
        <v>0</v>
      </c>
      <c r="AC109" s="4">
        <f t="shared" si="101"/>
        <v>0</v>
      </c>
      <c r="AD109" s="4">
        <f t="shared" si="101"/>
        <v>0</v>
      </c>
      <c r="AE109" s="4">
        <f t="shared" si="101"/>
        <v>0</v>
      </c>
      <c r="AF109" s="4">
        <f t="shared" si="101"/>
        <v>0</v>
      </c>
      <c r="AG109" s="4">
        <f t="shared" si="101"/>
        <v>0</v>
      </c>
      <c r="AH109" s="4">
        <f t="shared" si="101"/>
        <v>0</v>
      </c>
      <c r="AI109" s="4">
        <f t="shared" si="101"/>
        <v>0</v>
      </c>
      <c r="AJ109" s="4">
        <f t="shared" si="101"/>
        <v>0</v>
      </c>
      <c r="AK109" s="4">
        <f t="shared" si="101"/>
        <v>0</v>
      </c>
      <c r="AL109" s="89">
        <f>SUM(Z109:AK109)</f>
        <v>0</v>
      </c>
      <c r="AM109" s="4">
        <f t="shared" ref="AM109:AW109" si="102">AM68*AM24*(AM7+AM8)</f>
        <v>0</v>
      </c>
      <c r="AN109" s="4">
        <f t="shared" si="102"/>
        <v>0</v>
      </c>
      <c r="AO109" s="4">
        <f t="shared" si="102"/>
        <v>0</v>
      </c>
      <c r="AP109" s="4">
        <f t="shared" si="102"/>
        <v>0</v>
      </c>
      <c r="AQ109" s="4">
        <f t="shared" si="102"/>
        <v>0</v>
      </c>
      <c r="AR109" s="4">
        <f t="shared" si="102"/>
        <v>0</v>
      </c>
      <c r="AS109" s="4">
        <f t="shared" si="102"/>
        <v>0</v>
      </c>
      <c r="AT109" s="4">
        <f t="shared" si="102"/>
        <v>0</v>
      </c>
      <c r="AU109" s="4">
        <f t="shared" si="102"/>
        <v>0</v>
      </c>
      <c r="AV109" s="4">
        <f t="shared" si="102"/>
        <v>0</v>
      </c>
      <c r="AW109" s="4">
        <f t="shared" si="102"/>
        <v>0</v>
      </c>
      <c r="AX109" s="837"/>
      <c r="AY109" s="837"/>
    </row>
    <row r="110" spans="1:51">
      <c r="A110" s="1"/>
      <c r="B110" s="19" t="s">
        <v>176</v>
      </c>
      <c r="D110" s="22"/>
      <c r="E110" s="22"/>
      <c r="F110" s="22"/>
      <c r="G110" s="22"/>
      <c r="H110" s="22"/>
      <c r="I110" s="22"/>
      <c r="J110" s="22"/>
      <c r="K110" s="22"/>
      <c r="L110" s="186"/>
      <c r="M110" s="8">
        <f>-Interest!M10</f>
        <v>-8.9200249162191773E-3</v>
      </c>
      <c r="N110" s="8">
        <f>-Interest!N10</f>
        <v>-8.0588495261724995E-3</v>
      </c>
      <c r="O110" s="8">
        <f>-Interest!O10</f>
        <v>-8.924351040392171E-3</v>
      </c>
      <c r="P110" s="8">
        <f>-Interest!P10</f>
        <v>-8.6386692736806873E-3</v>
      </c>
      <c r="Q110" s="8">
        <f>-Interest!Q10</f>
        <v>-8.9288260017324692E-3</v>
      </c>
      <c r="R110" s="8">
        <f>-Interest!R10</f>
        <v>-8.6430009848444886E-3</v>
      </c>
      <c r="S110" s="8">
        <f>-Interest!S10</f>
        <v>-8.9333032069646677E-3</v>
      </c>
      <c r="T110" s="8">
        <f>-Interest!T10</f>
        <v>-8.9355793636721938E-3</v>
      </c>
      <c r="U110" s="8">
        <f>-Interest!U10</f>
        <v>-8.6495381616115939E-3</v>
      </c>
      <c r="V110" s="8">
        <f>-Interest!V10</f>
        <v>-8.940059955260829E-3</v>
      </c>
      <c r="W110" s="8">
        <f>-Interest!W10</f>
        <v>-8.653875322791096E-3</v>
      </c>
      <c r="X110" s="8">
        <f>-Interest!X10</f>
        <v>-8.9445427935645524E-3</v>
      </c>
      <c r="Y110" s="216">
        <f>-Interest!Y10</f>
        <v>-0.10517062054690642</v>
      </c>
      <c r="Z110" s="8">
        <f>-Interest!Z10</f>
        <v>-8.9468218140571591E-3</v>
      </c>
      <c r="AA110" s="8">
        <f>-Interest!AA10</f>
        <v>-8.0830593427899233E-3</v>
      </c>
      <c r="AB110" s="8">
        <f>-Interest!AB10</f>
        <v>-8.9511609344615044E-3</v>
      </c>
      <c r="AC110" s="8">
        <f>-Interest!AC10</f>
        <v>-8.6646209431162722E-3</v>
      </c>
      <c r="AD110" s="8">
        <f>-Interest!AD10</f>
        <v>-8.9556493391590806E-3</v>
      </c>
      <c r="AE110" s="8">
        <f>-Interest!AE10</f>
        <v>-8.6689656672954644E-3</v>
      </c>
      <c r="AF110" s="8">
        <f>-Interest!AF10</f>
        <v>-8.9601399944894897E-3</v>
      </c>
      <c r="AG110" s="8">
        <f>-Interest!AG10</f>
        <v>-8.9624229890634313E-3</v>
      </c>
      <c r="AH110" s="8">
        <f>-Interest!AH10</f>
        <v>-8.675522482579235E-3</v>
      </c>
      <c r="AI110" s="8">
        <f>-Interest!AI10</f>
        <v>-8.9669170409233286E-3</v>
      </c>
      <c r="AJ110" s="8">
        <f>-Interest!AJ10</f>
        <v>-8.679872673146672E-3</v>
      </c>
      <c r="AK110" s="8">
        <f>-Interest!AK10</f>
        <v>-8.9714133462477346E-3</v>
      </c>
      <c r="AL110" s="216">
        <f>-Interest!AL10</f>
        <v>-0.10548656656732928</v>
      </c>
      <c r="AM110" s="8">
        <f>-Interest!AM10</f>
        <v>-0.10565807138134271</v>
      </c>
      <c r="AN110" s="8">
        <f>-Interest!AN10</f>
        <v>-0.10597504559548673</v>
      </c>
      <c r="AO110" s="8">
        <f>-Interest!AO10</f>
        <v>-0.10629297073227319</v>
      </c>
      <c r="AP110" s="8">
        <f>-Interest!AP10</f>
        <v>-0.10661184964447003</v>
      </c>
      <c r="AQ110" s="8">
        <f>-Interest!AQ10</f>
        <v>-0.10693168519340344</v>
      </c>
      <c r="AR110" s="8">
        <f>-Interest!AR10</f>
        <v>-0.10725248024898365</v>
      </c>
      <c r="AS110" s="8">
        <f>-Interest!AS10</f>
        <v>-0.1075742376897306</v>
      </c>
      <c r="AT110" s="8">
        <f>-Interest!AT10</f>
        <v>-0.10789696040279979</v>
      </c>
      <c r="AU110" s="8">
        <f>-Interest!AU10</f>
        <v>-0.10822065128400818</v>
      </c>
      <c r="AV110" s="8">
        <f>-Interest!AV10</f>
        <v>-0.10854531323786021</v>
      </c>
      <c r="AW110" s="8">
        <f>-Interest!AW10</f>
        <v>-0.10887094917757378</v>
      </c>
      <c r="AX110" s="837"/>
      <c r="AY110" s="837"/>
    </row>
    <row r="111" spans="1:51">
      <c r="A111" s="1"/>
      <c r="B111" s="18" t="s">
        <v>131</v>
      </c>
      <c r="D111" s="16"/>
      <c r="E111" s="16"/>
      <c r="F111" s="16"/>
      <c r="G111" s="16"/>
      <c r="H111" s="16"/>
      <c r="I111" s="16"/>
      <c r="J111" s="16"/>
      <c r="K111" s="16"/>
      <c r="L111" s="170"/>
      <c r="M111" s="4">
        <f>+M107+M108+M109+M110</f>
        <v>5.8494231753095312</v>
      </c>
      <c r="N111" s="4">
        <f t="shared" ref="N111:Y111" si="103">+N107+N108+N109+N110</f>
        <v>3.599841992407173</v>
      </c>
      <c r="O111" s="4">
        <f t="shared" si="103"/>
        <v>2.5276113547867856</v>
      </c>
      <c r="P111" s="4">
        <f t="shared" si="103"/>
        <v>-1.3619403314645531</v>
      </c>
      <c r="Q111" s="4">
        <f t="shared" si="103"/>
        <v>-3.7720297420410831</v>
      </c>
      <c r="R111" s="4">
        <f t="shared" si="103"/>
        <v>2.8688714762642298</v>
      </c>
      <c r="S111" s="4">
        <f t="shared" si="103"/>
        <v>4.8475575232466923</v>
      </c>
      <c r="T111" s="4">
        <f t="shared" si="103"/>
        <v>6.0203745846548724</v>
      </c>
      <c r="U111" s="4">
        <f t="shared" si="103"/>
        <v>2.9024242970392171</v>
      </c>
      <c r="V111" s="4">
        <f t="shared" si="103"/>
        <v>0.67594960326839437</v>
      </c>
      <c r="W111" s="4">
        <f t="shared" si="103"/>
        <v>3.475756505759275</v>
      </c>
      <c r="X111" s="4">
        <f t="shared" si="103"/>
        <v>7.129774792186355</v>
      </c>
      <c r="Y111" s="89">
        <f t="shared" si="103"/>
        <v>34.763615231416836</v>
      </c>
      <c r="Z111" s="4">
        <f t="shared" ref="Z111:AL111" si="104">+Z107+Z108+Z109+Z110</f>
        <v>8.2669895662615644</v>
      </c>
      <c r="AA111" s="4">
        <f t="shared" si="104"/>
        <v>6.4915689028211556</v>
      </c>
      <c r="AB111" s="4">
        <f t="shared" si="104"/>
        <v>3.8288874880680486</v>
      </c>
      <c r="AC111" s="4">
        <f t="shared" si="104"/>
        <v>-3.5235207299595603</v>
      </c>
      <c r="AD111" s="4">
        <f t="shared" si="104"/>
        <v>-1.0090807824304293</v>
      </c>
      <c r="AE111" s="4">
        <f t="shared" si="104"/>
        <v>5.0182807165111027</v>
      </c>
      <c r="AF111" s="4">
        <f t="shared" si="104"/>
        <v>6.9348946777325997</v>
      </c>
      <c r="AG111" s="4">
        <f t="shared" si="104"/>
        <v>6.8166190690526038</v>
      </c>
      <c r="AH111" s="4">
        <f t="shared" si="104"/>
        <v>3.7035176899827658</v>
      </c>
      <c r="AI111" s="4">
        <f t="shared" si="104"/>
        <v>1.4364172947761809</v>
      </c>
      <c r="AJ111" s="4">
        <f t="shared" si="104"/>
        <v>4.2204629795247568</v>
      </c>
      <c r="AK111" s="4">
        <f t="shared" si="104"/>
        <v>7.0182096995663468</v>
      </c>
      <c r="AL111" s="89">
        <f t="shared" si="104"/>
        <v>49.203246571907137</v>
      </c>
      <c r="AM111" s="4">
        <f t="shared" ref="AM111:AW111" si="105">+AM107+AM108+AM109+AM110</f>
        <v>50.91745832325725</v>
      </c>
      <c r="AN111" s="4">
        <f t="shared" si="105"/>
        <v>43.874115266276164</v>
      </c>
      <c r="AO111" s="4">
        <f t="shared" si="105"/>
        <v>41.418055016285642</v>
      </c>
      <c r="AP111" s="4">
        <f t="shared" si="105"/>
        <v>39.620475598716681</v>
      </c>
      <c r="AQ111" s="4">
        <f t="shared" si="105"/>
        <v>58.001259494143468</v>
      </c>
      <c r="AR111" s="4">
        <f t="shared" si="105"/>
        <v>110.79936341694872</v>
      </c>
      <c r="AS111" s="4">
        <f t="shared" si="105"/>
        <v>133.32244333778635</v>
      </c>
      <c r="AT111" s="4">
        <f t="shared" si="105"/>
        <v>135.00517462366003</v>
      </c>
      <c r="AU111" s="4">
        <f t="shared" si="105"/>
        <v>113.92258050033242</v>
      </c>
      <c r="AV111" s="4">
        <f t="shared" si="105"/>
        <v>110.32082104061347</v>
      </c>
      <c r="AW111" s="4">
        <f t="shared" si="105"/>
        <v>95.047924967576307</v>
      </c>
      <c r="AX111" s="837"/>
      <c r="AY111" s="837"/>
    </row>
    <row r="112" spans="1:51">
      <c r="A112" s="1"/>
      <c r="B112" s="18" t="s">
        <v>177</v>
      </c>
      <c r="D112" s="22"/>
      <c r="E112" s="22"/>
      <c r="F112" s="22"/>
      <c r="G112" s="22"/>
      <c r="H112" s="22"/>
      <c r="I112" s="22"/>
      <c r="J112" s="22"/>
      <c r="K112" s="22"/>
      <c r="L112" s="186"/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216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216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37"/>
      <c r="AY112" s="837"/>
    </row>
    <row r="113" spans="1:51">
      <c r="A113" s="1"/>
      <c r="B113" s="20" t="s">
        <v>131</v>
      </c>
      <c r="D113" s="16"/>
      <c r="E113" s="16"/>
      <c r="F113" s="16"/>
      <c r="G113" s="16"/>
      <c r="H113" s="16"/>
      <c r="I113" s="16"/>
      <c r="J113" s="16"/>
      <c r="K113" s="16"/>
      <c r="L113" s="170"/>
      <c r="M113" s="4">
        <f t="shared" ref="M113:Y113" si="106">+M111+M112</f>
        <v>5.8494231753095312</v>
      </c>
      <c r="N113" s="4">
        <f t="shared" si="106"/>
        <v>3.599841992407173</v>
      </c>
      <c r="O113" s="4">
        <f t="shared" si="106"/>
        <v>2.5276113547867856</v>
      </c>
      <c r="P113" s="4">
        <f t="shared" si="106"/>
        <v>-1.3619403314645531</v>
      </c>
      <c r="Q113" s="4">
        <f t="shared" si="106"/>
        <v>-3.7720297420410831</v>
      </c>
      <c r="R113" s="4">
        <f t="shared" si="106"/>
        <v>2.8688714762642298</v>
      </c>
      <c r="S113" s="4">
        <f t="shared" si="106"/>
        <v>4.8475575232466923</v>
      </c>
      <c r="T113" s="4">
        <f t="shared" si="106"/>
        <v>6.0203745846548724</v>
      </c>
      <c r="U113" s="4">
        <f t="shared" si="106"/>
        <v>2.9024242970392171</v>
      </c>
      <c r="V113" s="4">
        <f t="shared" si="106"/>
        <v>0.67594960326839437</v>
      </c>
      <c r="W113" s="4">
        <f t="shared" si="106"/>
        <v>3.475756505759275</v>
      </c>
      <c r="X113" s="4">
        <f t="shared" si="106"/>
        <v>7.129774792186355</v>
      </c>
      <c r="Y113" s="89">
        <f t="shared" si="106"/>
        <v>34.763615231416836</v>
      </c>
      <c r="Z113" s="4">
        <f t="shared" ref="Z113:AL113" si="107">+Z111+Z112</f>
        <v>8.2669895662615644</v>
      </c>
      <c r="AA113" s="4">
        <f t="shared" si="107"/>
        <v>6.4915689028211556</v>
      </c>
      <c r="AB113" s="4">
        <f t="shared" si="107"/>
        <v>3.8288874880680486</v>
      </c>
      <c r="AC113" s="4">
        <f t="shared" si="107"/>
        <v>-3.5235207299595603</v>
      </c>
      <c r="AD113" s="4">
        <f t="shared" si="107"/>
        <v>-1.0090807824304293</v>
      </c>
      <c r="AE113" s="4">
        <f t="shared" si="107"/>
        <v>5.0182807165111027</v>
      </c>
      <c r="AF113" s="4">
        <f t="shared" si="107"/>
        <v>6.9348946777325997</v>
      </c>
      <c r="AG113" s="4">
        <f t="shared" si="107"/>
        <v>6.8166190690526038</v>
      </c>
      <c r="AH113" s="4">
        <f t="shared" si="107"/>
        <v>3.7035176899827658</v>
      </c>
      <c r="AI113" s="4">
        <f t="shared" si="107"/>
        <v>1.4364172947761809</v>
      </c>
      <c r="AJ113" s="4">
        <f t="shared" si="107"/>
        <v>4.2204629795247568</v>
      </c>
      <c r="AK113" s="4">
        <f t="shared" si="107"/>
        <v>7.0182096995663468</v>
      </c>
      <c r="AL113" s="89">
        <f t="shared" si="107"/>
        <v>49.203246571907137</v>
      </c>
      <c r="AM113" s="4">
        <f t="shared" ref="AM113:AW113" si="108">+AM111+AM112</f>
        <v>50.91745832325725</v>
      </c>
      <c r="AN113" s="4">
        <f t="shared" si="108"/>
        <v>43.874115266276164</v>
      </c>
      <c r="AO113" s="4">
        <f t="shared" si="108"/>
        <v>41.418055016285642</v>
      </c>
      <c r="AP113" s="4">
        <f t="shared" si="108"/>
        <v>39.620475598716681</v>
      </c>
      <c r="AQ113" s="4">
        <f t="shared" si="108"/>
        <v>58.001259494143468</v>
      </c>
      <c r="AR113" s="4">
        <f t="shared" si="108"/>
        <v>110.79936341694872</v>
      </c>
      <c r="AS113" s="4">
        <f t="shared" si="108"/>
        <v>133.32244333778635</v>
      </c>
      <c r="AT113" s="4">
        <f t="shared" si="108"/>
        <v>135.00517462366003</v>
      </c>
      <c r="AU113" s="4">
        <f t="shared" si="108"/>
        <v>113.92258050033242</v>
      </c>
      <c r="AV113" s="4">
        <f t="shared" si="108"/>
        <v>110.32082104061347</v>
      </c>
      <c r="AW113" s="4">
        <f t="shared" si="108"/>
        <v>95.047924967576307</v>
      </c>
      <c r="AX113" s="837"/>
      <c r="AY113" s="837"/>
    </row>
    <row r="114" spans="1:51">
      <c r="A114" s="1"/>
      <c r="B114" s="21" t="s">
        <v>178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89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89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837"/>
      <c r="AY114" s="837"/>
    </row>
    <row r="115" spans="1:51">
      <c r="A115" s="1"/>
      <c r="B115" s="19" t="s">
        <v>80</v>
      </c>
      <c r="D115" s="16"/>
      <c r="E115" s="16"/>
      <c r="F115" s="16"/>
      <c r="G115" s="16"/>
      <c r="H115" s="16"/>
      <c r="I115" s="16"/>
      <c r="J115" s="16"/>
      <c r="K115" s="16"/>
      <c r="L115" s="170"/>
      <c r="M115" s="4">
        <f>+M103+M104</f>
        <v>3.801779070814082</v>
      </c>
      <c r="N115" s="4">
        <f t="shared" ref="N115:Y115" si="109">+N103+N104</f>
        <v>3.4943951115753671</v>
      </c>
      <c r="O115" s="4">
        <f t="shared" si="109"/>
        <v>3.9287821486613619</v>
      </c>
      <c r="P115" s="4">
        <f t="shared" si="109"/>
        <v>3.83665864991969</v>
      </c>
      <c r="Q115" s="4">
        <f t="shared" si="109"/>
        <v>3.9440452341408143</v>
      </c>
      <c r="R115" s="4">
        <f t="shared" si="109"/>
        <v>3.8024176742278777</v>
      </c>
      <c r="S115" s="4">
        <f t="shared" si="109"/>
        <v>3.9362067521730828</v>
      </c>
      <c r="T115" s="4">
        <f t="shared" si="109"/>
        <v>3.9362085321730831</v>
      </c>
      <c r="U115" s="4">
        <f t="shared" si="109"/>
        <v>3.8212760943723696</v>
      </c>
      <c r="V115" s="4">
        <f t="shared" si="109"/>
        <v>3.9734602275230535</v>
      </c>
      <c r="W115" s="4">
        <f t="shared" si="109"/>
        <v>3.8654261019066158</v>
      </c>
      <c r="X115" s="4">
        <f t="shared" si="109"/>
        <v>3.9650209604738875</v>
      </c>
      <c r="Y115" s="89">
        <f t="shared" si="109"/>
        <v>46.305676557961284</v>
      </c>
      <c r="Z115" s="4">
        <f t="shared" ref="Z115:AW115" si="110">+Z103+Z104</f>
        <v>3.9097754603369017</v>
      </c>
      <c r="AA115" s="4">
        <f t="shared" si="110"/>
        <v>3.6642238723916956</v>
      </c>
      <c r="AB115" s="4">
        <f t="shared" si="110"/>
        <v>3.9823145892786194</v>
      </c>
      <c r="AC115" s="4">
        <f t="shared" si="110"/>
        <v>3.8982678284567012</v>
      </c>
      <c r="AD115" s="4">
        <f t="shared" si="110"/>
        <v>4.0079655861279342</v>
      </c>
      <c r="AE115" s="4">
        <f t="shared" si="110"/>
        <v>3.8807800374799095</v>
      </c>
      <c r="AF115" s="4">
        <f t="shared" si="110"/>
        <v>4.0073893833703202</v>
      </c>
      <c r="AG115" s="4">
        <f t="shared" si="110"/>
        <v>4.0073912733703203</v>
      </c>
      <c r="AH115" s="4">
        <f t="shared" si="110"/>
        <v>3.8897148599820222</v>
      </c>
      <c r="AI115" s="4">
        <f t="shared" si="110"/>
        <v>4.0110692558724326</v>
      </c>
      <c r="AJ115" s="4">
        <f t="shared" si="110"/>
        <v>3.9016498424477755</v>
      </c>
      <c r="AK115" s="4">
        <f t="shared" si="110"/>
        <v>4.0023426518211815</v>
      </c>
      <c r="AL115" s="89">
        <f t="shared" si="110"/>
        <v>47.162884640935815</v>
      </c>
      <c r="AM115" s="4">
        <f t="shared" si="110"/>
        <v>47.086316568922427</v>
      </c>
      <c r="AN115" s="4">
        <f t="shared" si="110"/>
        <v>46.728476173825342</v>
      </c>
      <c r="AO115" s="4">
        <f t="shared" si="110"/>
        <v>46.187527526229218</v>
      </c>
      <c r="AP115" s="4">
        <f t="shared" si="110"/>
        <v>45.672031402321018</v>
      </c>
      <c r="AQ115" s="4">
        <f t="shared" si="110"/>
        <v>45.079611382012061</v>
      </c>
      <c r="AR115" s="4">
        <f t="shared" si="110"/>
        <v>42.852504259480142</v>
      </c>
      <c r="AS115" s="4">
        <f t="shared" si="110"/>
        <v>40.200945414741241</v>
      </c>
      <c r="AT115" s="4">
        <f t="shared" si="110"/>
        <v>38.506243554889551</v>
      </c>
      <c r="AU115" s="4">
        <f t="shared" si="110"/>
        <v>37.78500426261197</v>
      </c>
      <c r="AV115" s="4">
        <f t="shared" si="110"/>
        <v>49.247819955978557</v>
      </c>
      <c r="AW115" s="4">
        <f t="shared" si="110"/>
        <v>47.555071233125901</v>
      </c>
      <c r="AX115" s="837"/>
      <c r="AY115" s="837"/>
    </row>
    <row r="116" spans="1:51">
      <c r="A116" s="1"/>
      <c r="B116" s="18" t="s">
        <v>177</v>
      </c>
      <c r="D116" s="22"/>
      <c r="E116" s="22"/>
      <c r="F116" s="22"/>
      <c r="G116" s="22"/>
      <c r="H116" s="22"/>
      <c r="I116" s="22"/>
      <c r="J116" s="22"/>
      <c r="K116" s="22"/>
      <c r="L116" s="186"/>
      <c r="M116" s="8">
        <f t="shared" ref="M116:Y116" si="111">M112</f>
        <v>0</v>
      </c>
      <c r="N116" s="8">
        <f t="shared" si="111"/>
        <v>0</v>
      </c>
      <c r="O116" s="8">
        <f t="shared" si="111"/>
        <v>0</v>
      </c>
      <c r="P116" s="8">
        <f t="shared" si="111"/>
        <v>0</v>
      </c>
      <c r="Q116" s="8">
        <f t="shared" si="111"/>
        <v>0</v>
      </c>
      <c r="R116" s="8">
        <f t="shared" si="111"/>
        <v>0</v>
      </c>
      <c r="S116" s="8">
        <f t="shared" si="111"/>
        <v>0</v>
      </c>
      <c r="T116" s="8">
        <f t="shared" si="111"/>
        <v>0</v>
      </c>
      <c r="U116" s="8">
        <f t="shared" si="111"/>
        <v>0</v>
      </c>
      <c r="V116" s="8">
        <f t="shared" si="111"/>
        <v>0</v>
      </c>
      <c r="W116" s="8">
        <f t="shared" si="111"/>
        <v>0</v>
      </c>
      <c r="X116" s="8">
        <f t="shared" si="111"/>
        <v>0</v>
      </c>
      <c r="Y116" s="216">
        <f t="shared" si="111"/>
        <v>0</v>
      </c>
      <c r="Z116" s="8">
        <f t="shared" ref="Z116:AW116" si="112">Z112</f>
        <v>0</v>
      </c>
      <c r="AA116" s="8">
        <f t="shared" si="112"/>
        <v>0</v>
      </c>
      <c r="AB116" s="8">
        <f t="shared" si="112"/>
        <v>0</v>
      </c>
      <c r="AC116" s="8">
        <f t="shared" si="112"/>
        <v>0</v>
      </c>
      <c r="AD116" s="8">
        <f t="shared" si="112"/>
        <v>0</v>
      </c>
      <c r="AE116" s="8">
        <f t="shared" si="112"/>
        <v>0</v>
      </c>
      <c r="AF116" s="8">
        <f t="shared" si="112"/>
        <v>0</v>
      </c>
      <c r="AG116" s="8">
        <f t="shared" si="112"/>
        <v>0</v>
      </c>
      <c r="AH116" s="8">
        <f t="shared" si="112"/>
        <v>0</v>
      </c>
      <c r="AI116" s="8">
        <f t="shared" si="112"/>
        <v>0</v>
      </c>
      <c r="AJ116" s="8">
        <f t="shared" si="112"/>
        <v>0</v>
      </c>
      <c r="AK116" s="8">
        <f t="shared" si="112"/>
        <v>0</v>
      </c>
      <c r="AL116" s="216">
        <f t="shared" si="112"/>
        <v>0</v>
      </c>
      <c r="AM116" s="8">
        <f t="shared" si="112"/>
        <v>0</v>
      </c>
      <c r="AN116" s="8">
        <f t="shared" si="112"/>
        <v>0</v>
      </c>
      <c r="AO116" s="8">
        <f t="shared" si="112"/>
        <v>0</v>
      </c>
      <c r="AP116" s="8">
        <f t="shared" si="112"/>
        <v>0</v>
      </c>
      <c r="AQ116" s="8">
        <f t="shared" si="112"/>
        <v>0</v>
      </c>
      <c r="AR116" s="8">
        <f t="shared" si="112"/>
        <v>0</v>
      </c>
      <c r="AS116" s="8">
        <f t="shared" si="112"/>
        <v>0</v>
      </c>
      <c r="AT116" s="8">
        <f t="shared" si="112"/>
        <v>0</v>
      </c>
      <c r="AU116" s="8">
        <f t="shared" si="112"/>
        <v>0</v>
      </c>
      <c r="AV116" s="8">
        <f t="shared" si="112"/>
        <v>0</v>
      </c>
      <c r="AW116" s="8">
        <f t="shared" si="112"/>
        <v>0</v>
      </c>
      <c r="AX116" s="837"/>
      <c r="AY116" s="837"/>
    </row>
    <row r="117" spans="1:51">
      <c r="A117" s="1"/>
      <c r="B117" s="20" t="s">
        <v>131</v>
      </c>
      <c r="D117" s="16"/>
      <c r="E117" s="16"/>
      <c r="F117" s="16"/>
      <c r="G117" s="16"/>
      <c r="H117" s="16"/>
      <c r="I117" s="16"/>
      <c r="J117" s="16"/>
      <c r="K117" s="16"/>
      <c r="L117" s="170"/>
      <c r="M117" s="4">
        <f t="shared" ref="M117:Y117" si="113">SUM(M115:M116)</f>
        <v>3.801779070814082</v>
      </c>
      <c r="N117" s="4">
        <f t="shared" si="113"/>
        <v>3.4943951115753671</v>
      </c>
      <c r="O117" s="4">
        <f t="shared" si="113"/>
        <v>3.9287821486613619</v>
      </c>
      <c r="P117" s="4">
        <f t="shared" si="113"/>
        <v>3.83665864991969</v>
      </c>
      <c r="Q117" s="4">
        <f t="shared" si="113"/>
        <v>3.9440452341408143</v>
      </c>
      <c r="R117" s="4">
        <f t="shared" si="113"/>
        <v>3.8024176742278777</v>
      </c>
      <c r="S117" s="4">
        <f t="shared" si="113"/>
        <v>3.9362067521730828</v>
      </c>
      <c r="T117" s="4">
        <f t="shared" si="113"/>
        <v>3.9362085321730831</v>
      </c>
      <c r="U117" s="4">
        <f t="shared" si="113"/>
        <v>3.8212760943723696</v>
      </c>
      <c r="V117" s="4">
        <f t="shared" si="113"/>
        <v>3.9734602275230535</v>
      </c>
      <c r="W117" s="4">
        <f t="shared" si="113"/>
        <v>3.8654261019066158</v>
      </c>
      <c r="X117" s="4">
        <f t="shared" si="113"/>
        <v>3.9650209604738875</v>
      </c>
      <c r="Y117" s="89">
        <f t="shared" si="113"/>
        <v>46.305676557961284</v>
      </c>
      <c r="Z117" s="4">
        <f t="shared" ref="Z117:AL117" si="114">SUM(Z115:Z116)</f>
        <v>3.9097754603369017</v>
      </c>
      <c r="AA117" s="4">
        <f t="shared" si="114"/>
        <v>3.6642238723916956</v>
      </c>
      <c r="AB117" s="4">
        <f t="shared" si="114"/>
        <v>3.9823145892786194</v>
      </c>
      <c r="AC117" s="4">
        <f t="shared" si="114"/>
        <v>3.8982678284567012</v>
      </c>
      <c r="AD117" s="4">
        <f t="shared" si="114"/>
        <v>4.0079655861279342</v>
      </c>
      <c r="AE117" s="4">
        <f t="shared" si="114"/>
        <v>3.8807800374799095</v>
      </c>
      <c r="AF117" s="4">
        <f t="shared" si="114"/>
        <v>4.0073893833703202</v>
      </c>
      <c r="AG117" s="4">
        <f t="shared" si="114"/>
        <v>4.0073912733703203</v>
      </c>
      <c r="AH117" s="4">
        <f t="shared" si="114"/>
        <v>3.8897148599820222</v>
      </c>
      <c r="AI117" s="4">
        <f t="shared" si="114"/>
        <v>4.0110692558724326</v>
      </c>
      <c r="AJ117" s="4">
        <f t="shared" si="114"/>
        <v>3.9016498424477755</v>
      </c>
      <c r="AK117" s="4">
        <f t="shared" si="114"/>
        <v>4.0023426518211815</v>
      </c>
      <c r="AL117" s="89">
        <f t="shared" si="114"/>
        <v>47.162884640935815</v>
      </c>
      <c r="AM117" s="4">
        <f t="shared" ref="AM117:AW117" si="115">SUM(AM115:AM116)</f>
        <v>47.086316568922427</v>
      </c>
      <c r="AN117" s="4">
        <f t="shared" si="115"/>
        <v>46.728476173825342</v>
      </c>
      <c r="AO117" s="4">
        <f t="shared" si="115"/>
        <v>46.187527526229218</v>
      </c>
      <c r="AP117" s="4">
        <f t="shared" si="115"/>
        <v>45.672031402321018</v>
      </c>
      <c r="AQ117" s="4">
        <f t="shared" si="115"/>
        <v>45.079611382012061</v>
      </c>
      <c r="AR117" s="4">
        <f t="shared" si="115"/>
        <v>42.852504259480142</v>
      </c>
      <c r="AS117" s="4">
        <f t="shared" si="115"/>
        <v>40.200945414741241</v>
      </c>
      <c r="AT117" s="4">
        <f t="shared" si="115"/>
        <v>38.506243554889551</v>
      </c>
      <c r="AU117" s="4">
        <f t="shared" si="115"/>
        <v>37.78500426261197</v>
      </c>
      <c r="AV117" s="4">
        <f t="shared" si="115"/>
        <v>49.247819955978557</v>
      </c>
      <c r="AW117" s="4">
        <f t="shared" si="115"/>
        <v>47.555071233125901</v>
      </c>
      <c r="AX117" s="837"/>
      <c r="AY117" s="837"/>
    </row>
    <row r="118" spans="1:51">
      <c r="A118" s="1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89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89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837"/>
      <c r="AY118" s="837"/>
    </row>
    <row r="119" spans="1:51">
      <c r="A119" s="1"/>
      <c r="B119" t="s">
        <v>173</v>
      </c>
      <c r="M119" s="4">
        <f t="shared" ref="M119:Y119" si="116">M113/M117</f>
        <v>1.5386015511040687</v>
      </c>
      <c r="N119" s="4">
        <f t="shared" si="116"/>
        <v>1.03017600399065</v>
      </c>
      <c r="O119" s="4">
        <f t="shared" si="116"/>
        <v>0.64335747291256873</v>
      </c>
      <c r="P119" s="4">
        <f t="shared" si="116"/>
        <v>-0.35498084550551862</v>
      </c>
      <c r="Q119" s="4">
        <f t="shared" si="116"/>
        <v>-0.95638602452864518</v>
      </c>
      <c r="R119" s="4">
        <f t="shared" si="116"/>
        <v>0.75448615119505125</v>
      </c>
      <c r="S119" s="4">
        <f t="shared" si="116"/>
        <v>1.2315302087651965</v>
      </c>
      <c r="T119" s="4">
        <f t="shared" si="116"/>
        <v>1.529485680305452</v>
      </c>
      <c r="U119" s="4">
        <f t="shared" si="116"/>
        <v>0.75954320634241679</v>
      </c>
      <c r="V119" s="4">
        <f t="shared" si="116"/>
        <v>0.17011611154083778</v>
      </c>
      <c r="W119" s="4">
        <f t="shared" si="116"/>
        <v>0.89919103719118132</v>
      </c>
      <c r="X119" s="4">
        <f t="shared" si="116"/>
        <v>1.7981682475984251</v>
      </c>
      <c r="Y119" s="89">
        <f t="shared" si="116"/>
        <v>0.7507419784246725</v>
      </c>
      <c r="Z119" s="4">
        <f t="shared" ref="Z119:AW119" si="117">Z113/Z117</f>
        <v>2.1144410082182072</v>
      </c>
      <c r="AA119" s="4">
        <f t="shared" si="117"/>
        <v>1.771608157386958</v>
      </c>
      <c r="AB119" s="4">
        <f t="shared" si="117"/>
        <v>0.96147288272412368</v>
      </c>
      <c r="AC119" s="4">
        <f t="shared" si="117"/>
        <v>-0.90386830382418826</v>
      </c>
      <c r="AD119" s="4">
        <f t="shared" si="117"/>
        <v>-0.25176882404454343</v>
      </c>
      <c r="AE119" s="4">
        <f t="shared" si="117"/>
        <v>1.2931113508226197</v>
      </c>
      <c r="AF119" s="4">
        <f t="shared" si="117"/>
        <v>1.7305267879659276</v>
      </c>
      <c r="AG119" s="4">
        <f t="shared" si="117"/>
        <v>1.7010116068151364</v>
      </c>
      <c r="AH119" s="4">
        <f t="shared" si="117"/>
        <v>0.95213089475661028</v>
      </c>
      <c r="AI119" s="4">
        <f t="shared" si="117"/>
        <v>0.35811331172434496</v>
      </c>
      <c r="AJ119" s="4">
        <f t="shared" si="117"/>
        <v>1.0817123908989659</v>
      </c>
      <c r="AK119" s="4">
        <f t="shared" si="117"/>
        <v>1.7535254499943573</v>
      </c>
      <c r="AL119" s="89">
        <f t="shared" si="117"/>
        <v>1.0432620257752503</v>
      </c>
      <c r="AM119" s="4">
        <f t="shared" si="117"/>
        <v>1.0813642270940222</v>
      </c>
      <c r="AN119" s="4">
        <f t="shared" si="117"/>
        <v>0.93891602848483147</v>
      </c>
      <c r="AO119" s="4">
        <f t="shared" si="117"/>
        <v>0.89673678663065348</v>
      </c>
      <c r="AP119" s="4">
        <f t="shared" si="117"/>
        <v>0.86749974507819239</v>
      </c>
      <c r="AQ119" s="4">
        <f t="shared" si="117"/>
        <v>1.2866406279022955</v>
      </c>
      <c r="AR119" s="4">
        <f t="shared" si="117"/>
        <v>2.5855983292373605</v>
      </c>
      <c r="AS119" s="4">
        <f t="shared" si="117"/>
        <v>3.3164006956139516</v>
      </c>
      <c r="AT119" s="4">
        <f t="shared" si="117"/>
        <v>3.5060593337600956</v>
      </c>
      <c r="AU119" s="4">
        <f t="shared" si="117"/>
        <v>3.0150209778607358</v>
      </c>
      <c r="AV119" s="4">
        <f t="shared" si="117"/>
        <v>2.2401158292737953</v>
      </c>
      <c r="AW119" s="4">
        <f t="shared" si="117"/>
        <v>1.9986916747875219</v>
      </c>
      <c r="AX119" s="837"/>
      <c r="AY119" s="837"/>
    </row>
    <row r="120" spans="1:51">
      <c r="A120" s="1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89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89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837"/>
      <c r="AY120" s="837"/>
    </row>
    <row r="121" spans="1:51">
      <c r="A121" s="1"/>
      <c r="B121" t="s">
        <v>180</v>
      </c>
      <c r="D121" s="62"/>
      <c r="E121" s="62"/>
      <c r="F121" s="62"/>
      <c r="G121" s="62"/>
      <c r="H121" s="62"/>
      <c r="I121" s="62"/>
      <c r="J121" s="62"/>
      <c r="K121" s="62"/>
      <c r="L121" s="189"/>
      <c r="M121" s="347">
        <v>1.24</v>
      </c>
      <c r="N121" s="347">
        <v>1.24</v>
      </c>
      <c r="O121" s="347">
        <v>1.24</v>
      </c>
      <c r="P121" s="347">
        <v>1.24</v>
      </c>
      <c r="Q121" s="347">
        <v>1.24</v>
      </c>
      <c r="R121" s="347">
        <v>1.24</v>
      </c>
      <c r="S121" s="347">
        <v>1.24</v>
      </c>
      <c r="T121" s="347">
        <v>1.24</v>
      </c>
      <c r="U121" s="347">
        <v>1.24</v>
      </c>
      <c r="V121" s="347">
        <v>1.24</v>
      </c>
      <c r="W121" s="347">
        <v>1.24</v>
      </c>
      <c r="X121" s="347">
        <v>1.24</v>
      </c>
      <c r="Y121" s="460">
        <v>1.24</v>
      </c>
      <c r="Z121" s="347">
        <v>1.24</v>
      </c>
      <c r="AA121" s="347">
        <v>1.24</v>
      </c>
      <c r="AB121" s="347">
        <v>1.24</v>
      </c>
      <c r="AC121" s="347">
        <v>1.24</v>
      </c>
      <c r="AD121" s="347">
        <v>1.24</v>
      </c>
      <c r="AE121" s="347">
        <v>1.24</v>
      </c>
      <c r="AF121" s="347">
        <v>1.24</v>
      </c>
      <c r="AG121" s="347">
        <v>1.24</v>
      </c>
      <c r="AH121" s="347">
        <v>1.24</v>
      </c>
      <c r="AI121" s="347">
        <v>1.24</v>
      </c>
      <c r="AJ121" s="347">
        <v>1.24</v>
      </c>
      <c r="AK121" s="347">
        <v>1.24</v>
      </c>
      <c r="AL121" s="460">
        <v>1.24</v>
      </c>
      <c r="AM121" s="347">
        <v>1.24</v>
      </c>
      <c r="AN121" s="347">
        <v>1.24</v>
      </c>
      <c r="AO121" s="347">
        <v>1.24</v>
      </c>
      <c r="AP121" s="347">
        <v>1.24</v>
      </c>
      <c r="AQ121" s="347">
        <v>1.24</v>
      </c>
      <c r="AR121" s="347">
        <v>1.24</v>
      </c>
      <c r="AS121" s="347">
        <v>1.24</v>
      </c>
      <c r="AT121" s="347">
        <v>1.24</v>
      </c>
      <c r="AU121" s="347">
        <v>1.24</v>
      </c>
      <c r="AV121" s="347">
        <v>1.24</v>
      </c>
      <c r="AW121" s="347">
        <v>1.24</v>
      </c>
      <c r="AX121" s="937"/>
      <c r="AY121" s="937"/>
    </row>
    <row r="122" spans="1:51">
      <c r="A122" s="1"/>
      <c r="D122" s="4"/>
      <c r="E122" s="4"/>
      <c r="F122" s="4"/>
      <c r="G122" s="4"/>
      <c r="H122" s="4"/>
      <c r="I122" s="4"/>
      <c r="J122" s="4"/>
      <c r="K122" s="4"/>
      <c r="L122" s="89"/>
      <c r="M122" s="4">
        <f t="shared" ref="M122:Y122" si="118">(M121-M119)*M117</f>
        <v>-1.13521712750007</v>
      </c>
      <c r="N122" s="4">
        <f t="shared" si="118"/>
        <v>0.73320794594628191</v>
      </c>
      <c r="O122" s="4">
        <f t="shared" si="118"/>
        <v>2.3440785095533032</v>
      </c>
      <c r="P122" s="4">
        <f t="shared" si="118"/>
        <v>6.1193970573649681</v>
      </c>
      <c r="Q122" s="4">
        <f t="shared" si="118"/>
        <v>8.6626458323756932</v>
      </c>
      <c r="R122" s="4">
        <f t="shared" si="118"/>
        <v>1.8461264397783386</v>
      </c>
      <c r="S122" s="4">
        <f t="shared" si="118"/>
        <v>3.3338849447929989E-2</v>
      </c>
      <c r="T122" s="4">
        <f t="shared" si="118"/>
        <v>-1.1394760047602495</v>
      </c>
      <c r="U122" s="4">
        <f t="shared" si="118"/>
        <v>1.8359580599825209</v>
      </c>
      <c r="V122" s="4">
        <f t="shared" si="118"/>
        <v>4.2511410788601918</v>
      </c>
      <c r="W122" s="4">
        <f t="shared" si="118"/>
        <v>1.3173718606049287</v>
      </c>
      <c r="X122" s="4">
        <f t="shared" si="118"/>
        <v>-2.2131488011987339</v>
      </c>
      <c r="Y122" s="89">
        <f t="shared" si="118"/>
        <v>22.65542370045516</v>
      </c>
      <c r="Z122" s="4">
        <f t="shared" ref="Z122:AL122" si="119">(Z121-Z119)*Z117</f>
        <v>-3.4188679954438057</v>
      </c>
      <c r="AA122" s="4">
        <f t="shared" si="119"/>
        <v>-1.9479313010554531</v>
      </c>
      <c r="AB122" s="4">
        <f t="shared" si="119"/>
        <v>1.1091826026374392</v>
      </c>
      <c r="AC122" s="4">
        <f t="shared" si="119"/>
        <v>8.3573728372458707</v>
      </c>
      <c r="AD122" s="4">
        <f t="shared" si="119"/>
        <v>5.978958109229068</v>
      </c>
      <c r="AE122" s="4">
        <f t="shared" si="119"/>
        <v>-0.20611347003601491</v>
      </c>
      <c r="AF122" s="4">
        <f t="shared" si="119"/>
        <v>-1.9657318423534025</v>
      </c>
      <c r="AG122" s="4">
        <f t="shared" si="119"/>
        <v>-1.847453890073407</v>
      </c>
      <c r="AH122" s="4">
        <f t="shared" si="119"/>
        <v>1.1197287363949415</v>
      </c>
      <c r="AI122" s="4">
        <f t="shared" si="119"/>
        <v>3.5373085825056356</v>
      </c>
      <c r="AJ122" s="4">
        <f t="shared" si="119"/>
        <v>0.6175828251104849</v>
      </c>
      <c r="AK122" s="4">
        <f t="shared" si="119"/>
        <v>-2.0553048113080816</v>
      </c>
      <c r="AL122" s="89">
        <f t="shared" si="119"/>
        <v>9.2787303828532739</v>
      </c>
      <c r="AM122" s="4">
        <f t="shared" ref="AM122:AW122" si="120">(AM121-AM119)*AM117</f>
        <v>7.4695742222065551</v>
      </c>
      <c r="AN122" s="4">
        <f t="shared" si="120"/>
        <v>14.06919518926726</v>
      </c>
      <c r="AO122" s="4">
        <f t="shared" si="120"/>
        <v>15.854479116238585</v>
      </c>
      <c r="AP122" s="4">
        <f t="shared" si="120"/>
        <v>17.012843340161382</v>
      </c>
      <c r="AQ122" s="4">
        <f t="shared" si="120"/>
        <v>-2.10254138044851</v>
      </c>
      <c r="AR122" s="4">
        <f t="shared" si="120"/>
        <v>-57.662258135193355</v>
      </c>
      <c r="AS122" s="4">
        <f t="shared" si="120"/>
        <v>-83.473271023507223</v>
      </c>
      <c r="AT122" s="4">
        <f t="shared" si="120"/>
        <v>-87.257432615596983</v>
      </c>
      <c r="AU122" s="4">
        <f t="shared" si="120"/>
        <v>-67.069175214693573</v>
      </c>
      <c r="AV122" s="4">
        <f t="shared" si="120"/>
        <v>-49.253524295200059</v>
      </c>
      <c r="AW122" s="4">
        <f t="shared" si="120"/>
        <v>-36.07963663850019</v>
      </c>
      <c r="AX122" s="837"/>
      <c r="AY122" s="837"/>
    </row>
    <row r="123" spans="1:51">
      <c r="A123" s="1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89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89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837"/>
      <c r="AY123" s="837"/>
    </row>
    <row r="124" spans="1:51" s="165" customFormat="1">
      <c r="A124" s="168"/>
      <c r="B124" s="361" t="s">
        <v>182</v>
      </c>
      <c r="L124" s="88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89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89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934"/>
      <c r="AY124" s="934"/>
    </row>
    <row r="125" spans="1:51" s="165" customFormat="1">
      <c r="A125" s="168"/>
      <c r="B125" s="200" t="s">
        <v>183</v>
      </c>
      <c r="D125" s="202"/>
      <c r="E125" s="202"/>
      <c r="F125" s="202"/>
      <c r="G125" s="202"/>
      <c r="H125" s="202"/>
      <c r="I125" s="202"/>
      <c r="J125" s="202"/>
      <c r="K125" s="202"/>
      <c r="L125" s="205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89">
        <f>IF(Y122&lt;0,-Y122,0)</f>
        <v>0</v>
      </c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89">
        <f>IF(AL122&lt;0,-AL122,0)</f>
        <v>0</v>
      </c>
      <c r="AM125" s="191">
        <f>IF(AM122&lt;0,-AM122,0)</f>
        <v>0</v>
      </c>
      <c r="AN125" s="191">
        <f t="shared" ref="AN125:AW125" si="121">IF(AN122&lt;0,-AN122,0)</f>
        <v>0</v>
      </c>
      <c r="AO125" s="191">
        <f t="shared" si="121"/>
        <v>0</v>
      </c>
      <c r="AP125" s="191">
        <f t="shared" si="121"/>
        <v>0</v>
      </c>
      <c r="AQ125" s="191">
        <f t="shared" si="121"/>
        <v>2.10254138044851</v>
      </c>
      <c r="AR125" s="191">
        <f t="shared" si="121"/>
        <v>57.662258135193355</v>
      </c>
      <c r="AS125" s="191">
        <f t="shared" si="121"/>
        <v>83.473271023507223</v>
      </c>
      <c r="AT125" s="191">
        <f t="shared" si="121"/>
        <v>87.257432615596983</v>
      </c>
      <c r="AU125" s="191">
        <f t="shared" si="121"/>
        <v>67.069175214693573</v>
      </c>
      <c r="AV125" s="191">
        <f t="shared" si="121"/>
        <v>49.253524295200059</v>
      </c>
      <c r="AW125" s="191">
        <f t="shared" si="121"/>
        <v>36.07963663850019</v>
      </c>
      <c r="AX125" s="934"/>
      <c r="AY125" s="934"/>
    </row>
    <row r="126" spans="1:51" s="165" customFormat="1">
      <c r="A126" s="168"/>
      <c r="B126" s="165" t="s">
        <v>184</v>
      </c>
      <c r="D126" s="362"/>
      <c r="E126" s="362"/>
      <c r="F126" s="362"/>
      <c r="G126" s="362"/>
      <c r="H126" s="362"/>
      <c r="I126" s="362"/>
      <c r="J126" s="362"/>
      <c r="K126" s="362"/>
      <c r="L126" s="218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89">
        <f>Y12-Y11</f>
        <v>9.173398882199999</v>
      </c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89">
        <f t="shared" ref="AL126:AW126" si="122">AL12-AL11</f>
        <v>6.5516990789999987</v>
      </c>
      <c r="AM126" s="191">
        <f t="shared" si="122"/>
        <v>6.5825610789999995</v>
      </c>
      <c r="AN126" s="191">
        <f t="shared" si="122"/>
        <v>6.6314053381999987</v>
      </c>
      <c r="AO126" s="191">
        <f t="shared" si="122"/>
        <v>6.6594406803638897</v>
      </c>
      <c r="AP126" s="191">
        <f t="shared" si="122"/>
        <v>6.686921571605648</v>
      </c>
      <c r="AQ126" s="191">
        <f t="shared" si="122"/>
        <v>6.7143084552574788</v>
      </c>
      <c r="AR126" s="191">
        <f t="shared" si="122"/>
        <v>6.7575741531199567</v>
      </c>
      <c r="AS126" s="191">
        <f t="shared" si="122"/>
        <v>6.7836708799380663</v>
      </c>
      <c r="AT126" s="191">
        <f t="shared" si="122"/>
        <v>6.8199726203719573</v>
      </c>
      <c r="AU126" s="191">
        <f t="shared" si="122"/>
        <v>6.8570411095730472</v>
      </c>
      <c r="AV126" s="191">
        <f t="shared" si="122"/>
        <v>6.9041432276342913</v>
      </c>
      <c r="AW126" s="191">
        <f t="shared" si="122"/>
        <v>6.9328053836090975</v>
      </c>
      <c r="AX126" s="934"/>
      <c r="AY126" s="934"/>
    </row>
    <row r="127" spans="1:51" s="165" customFormat="1">
      <c r="A127" s="168"/>
      <c r="B127" s="165" t="s">
        <v>242</v>
      </c>
      <c r="D127" s="191"/>
      <c r="E127" s="191"/>
      <c r="F127" s="191"/>
      <c r="G127" s="191"/>
      <c r="H127" s="191"/>
      <c r="I127" s="191"/>
      <c r="J127" s="191"/>
      <c r="K127" s="191"/>
      <c r="L127" s="89"/>
      <c r="M127" s="191">
        <f t="shared" ref="M127:W127" si="123">N127</f>
        <v>0</v>
      </c>
      <c r="N127" s="191">
        <f t="shared" si="123"/>
        <v>0</v>
      </c>
      <c r="O127" s="191">
        <f t="shared" si="123"/>
        <v>0</v>
      </c>
      <c r="P127" s="191">
        <f t="shared" si="123"/>
        <v>0</v>
      </c>
      <c r="Q127" s="191">
        <f t="shared" si="123"/>
        <v>0</v>
      </c>
      <c r="R127" s="191">
        <f t="shared" si="123"/>
        <v>0</v>
      </c>
      <c r="S127" s="191">
        <f t="shared" si="123"/>
        <v>0</v>
      </c>
      <c r="T127" s="191">
        <f t="shared" si="123"/>
        <v>0</v>
      </c>
      <c r="U127" s="191">
        <f t="shared" si="123"/>
        <v>0</v>
      </c>
      <c r="V127" s="191">
        <f t="shared" si="123"/>
        <v>0</v>
      </c>
      <c r="W127" s="191">
        <f t="shared" si="123"/>
        <v>0</v>
      </c>
      <c r="X127" s="191">
        <f>Y127</f>
        <v>0</v>
      </c>
      <c r="Y127" s="89">
        <f>Y125/Y126</f>
        <v>0</v>
      </c>
      <c r="Z127" s="191">
        <f t="shared" ref="Z127:AJ127" si="124">AA127</f>
        <v>0</v>
      </c>
      <c r="AA127" s="191">
        <f t="shared" si="124"/>
        <v>0</v>
      </c>
      <c r="AB127" s="191">
        <f t="shared" si="124"/>
        <v>0</v>
      </c>
      <c r="AC127" s="191">
        <f t="shared" si="124"/>
        <v>0</v>
      </c>
      <c r="AD127" s="191">
        <f t="shared" si="124"/>
        <v>0</v>
      </c>
      <c r="AE127" s="191">
        <f t="shared" si="124"/>
        <v>0</v>
      </c>
      <c r="AF127" s="191">
        <f t="shared" si="124"/>
        <v>0</v>
      </c>
      <c r="AG127" s="191">
        <f t="shared" si="124"/>
        <v>0</v>
      </c>
      <c r="AH127" s="191">
        <f t="shared" si="124"/>
        <v>0</v>
      </c>
      <c r="AI127" s="191">
        <f t="shared" si="124"/>
        <v>0</v>
      </c>
      <c r="AJ127" s="191">
        <f t="shared" si="124"/>
        <v>0</v>
      </c>
      <c r="AK127" s="191">
        <f>AL127</f>
        <v>0</v>
      </c>
      <c r="AL127" s="89">
        <f>AL125/AL126</f>
        <v>0</v>
      </c>
      <c r="AM127" s="191">
        <f t="shared" ref="AM127:AW127" si="125">AM125/AM126</f>
        <v>0</v>
      </c>
      <c r="AN127" s="191">
        <f t="shared" si="125"/>
        <v>0</v>
      </c>
      <c r="AO127" s="191">
        <f t="shared" si="125"/>
        <v>0</v>
      </c>
      <c r="AP127" s="191">
        <f t="shared" si="125"/>
        <v>0</v>
      </c>
      <c r="AQ127" s="191">
        <f t="shared" si="125"/>
        <v>0.31314340031580845</v>
      </c>
      <c r="AR127" s="191">
        <f t="shared" si="125"/>
        <v>8.5329819294059579</v>
      </c>
      <c r="AS127" s="191">
        <f t="shared" si="125"/>
        <v>12.305029607254372</v>
      </c>
      <c r="AT127" s="191">
        <f t="shared" si="125"/>
        <v>12.794396322787293</v>
      </c>
      <c r="AU127" s="191">
        <f t="shared" si="125"/>
        <v>9.7810665187727928</v>
      </c>
      <c r="AV127" s="191">
        <f t="shared" si="125"/>
        <v>7.1339082448434095</v>
      </c>
      <c r="AW127" s="191">
        <f t="shared" si="125"/>
        <v>5.204190027287015</v>
      </c>
      <c r="AX127" s="934"/>
      <c r="AY127" s="934"/>
    </row>
    <row r="128" spans="1:51" s="165" customFormat="1">
      <c r="A128" s="168"/>
      <c r="B128" s="165" t="s">
        <v>245</v>
      </c>
      <c r="D128" s="191"/>
      <c r="E128" s="191"/>
      <c r="F128" s="191"/>
      <c r="G128" s="191"/>
      <c r="H128" s="191"/>
      <c r="I128" s="191"/>
      <c r="J128" s="191"/>
      <c r="K128" s="191"/>
      <c r="L128" s="89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89">
        <f>(Y33)*Y7</f>
        <v>135.42968981874037</v>
      </c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89">
        <f t="shared" ref="AL128:AW128" si="126">(AL33)*AL7</f>
        <v>164.09460572695542</v>
      </c>
      <c r="AM128" s="191">
        <f t="shared" si="126"/>
        <v>166.09645101256987</v>
      </c>
      <c r="AN128" s="191">
        <f t="shared" si="126"/>
        <v>168.67012341282185</v>
      </c>
      <c r="AO128" s="191">
        <f t="shared" si="126"/>
        <v>171.07123699424378</v>
      </c>
      <c r="AP128" s="191">
        <f t="shared" si="126"/>
        <v>172.85731642989398</v>
      </c>
      <c r="AQ128" s="191">
        <f t="shared" si="126"/>
        <v>174.63763703854048</v>
      </c>
      <c r="AR128" s="191">
        <f t="shared" si="126"/>
        <v>176.85266988189318</v>
      </c>
      <c r="AS128" s="191">
        <f t="shared" si="126"/>
        <v>179.12891066231691</v>
      </c>
      <c r="AT128" s="191">
        <f t="shared" si="126"/>
        <v>181.47910575421776</v>
      </c>
      <c r="AU128" s="191">
        <f t="shared" si="126"/>
        <v>183.87877858440379</v>
      </c>
      <c r="AV128" s="191">
        <f t="shared" si="126"/>
        <v>186.34107578934274</v>
      </c>
      <c r="AW128" s="191">
        <f t="shared" si="126"/>
        <v>188.78266246335903</v>
      </c>
      <c r="AX128" s="934"/>
      <c r="AY128" s="934"/>
    </row>
    <row r="129" spans="1:51" s="165" customFormat="1">
      <c r="A129" s="168"/>
      <c r="B129" s="165" t="s">
        <v>247</v>
      </c>
      <c r="D129" s="191"/>
      <c r="E129" s="191"/>
      <c r="F129" s="191"/>
      <c r="G129" s="191"/>
      <c r="H129" s="191"/>
      <c r="I129" s="191"/>
      <c r="J129" s="191"/>
      <c r="K129" s="191"/>
      <c r="L129" s="89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89">
        <f>(Y53)*Y8</f>
        <v>43.702278485325579</v>
      </c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89">
        <f t="shared" ref="AL129:AW129" si="127">(AL53)*AL8</f>
        <v>49.09267191</v>
      </c>
      <c r="AM129" s="191">
        <f t="shared" si="127"/>
        <v>49.092671910000007</v>
      </c>
      <c r="AN129" s="191">
        <f t="shared" si="127"/>
        <v>49.104908886000004</v>
      </c>
      <c r="AO129" s="191">
        <f t="shared" si="127"/>
        <v>49.092671910000007</v>
      </c>
      <c r="AP129" s="191">
        <f t="shared" si="127"/>
        <v>49.092671910000007</v>
      </c>
      <c r="AQ129" s="191">
        <f t="shared" si="127"/>
        <v>49.092671910000007</v>
      </c>
      <c r="AR129" s="191">
        <f t="shared" si="127"/>
        <v>49.104908886000004</v>
      </c>
      <c r="AS129" s="191">
        <f t="shared" si="127"/>
        <v>49.092671910000007</v>
      </c>
      <c r="AT129" s="191">
        <f t="shared" si="127"/>
        <v>49.092671910000007</v>
      </c>
      <c r="AU129" s="191">
        <f t="shared" si="127"/>
        <v>49.092671910000007</v>
      </c>
      <c r="AV129" s="191">
        <f t="shared" si="127"/>
        <v>49.104908886000004</v>
      </c>
      <c r="AW129" s="191">
        <f t="shared" si="127"/>
        <v>49.092671910000007</v>
      </c>
      <c r="AX129" s="934"/>
      <c r="AY129" s="934"/>
    </row>
    <row r="130" spans="1:51" s="165" customFormat="1">
      <c r="A130" s="168"/>
      <c r="B130" s="165" t="s">
        <v>243</v>
      </c>
      <c r="D130" s="362"/>
      <c r="E130" s="362"/>
      <c r="F130" s="362"/>
      <c r="G130" s="362"/>
      <c r="H130" s="362"/>
      <c r="I130" s="362"/>
      <c r="J130" s="362"/>
      <c r="K130" s="362"/>
      <c r="L130" s="218"/>
      <c r="M130" s="191">
        <f t="shared" ref="M130:W130" si="128">N130</f>
        <v>0</v>
      </c>
      <c r="N130" s="191">
        <f t="shared" si="128"/>
        <v>0</v>
      </c>
      <c r="O130" s="191">
        <f t="shared" si="128"/>
        <v>0</v>
      </c>
      <c r="P130" s="191">
        <f t="shared" si="128"/>
        <v>0</v>
      </c>
      <c r="Q130" s="191">
        <f t="shared" si="128"/>
        <v>0</v>
      </c>
      <c r="R130" s="191">
        <f t="shared" si="128"/>
        <v>0</v>
      </c>
      <c r="S130" s="191">
        <f t="shared" si="128"/>
        <v>0</v>
      </c>
      <c r="T130" s="191">
        <f t="shared" si="128"/>
        <v>0</v>
      </c>
      <c r="U130" s="191">
        <f t="shared" si="128"/>
        <v>0</v>
      </c>
      <c r="V130" s="191">
        <f t="shared" si="128"/>
        <v>0</v>
      </c>
      <c r="W130" s="191">
        <f t="shared" si="128"/>
        <v>0</v>
      </c>
      <c r="X130" s="191">
        <f>Y130</f>
        <v>0</v>
      </c>
      <c r="Y130" s="89">
        <f>Y125*(Y7+Y8)/Y126*Y128/(Y128+Y129)/Y7</f>
        <v>0</v>
      </c>
      <c r="Z130" s="191">
        <f t="shared" ref="Z130:AJ130" si="129">AA130</f>
        <v>0</v>
      </c>
      <c r="AA130" s="191">
        <f t="shared" si="129"/>
        <v>0</v>
      </c>
      <c r="AB130" s="191">
        <f t="shared" si="129"/>
        <v>0</v>
      </c>
      <c r="AC130" s="191">
        <f t="shared" si="129"/>
        <v>0</v>
      </c>
      <c r="AD130" s="191">
        <f t="shared" si="129"/>
        <v>0</v>
      </c>
      <c r="AE130" s="191">
        <f t="shared" si="129"/>
        <v>0</v>
      </c>
      <c r="AF130" s="191">
        <f t="shared" si="129"/>
        <v>0</v>
      </c>
      <c r="AG130" s="191">
        <f t="shared" si="129"/>
        <v>0</v>
      </c>
      <c r="AH130" s="191">
        <f t="shared" si="129"/>
        <v>0</v>
      </c>
      <c r="AI130" s="191">
        <f t="shared" si="129"/>
        <v>0</v>
      </c>
      <c r="AJ130" s="191">
        <f t="shared" si="129"/>
        <v>0</v>
      </c>
      <c r="AK130" s="191">
        <f>AL130</f>
        <v>0</v>
      </c>
      <c r="AL130" s="89">
        <f t="shared" ref="AL130:AW130" si="130">AL125*(AL7+AL8)/AL126*AL128/(AL128+AL129)/AL7</f>
        <v>0</v>
      </c>
      <c r="AM130" s="191">
        <f t="shared" si="130"/>
        <v>0</v>
      </c>
      <c r="AN130" s="191">
        <f t="shared" si="130"/>
        <v>0</v>
      </c>
      <c r="AO130" s="191">
        <f t="shared" si="130"/>
        <v>0</v>
      </c>
      <c r="AP130" s="191">
        <f t="shared" si="130"/>
        <v>0</v>
      </c>
      <c r="AQ130" s="191">
        <f t="shared" si="130"/>
        <v>0.3327625152637439</v>
      </c>
      <c r="AR130" s="191">
        <f t="shared" si="130"/>
        <v>9.0619164144189952</v>
      </c>
      <c r="AS130" s="191">
        <f t="shared" si="130"/>
        <v>13.057998330283063</v>
      </c>
      <c r="AT130" s="191">
        <f t="shared" si="130"/>
        <v>13.567875291498778</v>
      </c>
      <c r="AU130" s="191">
        <f t="shared" si="130"/>
        <v>10.36518903330656</v>
      </c>
      <c r="AV130" s="191">
        <f t="shared" si="130"/>
        <v>7.5551275024524882</v>
      </c>
      <c r="AW130" s="191">
        <f t="shared" si="130"/>
        <v>5.5074485855882385</v>
      </c>
      <c r="AX130" s="934"/>
      <c r="AY130" s="934"/>
    </row>
    <row r="131" spans="1:51" s="165" customFormat="1">
      <c r="A131" s="168"/>
      <c r="B131" s="165" t="s">
        <v>244</v>
      </c>
      <c r="D131" s="362"/>
      <c r="E131" s="362"/>
      <c r="F131" s="362"/>
      <c r="G131" s="362"/>
      <c r="H131" s="362"/>
      <c r="I131" s="362"/>
      <c r="J131" s="362"/>
      <c r="K131" s="362"/>
      <c r="L131" s="218"/>
      <c r="M131" s="191">
        <f t="shared" ref="M131:W131" si="131">N131</f>
        <v>0</v>
      </c>
      <c r="N131" s="191">
        <f t="shared" si="131"/>
        <v>0</v>
      </c>
      <c r="O131" s="191">
        <f t="shared" si="131"/>
        <v>0</v>
      </c>
      <c r="P131" s="191">
        <f t="shared" si="131"/>
        <v>0</v>
      </c>
      <c r="Q131" s="191">
        <f t="shared" si="131"/>
        <v>0</v>
      </c>
      <c r="R131" s="191">
        <f t="shared" si="131"/>
        <v>0</v>
      </c>
      <c r="S131" s="191">
        <f t="shared" si="131"/>
        <v>0</v>
      </c>
      <c r="T131" s="191">
        <f t="shared" si="131"/>
        <v>0</v>
      </c>
      <c r="U131" s="191">
        <f t="shared" si="131"/>
        <v>0</v>
      </c>
      <c r="V131" s="191">
        <f t="shared" si="131"/>
        <v>0</v>
      </c>
      <c r="W131" s="191">
        <f t="shared" si="131"/>
        <v>0</v>
      </c>
      <c r="X131" s="191">
        <f>Y131</f>
        <v>0</v>
      </c>
      <c r="Y131" s="89">
        <f>Y125*(Y7+Y8)/Y126*Y129/(Y129+Y128)/Y8</f>
        <v>0</v>
      </c>
      <c r="Z131" s="191">
        <f t="shared" ref="Z131:AJ131" si="132">AA131</f>
        <v>0</v>
      </c>
      <c r="AA131" s="191">
        <f t="shared" si="132"/>
        <v>0</v>
      </c>
      <c r="AB131" s="191">
        <f t="shared" si="132"/>
        <v>0</v>
      </c>
      <c r="AC131" s="191">
        <f t="shared" si="132"/>
        <v>0</v>
      </c>
      <c r="AD131" s="191">
        <f t="shared" si="132"/>
        <v>0</v>
      </c>
      <c r="AE131" s="191">
        <f t="shared" si="132"/>
        <v>0</v>
      </c>
      <c r="AF131" s="191">
        <f t="shared" si="132"/>
        <v>0</v>
      </c>
      <c r="AG131" s="191">
        <f t="shared" si="132"/>
        <v>0</v>
      </c>
      <c r="AH131" s="191">
        <f t="shared" si="132"/>
        <v>0</v>
      </c>
      <c r="AI131" s="191">
        <f t="shared" si="132"/>
        <v>0</v>
      </c>
      <c r="AJ131" s="191">
        <f t="shared" si="132"/>
        <v>0</v>
      </c>
      <c r="AK131" s="191">
        <f>AL131</f>
        <v>0</v>
      </c>
      <c r="AL131" s="89">
        <f t="shared" ref="AL131:AW131" si="133">AL125*(AL7+AL8)/AL126*AL129/(AL129+AL128)/AL8</f>
        <v>0</v>
      </c>
      <c r="AM131" s="191">
        <f t="shared" si="133"/>
        <v>0</v>
      </c>
      <c r="AN131" s="191">
        <f t="shared" si="133"/>
        <v>0</v>
      </c>
      <c r="AO131" s="191">
        <f t="shared" si="133"/>
        <v>0</v>
      </c>
      <c r="AP131" s="191">
        <f t="shared" si="133"/>
        <v>0</v>
      </c>
      <c r="AQ131" s="191">
        <f t="shared" si="133"/>
        <v>0.25885337728800034</v>
      </c>
      <c r="AR131" s="191">
        <f t="shared" si="133"/>
        <v>7.0507847055182165</v>
      </c>
      <c r="AS131" s="191">
        <f t="shared" si="133"/>
        <v>10.166070586976545</v>
      </c>
      <c r="AT131" s="191">
        <f t="shared" si="133"/>
        <v>10.567420015003524</v>
      </c>
      <c r="AU131" s="191">
        <f t="shared" si="133"/>
        <v>8.0763350198889423</v>
      </c>
      <c r="AV131" s="191">
        <f t="shared" si="133"/>
        <v>5.8881613543974503</v>
      </c>
      <c r="AW131" s="191">
        <f t="shared" si="133"/>
        <v>4.2947986022387754</v>
      </c>
      <c r="AX131" s="934"/>
      <c r="AY131" s="934"/>
    </row>
    <row r="132" spans="1:51" s="165" customFormat="1">
      <c r="A132" s="168"/>
      <c r="L132" s="88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89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89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934"/>
      <c r="AY132" s="934"/>
    </row>
    <row r="133" spans="1:51" s="165" customFormat="1">
      <c r="A133" s="168"/>
      <c r="B133" s="165" t="s">
        <v>185</v>
      </c>
      <c r="L133" s="88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89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89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934"/>
      <c r="AY133" s="934"/>
    </row>
    <row r="134" spans="1:51" s="165" customFormat="1">
      <c r="A134" s="168"/>
      <c r="B134" s="200" t="s">
        <v>186</v>
      </c>
      <c r="D134" s="191"/>
      <c r="E134" s="191"/>
      <c r="F134" s="191"/>
      <c r="G134" s="191"/>
      <c r="H134" s="191"/>
      <c r="I134" s="191"/>
      <c r="J134" s="191"/>
      <c r="K134" s="191"/>
      <c r="L134" s="89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89">
        <f>IF(Y122&gt;0,Y122,0)</f>
        <v>22.65542370045516</v>
      </c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89">
        <f>IF(AL122&gt;0,AL122,0)</f>
        <v>9.2787303828532739</v>
      </c>
      <c r="AM134" s="191">
        <f>IF(AM122&gt;0,AM122,0)</f>
        <v>7.4695742222065551</v>
      </c>
      <c r="AN134" s="191">
        <f t="shared" ref="AN134:AW134" si="134">IF(AN122&gt;0,AN122,0)</f>
        <v>14.06919518926726</v>
      </c>
      <c r="AO134" s="191">
        <f t="shared" si="134"/>
        <v>15.854479116238585</v>
      </c>
      <c r="AP134" s="191">
        <f t="shared" si="134"/>
        <v>17.012843340161382</v>
      </c>
      <c r="AQ134" s="191">
        <f t="shared" si="134"/>
        <v>0</v>
      </c>
      <c r="AR134" s="191">
        <f t="shared" si="134"/>
        <v>0</v>
      </c>
      <c r="AS134" s="191">
        <f t="shared" si="134"/>
        <v>0</v>
      </c>
      <c r="AT134" s="191">
        <f t="shared" si="134"/>
        <v>0</v>
      </c>
      <c r="AU134" s="191">
        <f t="shared" si="134"/>
        <v>0</v>
      </c>
      <c r="AV134" s="191">
        <f t="shared" si="134"/>
        <v>0</v>
      </c>
      <c r="AW134" s="191">
        <f t="shared" si="134"/>
        <v>0</v>
      </c>
      <c r="AX134" s="934"/>
      <c r="AY134" s="934"/>
    </row>
    <row r="135" spans="1:51" s="165" customFormat="1">
      <c r="A135" s="168"/>
      <c r="B135" s="200" t="s">
        <v>187</v>
      </c>
      <c r="D135" s="191"/>
      <c r="E135" s="191"/>
      <c r="F135" s="191"/>
      <c r="G135" s="191"/>
      <c r="H135" s="191"/>
      <c r="I135" s="191"/>
      <c r="J135" s="191"/>
      <c r="K135" s="191"/>
      <c r="L135" s="89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89">
        <f>+Y9+Y10</f>
        <v>5.8205414399999995</v>
      </c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89">
        <f t="shared" ref="AL135:AW135" si="135">+AL9+AL10</f>
        <v>3.1592063999999991</v>
      </c>
      <c r="AM135" s="191">
        <f t="shared" si="135"/>
        <v>3.1592064</v>
      </c>
      <c r="AN135" s="191">
        <f t="shared" si="135"/>
        <v>3.1678617599999996</v>
      </c>
      <c r="AO135" s="191">
        <f t="shared" si="135"/>
        <v>3.1592064</v>
      </c>
      <c r="AP135" s="191">
        <f t="shared" si="135"/>
        <v>3.1592064</v>
      </c>
      <c r="AQ135" s="191">
        <f t="shared" si="135"/>
        <v>3.1592064</v>
      </c>
      <c r="AR135" s="191">
        <f t="shared" si="135"/>
        <v>3.1678617599999996</v>
      </c>
      <c r="AS135" s="191">
        <f t="shared" si="135"/>
        <v>3.1592064</v>
      </c>
      <c r="AT135" s="191">
        <f t="shared" si="135"/>
        <v>3.1592064</v>
      </c>
      <c r="AU135" s="191">
        <f t="shared" si="135"/>
        <v>3.1592064</v>
      </c>
      <c r="AV135" s="191">
        <f t="shared" si="135"/>
        <v>3.1678617599999996</v>
      </c>
      <c r="AW135" s="191">
        <f t="shared" si="135"/>
        <v>3.1592064</v>
      </c>
      <c r="AX135" s="934"/>
      <c r="AY135" s="934"/>
    </row>
    <row r="136" spans="1:51" s="165" customFormat="1">
      <c r="A136" s="168"/>
      <c r="B136" s="200" t="s">
        <v>188</v>
      </c>
      <c r="D136" s="319"/>
      <c r="E136" s="319"/>
      <c r="F136" s="319"/>
      <c r="G136" s="319"/>
      <c r="H136" s="319"/>
      <c r="I136" s="319"/>
      <c r="J136" s="319"/>
      <c r="K136" s="319"/>
      <c r="L136" s="170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89">
        <f>Y134/Y135</f>
        <v>3.8923223782520071</v>
      </c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89">
        <f>AL134/AL135</f>
        <v>2.9370446903542855</v>
      </c>
      <c r="AM136" s="191">
        <f>AM134/AM135</f>
        <v>2.3643831002009095</v>
      </c>
      <c r="AN136" s="191">
        <f t="shared" ref="AN136:AW136" si="136">AN134/AN135</f>
        <v>4.4412276340200094</v>
      </c>
      <c r="AO136" s="191">
        <f t="shared" si="136"/>
        <v>5.0185005690791789</v>
      </c>
      <c r="AP136" s="191">
        <f t="shared" si="136"/>
        <v>5.3851636094942652</v>
      </c>
      <c r="AQ136" s="191">
        <f t="shared" si="136"/>
        <v>0</v>
      </c>
      <c r="AR136" s="191">
        <f t="shared" si="136"/>
        <v>0</v>
      </c>
      <c r="AS136" s="191">
        <f t="shared" si="136"/>
        <v>0</v>
      </c>
      <c r="AT136" s="191">
        <f t="shared" si="136"/>
        <v>0</v>
      </c>
      <c r="AU136" s="191">
        <f t="shared" si="136"/>
        <v>0</v>
      </c>
      <c r="AV136" s="191">
        <f t="shared" si="136"/>
        <v>0</v>
      </c>
      <c r="AW136" s="191">
        <f t="shared" si="136"/>
        <v>0</v>
      </c>
      <c r="AX136" s="934"/>
      <c r="AY136" s="934"/>
    </row>
    <row r="137" spans="1:51" s="165" customFormat="1">
      <c r="A137" s="168"/>
      <c r="B137" s="200" t="s">
        <v>189</v>
      </c>
      <c r="L137" s="88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89">
        <f>Y81</f>
        <v>2.95</v>
      </c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89">
        <f>AL81</f>
        <v>2.95</v>
      </c>
      <c r="AM137" s="191">
        <f t="shared" ref="AM137:AW137" si="137">AM81</f>
        <v>3.55</v>
      </c>
      <c r="AN137" s="191">
        <f t="shared" si="137"/>
        <v>3.55</v>
      </c>
      <c r="AO137" s="191">
        <f t="shared" si="137"/>
        <v>3.55</v>
      </c>
      <c r="AP137" s="191">
        <f t="shared" si="137"/>
        <v>4.1500000000000004</v>
      </c>
      <c r="AQ137" s="191">
        <f t="shared" si="137"/>
        <v>4.1500000000000004</v>
      </c>
      <c r="AR137" s="191">
        <f t="shared" si="137"/>
        <v>4.1500000000000004</v>
      </c>
      <c r="AS137" s="191">
        <f t="shared" si="137"/>
        <v>4.75</v>
      </c>
      <c r="AT137" s="191">
        <f t="shared" si="137"/>
        <v>4.75</v>
      </c>
      <c r="AU137" s="191">
        <f t="shared" si="137"/>
        <v>4.75</v>
      </c>
      <c r="AV137" s="191">
        <f t="shared" si="137"/>
        <v>4.75</v>
      </c>
      <c r="AW137" s="191">
        <f t="shared" si="137"/>
        <v>4.75</v>
      </c>
      <c r="AX137" s="934"/>
      <c r="AY137" s="934"/>
    </row>
    <row r="138" spans="1:51" s="165" customFormat="1">
      <c r="A138" s="168"/>
      <c r="B138" s="200" t="s">
        <v>190</v>
      </c>
      <c r="D138" s="321"/>
      <c r="E138" s="321"/>
      <c r="F138" s="321"/>
      <c r="G138" s="321"/>
      <c r="H138" s="321"/>
      <c r="I138" s="321"/>
      <c r="J138" s="321"/>
      <c r="K138" s="321"/>
      <c r="L138" s="252"/>
      <c r="M138" s="191">
        <f t="shared" ref="M138:W138" si="138">$Y138</f>
        <v>2.95</v>
      </c>
      <c r="N138" s="191">
        <f t="shared" si="138"/>
        <v>2.95</v>
      </c>
      <c r="O138" s="191">
        <f t="shared" si="138"/>
        <v>2.95</v>
      </c>
      <c r="P138" s="191">
        <f t="shared" si="138"/>
        <v>2.95</v>
      </c>
      <c r="Q138" s="191">
        <f t="shared" si="138"/>
        <v>2.95</v>
      </c>
      <c r="R138" s="191">
        <f t="shared" si="138"/>
        <v>2.95</v>
      </c>
      <c r="S138" s="191">
        <f t="shared" si="138"/>
        <v>2.95</v>
      </c>
      <c r="T138" s="191">
        <f t="shared" si="138"/>
        <v>2.95</v>
      </c>
      <c r="U138" s="191">
        <f t="shared" si="138"/>
        <v>2.95</v>
      </c>
      <c r="V138" s="191">
        <f t="shared" si="138"/>
        <v>2.95</v>
      </c>
      <c r="W138" s="191">
        <f t="shared" si="138"/>
        <v>2.95</v>
      </c>
      <c r="X138" s="191">
        <f>$Y138</f>
        <v>2.95</v>
      </c>
      <c r="Y138" s="89">
        <f>MIN(Y136,Y137)</f>
        <v>2.95</v>
      </c>
      <c r="Z138" s="191">
        <f t="shared" ref="Z138:AJ138" si="139">$AL138</f>
        <v>2.9370446903542855</v>
      </c>
      <c r="AA138" s="191">
        <f t="shared" si="139"/>
        <v>2.9370446903542855</v>
      </c>
      <c r="AB138" s="191">
        <f t="shared" si="139"/>
        <v>2.9370446903542855</v>
      </c>
      <c r="AC138" s="191">
        <f t="shared" si="139"/>
        <v>2.9370446903542855</v>
      </c>
      <c r="AD138" s="191">
        <f t="shared" si="139"/>
        <v>2.9370446903542855</v>
      </c>
      <c r="AE138" s="191">
        <f t="shared" si="139"/>
        <v>2.9370446903542855</v>
      </c>
      <c r="AF138" s="191">
        <f t="shared" si="139"/>
        <v>2.9370446903542855</v>
      </c>
      <c r="AG138" s="191">
        <f t="shared" si="139"/>
        <v>2.9370446903542855</v>
      </c>
      <c r="AH138" s="191">
        <f t="shared" si="139"/>
        <v>2.9370446903542855</v>
      </c>
      <c r="AI138" s="191">
        <f t="shared" si="139"/>
        <v>2.9370446903542855</v>
      </c>
      <c r="AJ138" s="191">
        <f t="shared" si="139"/>
        <v>2.9370446903542855</v>
      </c>
      <c r="AK138" s="191">
        <f>$AL138</f>
        <v>2.9370446903542855</v>
      </c>
      <c r="AL138" s="89">
        <f>MIN(AL136,AL137)</f>
        <v>2.9370446903542855</v>
      </c>
      <c r="AM138" s="191">
        <f>MIN(AM136,AM137)</f>
        <v>2.3643831002009095</v>
      </c>
      <c r="AN138" s="191">
        <f t="shared" ref="AN138:AW138" si="140">MIN(AN136,AN137)</f>
        <v>3.55</v>
      </c>
      <c r="AO138" s="191">
        <f t="shared" si="140"/>
        <v>3.55</v>
      </c>
      <c r="AP138" s="191">
        <f t="shared" si="140"/>
        <v>4.1500000000000004</v>
      </c>
      <c r="AQ138" s="191">
        <f t="shared" si="140"/>
        <v>0</v>
      </c>
      <c r="AR138" s="191">
        <f t="shared" si="140"/>
        <v>0</v>
      </c>
      <c r="AS138" s="191">
        <f t="shared" si="140"/>
        <v>0</v>
      </c>
      <c r="AT138" s="191">
        <f t="shared" si="140"/>
        <v>0</v>
      </c>
      <c r="AU138" s="191">
        <f t="shared" si="140"/>
        <v>0</v>
      </c>
      <c r="AV138" s="191">
        <f t="shared" si="140"/>
        <v>0</v>
      </c>
      <c r="AW138" s="191">
        <f t="shared" si="140"/>
        <v>0</v>
      </c>
      <c r="AX138" s="934"/>
      <c r="AY138" s="934"/>
    </row>
    <row r="139" spans="1:51" s="165" customFormat="1">
      <c r="A139" s="168"/>
      <c r="L139" s="88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89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89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934"/>
      <c r="AY139" s="934"/>
    </row>
    <row r="140" spans="1:51" s="165" customFormat="1">
      <c r="A140" s="168"/>
      <c r="B140" s="200" t="s">
        <v>191</v>
      </c>
      <c r="L140" s="88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89">
        <f>IF(Y136&gt;Y137,(Y136-Y137)*Y135,0)</f>
        <v>5.4848264524551604</v>
      </c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89">
        <f>IF(AL136&gt;AL137,(AL136-AL137)*AL135,0)</f>
        <v>0</v>
      </c>
      <c r="AM140" s="191">
        <f>IF(AM136&gt;AM137,(AM136-AM137)*AM135,0)</f>
        <v>0</v>
      </c>
      <c r="AN140" s="191">
        <f t="shared" ref="AN140:AW140" si="141">IF(AN136&gt;AN137,(AN136-AN137)*AN135,0)</f>
        <v>2.8232859412672631</v>
      </c>
      <c r="AO140" s="191">
        <f t="shared" si="141"/>
        <v>4.639296396238584</v>
      </c>
      <c r="AP140" s="191">
        <f t="shared" si="141"/>
        <v>3.9021367801613822</v>
      </c>
      <c r="AQ140" s="191">
        <f t="shared" si="141"/>
        <v>0</v>
      </c>
      <c r="AR140" s="191">
        <f t="shared" si="141"/>
        <v>0</v>
      </c>
      <c r="AS140" s="191">
        <f t="shared" si="141"/>
        <v>0</v>
      </c>
      <c r="AT140" s="191">
        <f t="shared" si="141"/>
        <v>0</v>
      </c>
      <c r="AU140" s="191">
        <f t="shared" si="141"/>
        <v>0</v>
      </c>
      <c r="AV140" s="191">
        <f t="shared" si="141"/>
        <v>0</v>
      </c>
      <c r="AW140" s="191">
        <f t="shared" si="141"/>
        <v>0</v>
      </c>
      <c r="AX140" s="934"/>
      <c r="AY140" s="934"/>
    </row>
    <row r="141" spans="1:51" s="165" customFormat="1">
      <c r="A141" s="168"/>
      <c r="L141" s="88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89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89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934"/>
      <c r="AY141" s="934"/>
    </row>
    <row r="142" spans="1:51" s="165" customFormat="1" ht="13.5" thickBot="1">
      <c r="A142" s="168"/>
      <c r="B142" s="200" t="s">
        <v>529</v>
      </c>
      <c r="E142" s="191"/>
      <c r="F142" s="191"/>
      <c r="G142" s="191"/>
      <c r="H142" s="191"/>
      <c r="I142" s="191"/>
      <c r="J142" s="191"/>
      <c r="K142" s="191"/>
      <c r="L142" s="88"/>
      <c r="M142" s="191">
        <f>K149</f>
        <v>80.510928620000001</v>
      </c>
      <c r="N142" s="191">
        <f>M149</f>
        <v>78.090167091310121</v>
      </c>
      <c r="O142" s="191">
        <f t="shared" ref="O142:X142" si="142">N149</f>
        <v>76.038305328715069</v>
      </c>
      <c r="P142" s="191">
        <f t="shared" si="142"/>
        <v>74.225137557300442</v>
      </c>
      <c r="Q142" s="191">
        <f t="shared" si="142"/>
        <v>72.90798061882623</v>
      </c>
      <c r="R142" s="191">
        <f t="shared" si="142"/>
        <v>71.370701820614428</v>
      </c>
      <c r="S142" s="191">
        <f t="shared" si="142"/>
        <v>69.20187561119279</v>
      </c>
      <c r="T142" s="191">
        <f t="shared" si="142"/>
        <v>66.879438458100651</v>
      </c>
      <c r="U142" s="191">
        <f t="shared" si="142"/>
        <v>64.373776497163007</v>
      </c>
      <c r="V142" s="191">
        <f t="shared" si="142"/>
        <v>61.846068495837763</v>
      </c>
      <c r="W142" s="191">
        <f t="shared" si="142"/>
        <v>59.701931749953538</v>
      </c>
      <c r="X142" s="191">
        <f t="shared" si="142"/>
        <v>57.328068336608247</v>
      </c>
      <c r="Y142" s="89"/>
      <c r="Z142" s="191">
        <f>X149</f>
        <v>54.246955986803989</v>
      </c>
      <c r="AA142" s="191">
        <f>Z149</f>
        <v>50.908687579378068</v>
      </c>
      <c r="AB142" s="191">
        <f>AA149</f>
        <v>47.996227094064579</v>
      </c>
      <c r="AC142" s="191">
        <f t="shared" ref="AC142:AK142" si="143">AB149</f>
        <v>45.314509916722507</v>
      </c>
      <c r="AD142" s="191">
        <f t="shared" si="143"/>
        <v>43.045165452343106</v>
      </c>
      <c r="AE142" s="191">
        <f t="shared" si="143"/>
        <v>40.532780812020313</v>
      </c>
      <c r="AF142" s="191">
        <f t="shared" si="143"/>
        <v>37.326351602623895</v>
      </c>
      <c r="AG142" s="191">
        <f t="shared" si="143"/>
        <v>34.416740239485989</v>
      </c>
      <c r="AH142" s="191">
        <f t="shared" si="143"/>
        <v>31.354108761940946</v>
      </c>
      <c r="AI142" s="191">
        <f t="shared" si="143"/>
        <v>28.768234545919078</v>
      </c>
      <c r="AJ142" s="191">
        <f t="shared" si="143"/>
        <v>26.617480913344984</v>
      </c>
      <c r="AK142" s="191">
        <f t="shared" si="143"/>
        <v>24.265213809080784</v>
      </c>
      <c r="AL142" s="89"/>
      <c r="AM142" s="191">
        <f>AK149</f>
        <v>21.267143334747672</v>
      </c>
      <c r="AN142" s="191">
        <f t="shared" ref="AN142:AW142" si="144">AM149</f>
        <v>0</v>
      </c>
      <c r="AO142" s="191">
        <f t="shared" si="144"/>
        <v>0</v>
      </c>
      <c r="AP142" s="191">
        <f t="shared" si="144"/>
        <v>0</v>
      </c>
      <c r="AQ142" s="191">
        <f t="shared" si="144"/>
        <v>0</v>
      </c>
      <c r="AR142" s="191">
        <f t="shared" si="144"/>
        <v>0</v>
      </c>
      <c r="AS142" s="191">
        <f t="shared" si="144"/>
        <v>0</v>
      </c>
      <c r="AT142" s="191">
        <f t="shared" si="144"/>
        <v>0</v>
      </c>
      <c r="AU142" s="191">
        <f t="shared" si="144"/>
        <v>0</v>
      </c>
      <c r="AV142" s="191">
        <f t="shared" si="144"/>
        <v>0</v>
      </c>
      <c r="AW142" s="191">
        <f t="shared" si="144"/>
        <v>0</v>
      </c>
      <c r="AX142" s="934"/>
      <c r="AY142" s="934"/>
    </row>
    <row r="143" spans="1:51" s="165" customFormat="1" ht="13.5" thickBot="1">
      <c r="A143" s="168"/>
      <c r="B143" s="200" t="s">
        <v>192</v>
      </c>
      <c r="C143" s="483">
        <v>7.1999999999999998E-3</v>
      </c>
      <c r="D143" s="215"/>
      <c r="E143" s="215"/>
      <c r="F143" s="215"/>
      <c r="G143" s="215"/>
      <c r="H143" s="215"/>
      <c r="I143" s="215"/>
      <c r="J143" s="215"/>
      <c r="K143" s="215"/>
      <c r="L143" s="174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89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89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934"/>
      <c r="AY143" s="934"/>
    </row>
    <row r="144" spans="1:51" s="165" customFormat="1">
      <c r="A144" s="168"/>
      <c r="B144" s="200" t="s">
        <v>193</v>
      </c>
      <c r="C144" s="191"/>
      <c r="D144" s="191"/>
      <c r="E144" s="191"/>
      <c r="F144" s="191"/>
      <c r="G144" s="191"/>
      <c r="H144" s="191"/>
      <c r="I144" s="191"/>
      <c r="J144" s="191"/>
      <c r="K144" s="191"/>
      <c r="L144" s="89"/>
      <c r="M144" s="191">
        <f>K149*$C$143*M4/M3</f>
        <v>4.9232984295846577E-2</v>
      </c>
      <c r="N144" s="191">
        <f t="shared" ref="N144:X144" si="145">M149*$C$143*N4/N3</f>
        <v>4.3131445713994854E-2</v>
      </c>
      <c r="O144" s="191">
        <f t="shared" si="145"/>
        <v>4.6497944518819743E-2</v>
      </c>
      <c r="P144" s="191">
        <f t="shared" si="145"/>
        <v>4.3925012910621633E-2</v>
      </c>
      <c r="Q144" s="191">
        <f t="shared" si="145"/>
        <v>4.4583729518142504E-2</v>
      </c>
      <c r="R144" s="191">
        <f t="shared" si="145"/>
        <v>4.2235812584254018E-2</v>
      </c>
      <c r="S144" s="191">
        <f t="shared" si="145"/>
        <v>4.2317420921693778E-2</v>
      </c>
      <c r="T144" s="191">
        <f t="shared" si="145"/>
        <v>4.0897234695474148E-2</v>
      </c>
      <c r="U144" s="191">
        <f t="shared" si="145"/>
        <v>3.8095166365444404E-2</v>
      </c>
      <c r="V144" s="191">
        <f t="shared" si="145"/>
        <v>3.781929448841366E-2</v>
      </c>
      <c r="W144" s="191">
        <f t="shared" si="145"/>
        <v>3.533045824106839E-2</v>
      </c>
      <c r="X144" s="191">
        <f t="shared" si="145"/>
        <v>3.5056506445838249E-2</v>
      </c>
      <c r="Y144" s="89">
        <f>SUM(M144:X144)</f>
        <v>0.4991230106996119</v>
      </c>
      <c r="Z144" s="191">
        <f>X149*$C$143*Z4/Z3</f>
        <v>3.3172385140423699E-2</v>
      </c>
      <c r="AA144" s="191">
        <f t="shared" ref="AA144:AK144" si="146">Z149*$C$143*AA4/AA3</f>
        <v>2.8118332646582516E-2</v>
      </c>
      <c r="AB144" s="191">
        <f t="shared" si="146"/>
        <v>2.9350021609301953E-2</v>
      </c>
      <c r="AC144" s="191">
        <f t="shared" si="146"/>
        <v>2.6816257923320715E-2</v>
      </c>
      <c r="AD144" s="191">
        <f t="shared" si="146"/>
        <v>2.6322413504008168E-2</v>
      </c>
      <c r="AE144" s="191">
        <f t="shared" si="146"/>
        <v>2.3986522343551746E-2</v>
      </c>
      <c r="AF144" s="191">
        <f t="shared" si="146"/>
        <v>2.2825319664946997E-2</v>
      </c>
      <c r="AG144" s="191">
        <f t="shared" si="146"/>
        <v>2.1046072387543212E-2</v>
      </c>
      <c r="AH144" s="191">
        <f t="shared" si="146"/>
        <v>1.8554760253641767E-2</v>
      </c>
      <c r="AI144" s="191">
        <f t="shared" si="146"/>
        <v>1.7591972467531886E-2</v>
      </c>
      <c r="AJ144" s="191">
        <f t="shared" si="146"/>
        <v>1.5751714732280868E-2</v>
      </c>
      <c r="AK144" s="191">
        <f t="shared" si="146"/>
        <v>1.4838344444347482E-2</v>
      </c>
      <c r="AL144" s="89">
        <f>SUM(Z144:AK144)</f>
        <v>0.27837411711748106</v>
      </c>
      <c r="AM144" s="191">
        <f>(AK149*$C$143)</f>
        <v>0.15312343201018325</v>
      </c>
      <c r="AN144" s="191">
        <f>(AM149*$C$143)</f>
        <v>0</v>
      </c>
      <c r="AO144" s="191">
        <f t="shared" ref="AO144:AW144" si="147">(AN149*$C$143)</f>
        <v>0</v>
      </c>
      <c r="AP144" s="191">
        <f t="shared" si="147"/>
        <v>0</v>
      </c>
      <c r="AQ144" s="191">
        <f t="shared" si="147"/>
        <v>0</v>
      </c>
      <c r="AR144" s="191">
        <f>(AQ149*$C$143)</f>
        <v>0</v>
      </c>
      <c r="AS144" s="191">
        <f t="shared" si="147"/>
        <v>0</v>
      </c>
      <c r="AT144" s="191">
        <f t="shared" si="147"/>
        <v>0</v>
      </c>
      <c r="AU144" s="191">
        <f t="shared" si="147"/>
        <v>0</v>
      </c>
      <c r="AV144" s="191">
        <f t="shared" si="147"/>
        <v>0</v>
      </c>
      <c r="AW144" s="191">
        <f t="shared" si="147"/>
        <v>0</v>
      </c>
      <c r="AX144" s="934"/>
      <c r="AY144" s="934"/>
    </row>
    <row r="145" spans="2:51" s="165" customFormat="1">
      <c r="B145" s="200" t="s">
        <v>194</v>
      </c>
      <c r="C145" s="191"/>
      <c r="D145" s="191"/>
      <c r="E145" s="191"/>
      <c r="F145" s="191"/>
      <c r="G145" s="191"/>
      <c r="H145" s="191"/>
      <c r="I145" s="191"/>
      <c r="J145" s="191"/>
      <c r="K145" s="191"/>
      <c r="L145" s="89"/>
      <c r="M145" s="191">
        <f>M43*M7+M63*M8</f>
        <v>-2.4699945129857181</v>
      </c>
      <c r="N145" s="191">
        <f t="shared" ref="N145:AW145" si="148">N43*N7+N63*N8</f>
        <v>-2.0949932083090541</v>
      </c>
      <c r="O145" s="191">
        <f t="shared" si="148"/>
        <v>-1.8596657159334395</v>
      </c>
      <c r="P145" s="191">
        <f t="shared" si="148"/>
        <v>-1.3610819513848305</v>
      </c>
      <c r="Q145" s="191">
        <f t="shared" si="148"/>
        <v>-1.5818625277299339</v>
      </c>
      <c r="R145" s="191">
        <f t="shared" si="148"/>
        <v>-2.2110620220058941</v>
      </c>
      <c r="S145" s="191">
        <f t="shared" si="148"/>
        <v>-2.3647545740138276</v>
      </c>
      <c r="T145" s="191">
        <f t="shared" si="148"/>
        <v>-2.5465591956331171</v>
      </c>
      <c r="U145" s="191">
        <f t="shared" si="148"/>
        <v>-2.5658031676906958</v>
      </c>
      <c r="V145" s="191">
        <f t="shared" si="148"/>
        <v>-2.1819560403726403</v>
      </c>
      <c r="W145" s="191">
        <f t="shared" si="148"/>
        <v>-2.4091938715863592</v>
      </c>
      <c r="X145" s="191">
        <f t="shared" si="148"/>
        <v>-3.1161688562500967</v>
      </c>
      <c r="Y145" s="89">
        <f>SUM(M145:X145)</f>
        <v>-26.76309564389561</v>
      </c>
      <c r="Z145" s="191">
        <f t="shared" si="148"/>
        <v>-3.3714407925663492</v>
      </c>
      <c r="AA145" s="191">
        <f t="shared" si="148"/>
        <v>-2.9405788179600707</v>
      </c>
      <c r="AB145" s="191">
        <f t="shared" si="148"/>
        <v>-2.711067198951377</v>
      </c>
      <c r="AC145" s="191">
        <f t="shared" si="148"/>
        <v>-2.2961607223027198</v>
      </c>
      <c r="AD145" s="191">
        <f t="shared" si="148"/>
        <v>-2.5387070538267951</v>
      </c>
      <c r="AE145" s="191">
        <f t="shared" si="148"/>
        <v>-3.230415731739968</v>
      </c>
      <c r="AF145" s="191">
        <f t="shared" si="148"/>
        <v>-2.9324366828028516</v>
      </c>
      <c r="AG145" s="191">
        <f t="shared" si="148"/>
        <v>-3.0836775499325859</v>
      </c>
      <c r="AH145" s="191">
        <f t="shared" si="148"/>
        <v>-2.6044289762755088</v>
      </c>
      <c r="AI145" s="191">
        <f t="shared" si="148"/>
        <v>-2.1683456050416248</v>
      </c>
      <c r="AJ145" s="191">
        <f t="shared" si="148"/>
        <v>-2.3680188189964824</v>
      </c>
      <c r="AK145" s="191">
        <f t="shared" si="148"/>
        <v>-3.012908818777456</v>
      </c>
      <c r="AL145" s="89">
        <f>SUM(Z145:AK145)</f>
        <v>-33.25818676917379</v>
      </c>
      <c r="AM145" s="191">
        <f t="shared" si="148"/>
        <v>-21.420266766757855</v>
      </c>
      <c r="AN145" s="191">
        <f t="shared" si="148"/>
        <v>0</v>
      </c>
      <c r="AO145" s="191">
        <f t="shared" si="148"/>
        <v>0</v>
      </c>
      <c r="AP145" s="191">
        <f t="shared" si="148"/>
        <v>0</v>
      </c>
      <c r="AQ145" s="191">
        <f t="shared" si="148"/>
        <v>0</v>
      </c>
      <c r="AR145" s="191">
        <f t="shared" si="148"/>
        <v>0</v>
      </c>
      <c r="AS145" s="191">
        <f t="shared" si="148"/>
        <v>0</v>
      </c>
      <c r="AT145" s="191">
        <f t="shared" si="148"/>
        <v>0</v>
      </c>
      <c r="AU145" s="191">
        <f t="shared" si="148"/>
        <v>0</v>
      </c>
      <c r="AV145" s="191">
        <f t="shared" si="148"/>
        <v>0</v>
      </c>
      <c r="AW145" s="191">
        <f t="shared" si="148"/>
        <v>0</v>
      </c>
      <c r="AX145" s="934"/>
      <c r="AY145" s="934"/>
    </row>
    <row r="146" spans="2:51" s="165" customFormat="1">
      <c r="B146" s="200" t="s">
        <v>248</v>
      </c>
      <c r="L146" s="88"/>
      <c r="M146" s="191">
        <f t="shared" ref="M146:W147" si="149">$Y146/12</f>
        <v>0</v>
      </c>
      <c r="N146" s="191">
        <f t="shared" si="149"/>
        <v>0</v>
      </c>
      <c r="O146" s="191">
        <f t="shared" si="149"/>
        <v>0</v>
      </c>
      <c r="P146" s="191">
        <f t="shared" si="149"/>
        <v>0</v>
      </c>
      <c r="Q146" s="191">
        <f t="shared" si="149"/>
        <v>0</v>
      </c>
      <c r="R146" s="191">
        <f t="shared" si="149"/>
        <v>0</v>
      </c>
      <c r="S146" s="191">
        <f t="shared" si="149"/>
        <v>0</v>
      </c>
      <c r="T146" s="191">
        <f t="shared" si="149"/>
        <v>0</v>
      </c>
      <c r="U146" s="191">
        <f t="shared" si="149"/>
        <v>0</v>
      </c>
      <c r="V146" s="191">
        <f t="shared" si="149"/>
        <v>0</v>
      </c>
      <c r="W146" s="191">
        <f t="shared" si="149"/>
        <v>0</v>
      </c>
      <c r="X146" s="191">
        <f>$Y146/12</f>
        <v>0</v>
      </c>
      <c r="Y146" s="89">
        <f>(L130*L7)</f>
        <v>0</v>
      </c>
      <c r="Z146" s="191">
        <f t="shared" ref="Z146:AJ147" si="150">$AL146/12</f>
        <v>0</v>
      </c>
      <c r="AA146" s="191">
        <f t="shared" si="150"/>
        <v>0</v>
      </c>
      <c r="AB146" s="191">
        <f t="shared" si="150"/>
        <v>0</v>
      </c>
      <c r="AC146" s="191">
        <f t="shared" si="150"/>
        <v>0</v>
      </c>
      <c r="AD146" s="191">
        <f t="shared" si="150"/>
        <v>0</v>
      </c>
      <c r="AE146" s="191">
        <f t="shared" si="150"/>
        <v>0</v>
      </c>
      <c r="AF146" s="191">
        <f t="shared" si="150"/>
        <v>0</v>
      </c>
      <c r="AG146" s="191">
        <f t="shared" si="150"/>
        <v>0</v>
      </c>
      <c r="AH146" s="191">
        <f t="shared" si="150"/>
        <v>0</v>
      </c>
      <c r="AI146" s="191">
        <f t="shared" si="150"/>
        <v>0</v>
      </c>
      <c r="AJ146" s="191">
        <f t="shared" si="150"/>
        <v>0</v>
      </c>
      <c r="AK146" s="191">
        <f>$AL146/12</f>
        <v>0</v>
      </c>
      <c r="AL146" s="89">
        <f>(Y130*Y7)</f>
        <v>0</v>
      </c>
      <c r="AM146" s="191">
        <f t="shared" ref="AM146:AW146" si="151">IF(AM142&gt;0,(AL130*AL7),0)</f>
        <v>0</v>
      </c>
      <c r="AN146" s="191">
        <f t="shared" si="151"/>
        <v>0</v>
      </c>
      <c r="AO146" s="191">
        <f t="shared" si="151"/>
        <v>0</v>
      </c>
      <c r="AP146" s="191">
        <f t="shared" si="151"/>
        <v>0</v>
      </c>
      <c r="AQ146" s="191">
        <f t="shared" si="151"/>
        <v>0</v>
      </c>
      <c r="AR146" s="191">
        <f t="shared" si="151"/>
        <v>0</v>
      </c>
      <c r="AS146" s="191">
        <f t="shared" si="151"/>
        <v>0</v>
      </c>
      <c r="AT146" s="191">
        <f t="shared" si="151"/>
        <v>0</v>
      </c>
      <c r="AU146" s="191">
        <f t="shared" si="151"/>
        <v>0</v>
      </c>
      <c r="AV146" s="191">
        <f t="shared" si="151"/>
        <v>0</v>
      </c>
      <c r="AW146" s="191">
        <f t="shared" si="151"/>
        <v>0</v>
      </c>
      <c r="AX146" s="934"/>
      <c r="AY146" s="934"/>
    </row>
    <row r="147" spans="2:51" s="165" customFormat="1">
      <c r="B147" s="200" t="s">
        <v>249</v>
      </c>
      <c r="L147" s="88"/>
      <c r="M147" s="191">
        <f t="shared" si="149"/>
        <v>0</v>
      </c>
      <c r="N147" s="191">
        <f t="shared" si="149"/>
        <v>0</v>
      </c>
      <c r="O147" s="191">
        <f t="shared" si="149"/>
        <v>0</v>
      </c>
      <c r="P147" s="191">
        <f t="shared" si="149"/>
        <v>0</v>
      </c>
      <c r="Q147" s="191">
        <f t="shared" si="149"/>
        <v>0</v>
      </c>
      <c r="R147" s="191">
        <f t="shared" si="149"/>
        <v>0</v>
      </c>
      <c r="S147" s="191">
        <f t="shared" si="149"/>
        <v>0</v>
      </c>
      <c r="T147" s="191">
        <f t="shared" si="149"/>
        <v>0</v>
      </c>
      <c r="U147" s="191">
        <f t="shared" si="149"/>
        <v>0</v>
      </c>
      <c r="V147" s="191">
        <f t="shared" si="149"/>
        <v>0</v>
      </c>
      <c r="W147" s="191">
        <f t="shared" si="149"/>
        <v>0</v>
      </c>
      <c r="X147" s="191">
        <f>$Y147/12</f>
        <v>0</v>
      </c>
      <c r="Y147" s="89">
        <f>L131*L8</f>
        <v>0</v>
      </c>
      <c r="Z147" s="191">
        <f t="shared" si="150"/>
        <v>0</v>
      </c>
      <c r="AA147" s="191">
        <f t="shared" si="150"/>
        <v>0</v>
      </c>
      <c r="AB147" s="191">
        <f t="shared" si="150"/>
        <v>0</v>
      </c>
      <c r="AC147" s="191">
        <f t="shared" si="150"/>
        <v>0</v>
      </c>
      <c r="AD147" s="191">
        <f t="shared" si="150"/>
        <v>0</v>
      </c>
      <c r="AE147" s="191">
        <f t="shared" si="150"/>
        <v>0</v>
      </c>
      <c r="AF147" s="191">
        <f t="shared" si="150"/>
        <v>0</v>
      </c>
      <c r="AG147" s="191">
        <f t="shared" si="150"/>
        <v>0</v>
      </c>
      <c r="AH147" s="191">
        <f t="shared" si="150"/>
        <v>0</v>
      </c>
      <c r="AI147" s="191">
        <f t="shared" si="150"/>
        <v>0</v>
      </c>
      <c r="AJ147" s="191">
        <f t="shared" si="150"/>
        <v>0</v>
      </c>
      <c r="AK147" s="191">
        <f>$AL147/12</f>
        <v>0</v>
      </c>
      <c r="AL147" s="89">
        <f>Y131*Y8</f>
        <v>0</v>
      </c>
      <c r="AM147" s="191">
        <f t="shared" ref="AM147:AW147" si="152">IF(AM142&gt;0,AL131*AL8,0)</f>
        <v>0</v>
      </c>
      <c r="AN147" s="191">
        <f t="shared" si="152"/>
        <v>0</v>
      </c>
      <c r="AO147" s="191">
        <f t="shared" si="152"/>
        <v>0</v>
      </c>
      <c r="AP147" s="191">
        <f t="shared" si="152"/>
        <v>0</v>
      </c>
      <c r="AQ147" s="191">
        <f t="shared" si="152"/>
        <v>0</v>
      </c>
      <c r="AR147" s="191">
        <f t="shared" si="152"/>
        <v>0</v>
      </c>
      <c r="AS147" s="191">
        <f t="shared" si="152"/>
        <v>0</v>
      </c>
      <c r="AT147" s="191">
        <f t="shared" si="152"/>
        <v>0</v>
      </c>
      <c r="AU147" s="191">
        <f t="shared" si="152"/>
        <v>0</v>
      </c>
      <c r="AV147" s="191">
        <f t="shared" si="152"/>
        <v>0</v>
      </c>
      <c r="AW147" s="191">
        <f t="shared" si="152"/>
        <v>0</v>
      </c>
      <c r="AX147" s="934"/>
      <c r="AY147" s="934"/>
    </row>
    <row r="148" spans="2:51" s="165" customFormat="1">
      <c r="B148" s="200" t="s">
        <v>195</v>
      </c>
      <c r="L148" s="88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89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89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934"/>
      <c r="AY148" s="934"/>
    </row>
    <row r="149" spans="2:51" s="165" customFormat="1" ht="15">
      <c r="B149" s="200" t="s">
        <v>530</v>
      </c>
      <c r="D149" s="191"/>
      <c r="E149" s="191"/>
      <c r="F149" s="191"/>
      <c r="G149" s="191"/>
      <c r="H149" s="191"/>
      <c r="I149" s="191"/>
      <c r="J149" s="191"/>
      <c r="K149" s="472">
        <v>80.510928620000001</v>
      </c>
      <c r="L149" s="88"/>
      <c r="M149" s="191">
        <f>M142+M144+M145+M148</f>
        <v>78.090167091310121</v>
      </c>
      <c r="N149" s="191">
        <f>N142+N144+N145+N148</f>
        <v>76.038305328715069</v>
      </c>
      <c r="O149" s="191">
        <f t="shared" ref="O149:W149" si="153">O142+O144+O145+O148</f>
        <v>74.225137557300442</v>
      </c>
      <c r="P149" s="191">
        <f t="shared" si="153"/>
        <v>72.90798061882623</v>
      </c>
      <c r="Q149" s="191">
        <f t="shared" si="153"/>
        <v>71.370701820614428</v>
      </c>
      <c r="R149" s="191">
        <f t="shared" si="153"/>
        <v>69.20187561119279</v>
      </c>
      <c r="S149" s="191">
        <f t="shared" si="153"/>
        <v>66.879438458100651</v>
      </c>
      <c r="T149" s="191">
        <f t="shared" si="153"/>
        <v>64.373776497163007</v>
      </c>
      <c r="U149" s="191">
        <f t="shared" si="153"/>
        <v>61.846068495837763</v>
      </c>
      <c r="V149" s="191">
        <f t="shared" si="153"/>
        <v>59.701931749953538</v>
      </c>
      <c r="W149" s="191">
        <f t="shared" si="153"/>
        <v>57.328068336608247</v>
      </c>
      <c r="X149" s="191">
        <f>X142+X144+X145+X148</f>
        <v>54.246955986803989</v>
      </c>
      <c r="Y149" s="89"/>
      <c r="Z149" s="191">
        <f>Z142+Z144+Z145+Z148</f>
        <v>50.908687579378068</v>
      </c>
      <c r="AA149" s="191">
        <f t="shared" ref="AA149:AK149" si="154">AA142+AA144+AA145+AA148</f>
        <v>47.996227094064579</v>
      </c>
      <c r="AB149" s="191">
        <f>AB142+AB144+AB145+AB148</f>
        <v>45.314509916722507</v>
      </c>
      <c r="AC149" s="191">
        <f t="shared" si="154"/>
        <v>43.045165452343106</v>
      </c>
      <c r="AD149" s="191">
        <f t="shared" si="154"/>
        <v>40.532780812020313</v>
      </c>
      <c r="AE149" s="191">
        <f t="shared" si="154"/>
        <v>37.326351602623895</v>
      </c>
      <c r="AF149" s="191">
        <f t="shared" si="154"/>
        <v>34.416740239485989</v>
      </c>
      <c r="AG149" s="191">
        <f t="shared" si="154"/>
        <v>31.354108761940946</v>
      </c>
      <c r="AH149" s="191">
        <f t="shared" si="154"/>
        <v>28.768234545919078</v>
      </c>
      <c r="AI149" s="191">
        <f t="shared" si="154"/>
        <v>26.617480913344984</v>
      </c>
      <c r="AJ149" s="191">
        <f t="shared" si="154"/>
        <v>24.265213809080784</v>
      </c>
      <c r="AK149" s="191">
        <f t="shared" si="154"/>
        <v>21.267143334747672</v>
      </c>
      <c r="AL149" s="89"/>
      <c r="AM149" s="191">
        <f>AM142+AM144+AM145+AM148</f>
        <v>0</v>
      </c>
      <c r="AN149" s="191">
        <f>AN142+AN144+AN145+AN148</f>
        <v>0</v>
      </c>
      <c r="AO149" s="191">
        <f t="shared" ref="AO149:AW149" si="155">AO142+AO144+AO145+AO148</f>
        <v>0</v>
      </c>
      <c r="AP149" s="191">
        <f t="shared" si="155"/>
        <v>0</v>
      </c>
      <c r="AQ149" s="191">
        <f t="shared" si="155"/>
        <v>0</v>
      </c>
      <c r="AR149" s="191">
        <f t="shared" si="155"/>
        <v>0</v>
      </c>
      <c r="AS149" s="191">
        <f t="shared" si="155"/>
        <v>0</v>
      </c>
      <c r="AT149" s="191">
        <f t="shared" si="155"/>
        <v>0</v>
      </c>
      <c r="AU149" s="191">
        <f t="shared" si="155"/>
        <v>0</v>
      </c>
      <c r="AV149" s="191">
        <f t="shared" si="155"/>
        <v>0</v>
      </c>
      <c r="AW149" s="191">
        <f t="shared" si="155"/>
        <v>0</v>
      </c>
      <c r="AX149" s="934"/>
      <c r="AY149" s="934"/>
    </row>
    <row r="150" spans="2:51" s="165" customFormat="1">
      <c r="B150" s="200"/>
      <c r="L150" s="88"/>
      <c r="M150" s="191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89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89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934"/>
      <c r="AY150" s="934"/>
    </row>
    <row r="151" spans="2:51" s="165" customFormat="1">
      <c r="B151" s="200"/>
      <c r="L151" s="88"/>
      <c r="M151" s="191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89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89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934"/>
      <c r="AY151" s="934"/>
    </row>
    <row r="152" spans="2:51" s="165" customFormat="1" ht="13.5" thickBot="1">
      <c r="B152" s="200" t="s">
        <v>531</v>
      </c>
      <c r="L152" s="88"/>
      <c r="M152" s="191">
        <f>K159</f>
        <v>64.003003169999999</v>
      </c>
      <c r="N152" s="191">
        <f>M159</f>
        <v>64.10302320563882</v>
      </c>
      <c r="O152" s="191">
        <f t="shared" ref="O152:X152" si="156">N159</f>
        <v>64.193505061955378</v>
      </c>
      <c r="P152" s="191">
        <f t="shared" si="156"/>
        <v>64.29382280246864</v>
      </c>
      <c r="Q152" s="191">
        <f t="shared" si="156"/>
        <v>64.391056200241138</v>
      </c>
      <c r="R152" s="191">
        <f t="shared" si="156"/>
        <v>64.49168266176612</v>
      </c>
      <c r="S152" s="191">
        <f t="shared" si="156"/>
        <v>64.589215288695698</v>
      </c>
      <c r="T152" s="191">
        <f t="shared" si="156"/>
        <v>64.690151421300286</v>
      </c>
      <c r="U152" s="191">
        <f t="shared" si="156"/>
        <v>64.791245290809073</v>
      </c>
      <c r="V152" s="191">
        <f t="shared" si="156"/>
        <v>64.889230954920109</v>
      </c>
      <c r="W152" s="191">
        <f t="shared" si="156"/>
        <v>64.990635933924736</v>
      </c>
      <c r="X152" s="191">
        <f t="shared" si="156"/>
        <v>65.088923142241242</v>
      </c>
      <c r="Y152" s="89"/>
      <c r="Z152" s="191">
        <f>X159</f>
        <v>65.190640188159961</v>
      </c>
      <c r="AA152" s="191">
        <f>Z159</f>
        <v>65.292516191347161</v>
      </c>
      <c r="AB152" s="191">
        <f t="shared" ref="AB152:AK152" si="157">AA159</f>
        <v>65.384677025160258</v>
      </c>
      <c r="AC152" s="191">
        <f t="shared" si="157"/>
        <v>65.486856257420953</v>
      </c>
      <c r="AD152" s="191">
        <f t="shared" si="157"/>
        <v>65.585893914007514</v>
      </c>
      <c r="AE152" s="191">
        <f t="shared" si="157"/>
        <v>65.688387595893957</v>
      </c>
      <c r="AF152" s="191">
        <f t="shared" si="157"/>
        <v>65.787730034121168</v>
      </c>
      <c r="AG152" s="191">
        <f t="shared" si="157"/>
        <v>65.890539133330648</v>
      </c>
      <c r="AH152" s="191">
        <f t="shared" si="157"/>
        <v>65.993508896403668</v>
      </c>
      <c r="AI152" s="191">
        <f t="shared" si="157"/>
        <v>66.093312778351105</v>
      </c>
      <c r="AJ152" s="191">
        <f t="shared" si="157"/>
        <v>66.196599423854593</v>
      </c>
      <c r="AK152" s="191">
        <f t="shared" si="157"/>
        <v>66.296710445449023</v>
      </c>
      <c r="AL152" s="89"/>
      <c r="AM152" s="191">
        <f>AK159</f>
        <v>66.400314948567058</v>
      </c>
      <c r="AN152" s="191">
        <f>AM159</f>
        <v>55.541797744363286</v>
      </c>
      <c r="AO152" s="191">
        <f t="shared" ref="AO152:AW152" si="158">AN159</f>
        <v>26.517347636553719</v>
      </c>
      <c r="AP152" s="191">
        <f t="shared" si="158"/>
        <v>0</v>
      </c>
      <c r="AQ152" s="191">
        <f t="shared" si="158"/>
        <v>0</v>
      </c>
      <c r="AR152" s="191">
        <f t="shared" si="158"/>
        <v>0</v>
      </c>
      <c r="AS152" s="191">
        <f t="shared" si="158"/>
        <v>0</v>
      </c>
      <c r="AT152" s="191">
        <f t="shared" si="158"/>
        <v>0</v>
      </c>
      <c r="AU152" s="191">
        <f t="shared" si="158"/>
        <v>0</v>
      </c>
      <c r="AV152" s="191">
        <f t="shared" si="158"/>
        <v>0</v>
      </c>
      <c r="AW152" s="191">
        <f t="shared" si="158"/>
        <v>0</v>
      </c>
      <c r="AX152" s="934"/>
      <c r="AY152" s="934"/>
    </row>
    <row r="153" spans="2:51" s="165" customFormat="1" ht="13.5" thickBot="1">
      <c r="B153" s="200" t="s">
        <v>192</v>
      </c>
      <c r="C153" s="483">
        <v>1.84E-2</v>
      </c>
      <c r="L153" s="88"/>
      <c r="M153" s="191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89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89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934"/>
      <c r="AY153" s="934"/>
    </row>
    <row r="154" spans="2:51" s="165" customFormat="1">
      <c r="B154" s="200" t="s">
        <v>193</v>
      </c>
      <c r="L154" s="88"/>
      <c r="M154" s="191">
        <f>K159*$C$153*M4/M3</f>
        <v>0.10002003563881644</v>
      </c>
      <c r="N154" s="191">
        <f t="shared" ref="N154:X154" si="159">M159*$C$153*N4/N3</f>
        <v>9.0481856316561957E-2</v>
      </c>
      <c r="O154" s="191">
        <f t="shared" si="159"/>
        <v>0.10031774051325848</v>
      </c>
      <c r="P154" s="191">
        <f t="shared" si="159"/>
        <v>9.7233397772500507E-2</v>
      </c>
      <c r="Q154" s="191">
        <f t="shared" si="159"/>
        <v>0.10062646152497957</v>
      </c>
      <c r="R154" s="191">
        <f t="shared" si="159"/>
        <v>9.7532626929575067E-2</v>
      </c>
      <c r="S154" s="191">
        <f t="shared" si="159"/>
        <v>0.10093613260458087</v>
      </c>
      <c r="T154" s="191">
        <f t="shared" si="159"/>
        <v>0.10109386950879364</v>
      </c>
      <c r="U154" s="191">
        <f t="shared" si="159"/>
        <v>9.7985664111031809E-2</v>
      </c>
      <c r="V154" s="191">
        <f t="shared" si="159"/>
        <v>0.10140497900462037</v>
      </c>
      <c r="W154" s="191">
        <f t="shared" si="159"/>
        <v>9.8287208316510832E-2</v>
      </c>
      <c r="X154" s="191">
        <f t="shared" si="159"/>
        <v>0.10171704591872439</v>
      </c>
      <c r="Y154" s="89"/>
      <c r="Z154" s="191">
        <f>X159*$C$153*Z4/Z3</f>
        <v>0.10187600318719571</v>
      </c>
      <c r="AA154" s="191">
        <f t="shared" ref="AA154:AK154" si="160">Z159*$C$153*AA4/AA3</f>
        <v>9.2160833813101528E-2</v>
      </c>
      <c r="AB154" s="191">
        <f t="shared" si="160"/>
        <v>0.10217923226068878</v>
      </c>
      <c r="AC154" s="191">
        <f t="shared" si="160"/>
        <v>9.9037656586565395E-2</v>
      </c>
      <c r="AD154" s="191">
        <f t="shared" si="160"/>
        <v>0.10249368188643804</v>
      </c>
      <c r="AE154" s="191">
        <f t="shared" si="160"/>
        <v>9.9342438227214974E-2</v>
      </c>
      <c r="AF154" s="191">
        <f t="shared" si="160"/>
        <v>0.10280909920948687</v>
      </c>
      <c r="AG154" s="191">
        <f t="shared" si="160"/>
        <v>0.10296976307301862</v>
      </c>
      <c r="AH154" s="191">
        <f t="shared" si="160"/>
        <v>9.9803881947437875E-2</v>
      </c>
      <c r="AI154" s="191">
        <f t="shared" si="160"/>
        <v>0.10328664550348347</v>
      </c>
      <c r="AJ154" s="191">
        <f t="shared" si="160"/>
        <v>0.10011102159443216</v>
      </c>
      <c r="AK154" s="191">
        <f t="shared" si="160"/>
        <v>0.10360450311803868</v>
      </c>
      <c r="AL154" s="89"/>
      <c r="AM154" s="191">
        <f>AK159*$C$153</f>
        <v>1.2217657950536338</v>
      </c>
      <c r="AN154" s="191">
        <f>AM159*$C$153</f>
        <v>1.0219690784962845</v>
      </c>
      <c r="AO154" s="191">
        <f t="shared" ref="AO154:AW154" si="161">AN159*$C$153</f>
        <v>0.48791919651258842</v>
      </c>
      <c r="AP154" s="191">
        <f t="shared" si="161"/>
        <v>0</v>
      </c>
      <c r="AQ154" s="191">
        <f t="shared" si="161"/>
        <v>0</v>
      </c>
      <c r="AR154" s="191">
        <f t="shared" si="161"/>
        <v>0</v>
      </c>
      <c r="AS154" s="191">
        <f t="shared" si="161"/>
        <v>0</v>
      </c>
      <c r="AT154" s="191">
        <f t="shared" si="161"/>
        <v>0</v>
      </c>
      <c r="AU154" s="191">
        <f t="shared" si="161"/>
        <v>0</v>
      </c>
      <c r="AV154" s="191">
        <f t="shared" si="161"/>
        <v>0</v>
      </c>
      <c r="AW154" s="191">
        <f t="shared" si="161"/>
        <v>0</v>
      </c>
      <c r="AX154" s="934"/>
      <c r="AY154" s="934"/>
    </row>
    <row r="155" spans="2:51" s="165" customFormat="1">
      <c r="B155" s="200" t="s">
        <v>194</v>
      </c>
      <c r="L155" s="88"/>
      <c r="M155" s="191">
        <f t="shared" ref="M155:X155" si="162">M44*M7</f>
        <v>0</v>
      </c>
      <c r="N155" s="191">
        <f t="shared" si="162"/>
        <v>0</v>
      </c>
      <c r="O155" s="191">
        <f t="shared" si="162"/>
        <v>0</v>
      </c>
      <c r="P155" s="191">
        <f t="shared" si="162"/>
        <v>0</v>
      </c>
      <c r="Q155" s="191">
        <f t="shared" si="162"/>
        <v>0</v>
      </c>
      <c r="R155" s="191">
        <f t="shared" si="162"/>
        <v>0</v>
      </c>
      <c r="S155" s="191">
        <f t="shared" si="162"/>
        <v>0</v>
      </c>
      <c r="T155" s="191">
        <f t="shared" si="162"/>
        <v>0</v>
      </c>
      <c r="U155" s="191">
        <f t="shared" si="162"/>
        <v>0</v>
      </c>
      <c r="V155" s="191">
        <f t="shared" si="162"/>
        <v>0</v>
      </c>
      <c r="W155" s="191">
        <f t="shared" si="162"/>
        <v>0</v>
      </c>
      <c r="X155" s="191">
        <f t="shared" si="162"/>
        <v>0</v>
      </c>
      <c r="Y155" s="89"/>
      <c r="Z155" s="191">
        <f t="shared" ref="Z155:AK155" si="163">Z44*Z7</f>
        <v>0</v>
      </c>
      <c r="AA155" s="191">
        <f t="shared" si="163"/>
        <v>0</v>
      </c>
      <c r="AB155" s="191">
        <f t="shared" si="163"/>
        <v>0</v>
      </c>
      <c r="AC155" s="191">
        <f t="shared" si="163"/>
        <v>0</v>
      </c>
      <c r="AD155" s="191">
        <f t="shared" si="163"/>
        <v>0</v>
      </c>
      <c r="AE155" s="191">
        <f t="shared" si="163"/>
        <v>0</v>
      </c>
      <c r="AF155" s="191">
        <f t="shared" si="163"/>
        <v>0</v>
      </c>
      <c r="AG155" s="191">
        <f t="shared" si="163"/>
        <v>0</v>
      </c>
      <c r="AH155" s="191">
        <f t="shared" si="163"/>
        <v>0</v>
      </c>
      <c r="AI155" s="191">
        <f t="shared" si="163"/>
        <v>0</v>
      </c>
      <c r="AJ155" s="191">
        <f t="shared" si="163"/>
        <v>0</v>
      </c>
      <c r="AK155" s="191">
        <f t="shared" si="163"/>
        <v>0</v>
      </c>
      <c r="AL155" s="89"/>
      <c r="AM155" s="191">
        <f t="shared" ref="AM155:AW155" si="164">AM44*AM7</f>
        <v>-12.080282999257401</v>
      </c>
      <c r="AN155" s="191">
        <f t="shared" si="164"/>
        <v>-30.046419186305851</v>
      </c>
      <c r="AO155" s="191">
        <f t="shared" si="164"/>
        <v>-27.005266833066308</v>
      </c>
      <c r="AP155" s="191">
        <f t="shared" si="164"/>
        <v>0</v>
      </c>
      <c r="AQ155" s="191">
        <f t="shared" si="164"/>
        <v>0</v>
      </c>
      <c r="AR155" s="191">
        <f t="shared" si="164"/>
        <v>0</v>
      </c>
      <c r="AS155" s="191">
        <f t="shared" si="164"/>
        <v>0</v>
      </c>
      <c r="AT155" s="191">
        <f t="shared" si="164"/>
        <v>0</v>
      </c>
      <c r="AU155" s="191">
        <f t="shared" si="164"/>
        <v>0</v>
      </c>
      <c r="AV155" s="191">
        <f t="shared" si="164"/>
        <v>0</v>
      </c>
      <c r="AW155" s="191">
        <f t="shared" si="164"/>
        <v>0</v>
      </c>
      <c r="AX155" s="934"/>
      <c r="AY155" s="934"/>
    </row>
    <row r="156" spans="2:51" s="165" customFormat="1">
      <c r="B156" s="200" t="s">
        <v>248</v>
      </c>
      <c r="L156" s="88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89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89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934"/>
      <c r="AY156" s="934"/>
    </row>
    <row r="157" spans="2:51" s="165" customFormat="1">
      <c r="B157" s="200" t="s">
        <v>249</v>
      </c>
      <c r="L157" s="88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89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89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934"/>
      <c r="AY157" s="934"/>
    </row>
    <row r="158" spans="2:51" s="165" customFormat="1">
      <c r="B158" s="200" t="s">
        <v>195</v>
      </c>
      <c r="L158" s="88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89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89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934"/>
      <c r="AY158" s="934"/>
    </row>
    <row r="159" spans="2:51" s="165" customFormat="1" ht="15">
      <c r="B159" s="200" t="s">
        <v>532</v>
      </c>
      <c r="K159" s="473">
        <v>64.003003169999999</v>
      </c>
      <c r="L159" s="88"/>
      <c r="M159" s="191">
        <f>M152+M154+M155+M158</f>
        <v>64.10302320563882</v>
      </c>
      <c r="N159" s="191">
        <f>N152+N154+N155+N158</f>
        <v>64.193505061955378</v>
      </c>
      <c r="O159" s="191">
        <f t="shared" ref="O159:W159" si="165">O152+O154+O155+O158</f>
        <v>64.29382280246864</v>
      </c>
      <c r="P159" s="191">
        <f t="shared" si="165"/>
        <v>64.391056200241138</v>
      </c>
      <c r="Q159" s="191">
        <f t="shared" si="165"/>
        <v>64.49168266176612</v>
      </c>
      <c r="R159" s="191">
        <f t="shared" si="165"/>
        <v>64.589215288695698</v>
      </c>
      <c r="S159" s="191">
        <f t="shared" si="165"/>
        <v>64.690151421300286</v>
      </c>
      <c r="T159" s="191">
        <f t="shared" si="165"/>
        <v>64.791245290809073</v>
      </c>
      <c r="U159" s="191">
        <f t="shared" si="165"/>
        <v>64.889230954920109</v>
      </c>
      <c r="V159" s="191">
        <f t="shared" si="165"/>
        <v>64.990635933924736</v>
      </c>
      <c r="W159" s="191">
        <f t="shared" si="165"/>
        <v>65.088923142241242</v>
      </c>
      <c r="X159" s="191">
        <f>X152+X154+X155+X158</f>
        <v>65.190640188159961</v>
      </c>
      <c r="Y159" s="89"/>
      <c r="Z159" s="191">
        <f>Z152+Z154+Z155+Z158</f>
        <v>65.292516191347161</v>
      </c>
      <c r="AA159" s="191">
        <f t="shared" ref="AA159:AM159" si="166">AA152+AA154+AA155+AA158</f>
        <v>65.384677025160258</v>
      </c>
      <c r="AB159" s="191">
        <f t="shared" si="166"/>
        <v>65.486856257420953</v>
      </c>
      <c r="AC159" s="191">
        <f t="shared" si="166"/>
        <v>65.585893914007514</v>
      </c>
      <c r="AD159" s="191">
        <f t="shared" si="166"/>
        <v>65.688387595893957</v>
      </c>
      <c r="AE159" s="191">
        <f t="shared" si="166"/>
        <v>65.787730034121168</v>
      </c>
      <c r="AF159" s="191">
        <f t="shared" si="166"/>
        <v>65.890539133330648</v>
      </c>
      <c r="AG159" s="191">
        <f t="shared" si="166"/>
        <v>65.993508896403668</v>
      </c>
      <c r="AH159" s="191">
        <f t="shared" si="166"/>
        <v>66.093312778351105</v>
      </c>
      <c r="AI159" s="191">
        <f t="shared" si="166"/>
        <v>66.196599423854593</v>
      </c>
      <c r="AJ159" s="191">
        <f t="shared" si="166"/>
        <v>66.296710445449023</v>
      </c>
      <c r="AK159" s="191">
        <f t="shared" si="166"/>
        <v>66.400314948567058</v>
      </c>
      <c r="AL159" s="89"/>
      <c r="AM159" s="191">
        <f t="shared" si="166"/>
        <v>55.541797744363286</v>
      </c>
      <c r="AN159" s="191">
        <f t="shared" ref="AN159:AW159" si="167">AN152+AN154+AN155+AN158</f>
        <v>26.517347636553719</v>
      </c>
      <c r="AO159" s="191">
        <f t="shared" si="167"/>
        <v>0</v>
      </c>
      <c r="AP159" s="191">
        <f t="shared" si="167"/>
        <v>0</v>
      </c>
      <c r="AQ159" s="191">
        <f t="shared" si="167"/>
        <v>0</v>
      </c>
      <c r="AR159" s="191">
        <f t="shared" si="167"/>
        <v>0</v>
      </c>
      <c r="AS159" s="191">
        <f t="shared" si="167"/>
        <v>0</v>
      </c>
      <c r="AT159" s="191">
        <f t="shared" si="167"/>
        <v>0</v>
      </c>
      <c r="AU159" s="191">
        <f t="shared" si="167"/>
        <v>0</v>
      </c>
      <c r="AV159" s="191">
        <f t="shared" si="167"/>
        <v>0</v>
      </c>
      <c r="AW159" s="191">
        <f t="shared" si="167"/>
        <v>0</v>
      </c>
      <c r="AX159" s="934"/>
      <c r="AY159" s="934"/>
    </row>
    <row r="160" spans="2:51" s="165" customFormat="1">
      <c r="L160" s="88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89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89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934"/>
      <c r="AY160" s="934"/>
    </row>
    <row r="161" spans="2:51" s="165" customFormat="1">
      <c r="L161" s="88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89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89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934"/>
      <c r="AY161" s="934"/>
    </row>
    <row r="162" spans="2:51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28"/>
      <c r="AY162" s="28"/>
    </row>
    <row r="163" spans="2:51">
      <c r="B163" t="s">
        <v>373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74"/>
      <c r="M163" s="363">
        <f t="shared" ref="M163:W164" si="168">M20</f>
        <v>0</v>
      </c>
      <c r="N163" s="363">
        <f t="shared" si="168"/>
        <v>0</v>
      </c>
      <c r="O163" s="363">
        <f t="shared" si="168"/>
        <v>0</v>
      </c>
      <c r="P163" s="363">
        <f t="shared" si="168"/>
        <v>0</v>
      </c>
      <c r="Q163" s="363">
        <f t="shared" si="168"/>
        <v>0</v>
      </c>
      <c r="R163" s="363">
        <f>R20</f>
        <v>0</v>
      </c>
      <c r="S163" s="363">
        <f t="shared" si="168"/>
        <v>0</v>
      </c>
      <c r="T163" s="363">
        <f t="shared" si="168"/>
        <v>0</v>
      </c>
      <c r="U163" s="363">
        <f t="shared" si="168"/>
        <v>0</v>
      </c>
      <c r="V163" s="363">
        <f t="shared" si="168"/>
        <v>0</v>
      </c>
      <c r="W163" s="363">
        <f t="shared" si="168"/>
        <v>0</v>
      </c>
      <c r="X163" s="363">
        <f t="shared" ref="X163:AJ164" si="169">X20</f>
        <v>0</v>
      </c>
      <c r="Y163" s="174">
        <v>0</v>
      </c>
      <c r="Z163" s="363">
        <f t="shared" si="169"/>
        <v>0</v>
      </c>
      <c r="AA163" s="363">
        <f t="shared" si="169"/>
        <v>0</v>
      </c>
      <c r="AB163" s="363">
        <f t="shared" si="169"/>
        <v>0</v>
      </c>
      <c r="AC163" s="363">
        <f t="shared" si="169"/>
        <v>0</v>
      </c>
      <c r="AD163" s="363">
        <f t="shared" si="169"/>
        <v>0</v>
      </c>
      <c r="AE163" s="363">
        <f t="shared" si="169"/>
        <v>0</v>
      </c>
      <c r="AF163" s="363">
        <f t="shared" si="169"/>
        <v>0</v>
      </c>
      <c r="AG163" s="363">
        <f t="shared" si="169"/>
        <v>0</v>
      </c>
      <c r="AH163" s="363">
        <f t="shared" si="169"/>
        <v>0</v>
      </c>
      <c r="AI163" s="363">
        <f t="shared" si="169"/>
        <v>0</v>
      </c>
      <c r="AJ163" s="363">
        <f t="shared" si="169"/>
        <v>0</v>
      </c>
      <c r="AK163" s="363">
        <f>AK20</f>
        <v>0</v>
      </c>
      <c r="AL163" s="174">
        <v>0</v>
      </c>
      <c r="AM163" s="363">
        <f>AM20</f>
        <v>0</v>
      </c>
      <c r="AN163" s="363">
        <f t="shared" ref="AN163:AW164" si="170">AN20</f>
        <v>0</v>
      </c>
      <c r="AO163" s="363">
        <f t="shared" si="170"/>
        <v>0</v>
      </c>
      <c r="AP163" s="363">
        <f t="shared" si="170"/>
        <v>0</v>
      </c>
      <c r="AQ163" s="363">
        <f t="shared" si="170"/>
        <v>0</v>
      </c>
      <c r="AR163" s="363">
        <f t="shared" si="170"/>
        <v>0</v>
      </c>
      <c r="AS163" s="363">
        <f t="shared" si="170"/>
        <v>0</v>
      </c>
      <c r="AT163" s="363">
        <f t="shared" si="170"/>
        <v>0</v>
      </c>
      <c r="AU163" s="363">
        <f t="shared" si="170"/>
        <v>0</v>
      </c>
      <c r="AV163" s="363">
        <f t="shared" si="170"/>
        <v>0</v>
      </c>
      <c r="AW163" s="363">
        <f t="shared" si="170"/>
        <v>0</v>
      </c>
      <c r="AX163" s="447"/>
      <c r="AY163" s="447"/>
    </row>
    <row r="164" spans="2:51">
      <c r="B164" s="13" t="s">
        <v>374</v>
      </c>
      <c r="C164" s="13"/>
      <c r="D164" s="363"/>
      <c r="E164" s="363"/>
      <c r="F164" s="363"/>
      <c r="G164" s="363"/>
      <c r="H164" s="363"/>
      <c r="I164" s="363"/>
      <c r="J164" s="363"/>
      <c r="K164" s="363"/>
      <c r="L164" s="174"/>
      <c r="M164" s="363">
        <f t="shared" si="168"/>
        <v>0</v>
      </c>
      <c r="N164" s="363">
        <f t="shared" si="168"/>
        <v>0</v>
      </c>
      <c r="O164" s="363">
        <f t="shared" si="168"/>
        <v>0</v>
      </c>
      <c r="P164" s="363">
        <f t="shared" si="168"/>
        <v>0</v>
      </c>
      <c r="Q164" s="363">
        <f t="shared" si="168"/>
        <v>0</v>
      </c>
      <c r="R164" s="363">
        <f>R21</f>
        <v>0</v>
      </c>
      <c r="S164" s="363">
        <f t="shared" si="168"/>
        <v>0</v>
      </c>
      <c r="T164" s="363">
        <f t="shared" si="168"/>
        <v>0</v>
      </c>
      <c r="U164" s="363">
        <f t="shared" si="168"/>
        <v>0</v>
      </c>
      <c r="V164" s="363">
        <f t="shared" si="168"/>
        <v>0</v>
      </c>
      <c r="W164" s="363">
        <f t="shared" si="168"/>
        <v>0</v>
      </c>
      <c r="X164" s="363">
        <f t="shared" si="169"/>
        <v>0</v>
      </c>
      <c r="Y164" s="174">
        <v>0</v>
      </c>
      <c r="Z164" s="363">
        <f t="shared" si="169"/>
        <v>0</v>
      </c>
      <c r="AA164" s="363">
        <f t="shared" si="169"/>
        <v>0</v>
      </c>
      <c r="AB164" s="363">
        <f t="shared" si="169"/>
        <v>0</v>
      </c>
      <c r="AC164" s="363">
        <f t="shared" si="169"/>
        <v>0</v>
      </c>
      <c r="AD164" s="363">
        <f t="shared" si="169"/>
        <v>0</v>
      </c>
      <c r="AE164" s="363">
        <f t="shared" si="169"/>
        <v>0</v>
      </c>
      <c r="AF164" s="363">
        <f t="shared" si="169"/>
        <v>0</v>
      </c>
      <c r="AG164" s="363">
        <f t="shared" si="169"/>
        <v>0</v>
      </c>
      <c r="AH164" s="363">
        <f t="shared" si="169"/>
        <v>0</v>
      </c>
      <c r="AI164" s="363">
        <f t="shared" si="169"/>
        <v>0</v>
      </c>
      <c r="AJ164" s="363">
        <f t="shared" si="169"/>
        <v>0</v>
      </c>
      <c r="AK164" s="363">
        <f>AK21</f>
        <v>0</v>
      </c>
      <c r="AL164" s="174">
        <v>0</v>
      </c>
      <c r="AM164" s="363">
        <f>AM21</f>
        <v>0</v>
      </c>
      <c r="AN164" s="363">
        <f t="shared" si="170"/>
        <v>0</v>
      </c>
      <c r="AO164" s="363">
        <f t="shared" si="170"/>
        <v>0</v>
      </c>
      <c r="AP164" s="363">
        <f t="shared" si="170"/>
        <v>0</v>
      </c>
      <c r="AQ164" s="363">
        <f t="shared" si="170"/>
        <v>0</v>
      </c>
      <c r="AR164" s="363">
        <f t="shared" si="170"/>
        <v>0</v>
      </c>
      <c r="AS164" s="363">
        <f t="shared" si="170"/>
        <v>0</v>
      </c>
      <c r="AT164" s="363">
        <f t="shared" si="170"/>
        <v>0</v>
      </c>
      <c r="AU164" s="363">
        <f t="shared" si="170"/>
        <v>0</v>
      </c>
      <c r="AV164" s="363">
        <f t="shared" si="170"/>
        <v>0</v>
      </c>
      <c r="AW164" s="363">
        <f t="shared" si="170"/>
        <v>0</v>
      </c>
      <c r="AX164" s="447"/>
      <c r="AY164" s="447"/>
    </row>
    <row r="168" spans="2:51" ht="15.75">
      <c r="B168" s="15" t="s">
        <v>133</v>
      </c>
    </row>
    <row r="169" spans="2:51">
      <c r="B169" s="13" t="s">
        <v>140</v>
      </c>
      <c r="C169" s="13"/>
      <c r="D169" s="26"/>
      <c r="E169" s="26"/>
      <c r="F169" s="26"/>
      <c r="G169" s="26"/>
      <c r="H169" s="26"/>
      <c r="I169" s="26"/>
      <c r="J169" s="26"/>
      <c r="K169" s="26"/>
      <c r="L169" s="295"/>
      <c r="M169" s="26">
        <f>M30</f>
        <v>0.62007717865555445</v>
      </c>
      <c r="N169" s="26">
        <f>N30</f>
        <v>0.6421071040542512</v>
      </c>
      <c r="O169" s="26">
        <f t="shared" ref="O169:Y169" si="171">O30</f>
        <v>0.60225478278805455</v>
      </c>
      <c r="P169" s="26">
        <f t="shared" si="171"/>
        <v>0.62588127198433741</v>
      </c>
      <c r="Q169" s="26">
        <f t="shared" si="171"/>
        <v>0.59278391830929833</v>
      </c>
      <c r="R169" s="26">
        <f t="shared" si="171"/>
        <v>0.63759468352508031</v>
      </c>
      <c r="S169" s="26">
        <f t="shared" si="171"/>
        <v>0.66248216110860136</v>
      </c>
      <c r="T169" s="26">
        <f t="shared" si="171"/>
        <v>0.58999412621152492</v>
      </c>
      <c r="U169" s="26">
        <f t="shared" si="171"/>
        <v>0.59689126143435378</v>
      </c>
      <c r="V169" s="26">
        <f t="shared" si="171"/>
        <v>0.61518647901424628</v>
      </c>
      <c r="W169" s="26">
        <f t="shared" si="171"/>
        <v>0.66012020916749126</v>
      </c>
      <c r="X169" s="26">
        <f t="shared" si="171"/>
        <v>0.6676124459819347</v>
      </c>
      <c r="Y169" s="295">
        <f t="shared" si="171"/>
        <v>0.6267358411815569</v>
      </c>
      <c r="Z169" s="26">
        <f t="shared" ref="Z169:AW169" si="172">Z30</f>
        <v>0.62043400373191437</v>
      </c>
      <c r="AA169" s="26">
        <f t="shared" si="172"/>
        <v>0.64246229139912725</v>
      </c>
      <c r="AB169" s="26">
        <f t="shared" si="172"/>
        <v>0.60260522845273723</v>
      </c>
      <c r="AC169" s="26">
        <f t="shared" si="172"/>
        <v>0.62624991477063163</v>
      </c>
      <c r="AD169" s="26">
        <f t="shared" si="172"/>
        <v>0.59364426524473113</v>
      </c>
      <c r="AE169" s="26">
        <f t="shared" si="172"/>
        <v>0.63853402059300746</v>
      </c>
      <c r="AF169" s="26">
        <f t="shared" si="172"/>
        <v>0.66345047987002659</v>
      </c>
      <c r="AG169" s="26">
        <f t="shared" si="172"/>
        <v>0.59087102603416286</v>
      </c>
      <c r="AH169" s="26">
        <f t="shared" si="172"/>
        <v>0.59773994674262954</v>
      </c>
      <c r="AI169" s="26">
        <f t="shared" si="172"/>
        <v>0.61610720943528086</v>
      </c>
      <c r="AJ169" s="26">
        <f t="shared" si="172"/>
        <v>0.66046475335513422</v>
      </c>
      <c r="AK169" s="26">
        <f t="shared" si="172"/>
        <v>0.66797559720524868</v>
      </c>
      <c r="AL169" s="295">
        <f t="shared" si="172"/>
        <v>0.6273694254831087</v>
      </c>
      <c r="AM169" s="26">
        <f t="shared" si="172"/>
        <v>0.62782250002765549</v>
      </c>
      <c r="AN169" s="26">
        <f t="shared" si="172"/>
        <v>0.62671924038793869</v>
      </c>
      <c r="AO169" s="26">
        <f t="shared" si="172"/>
        <v>0.62898595107032895</v>
      </c>
      <c r="AP169" s="26">
        <f t="shared" si="172"/>
        <v>0.62933437542435455</v>
      </c>
      <c r="AQ169" s="26">
        <f t="shared" si="172"/>
        <v>0.62967238891181321</v>
      </c>
      <c r="AR169" s="26">
        <f t="shared" si="172"/>
        <v>0.6284174118968795</v>
      </c>
      <c r="AS169" s="26">
        <f t="shared" si="172"/>
        <v>0.63061230814641067</v>
      </c>
      <c r="AT169" s="26">
        <f t="shared" si="172"/>
        <v>0.63108850845459619</v>
      </c>
      <c r="AU169" s="26">
        <f t="shared" si="172"/>
        <v>0.63156353660383147</v>
      </c>
      <c r="AV169" s="26">
        <f t="shared" si="172"/>
        <v>0.63031291025674219</v>
      </c>
      <c r="AW169" s="26">
        <f t="shared" si="172"/>
        <v>0.63250272799411034</v>
      </c>
      <c r="AX169" s="938"/>
      <c r="AY169" s="938"/>
    </row>
    <row r="170" spans="2:51">
      <c r="B170" s="24" t="s">
        <v>141</v>
      </c>
      <c r="C170" s="465">
        <f>C31</f>
        <v>9.5</v>
      </c>
      <c r="L170" s="211"/>
      <c r="M170" s="78">
        <f>C170*(1+M163)</f>
        <v>9.5</v>
      </c>
      <c r="N170" s="78">
        <f>M170*(1+N163)</f>
        <v>9.5</v>
      </c>
      <c r="O170" s="78">
        <f t="shared" ref="O170:W170" si="173">N170*(1+O163)</f>
        <v>9.5</v>
      </c>
      <c r="P170" s="78">
        <f t="shared" si="173"/>
        <v>9.5</v>
      </c>
      <c r="Q170" s="78">
        <f t="shared" si="173"/>
        <v>9.5</v>
      </c>
      <c r="R170" s="78">
        <f t="shared" si="173"/>
        <v>9.5</v>
      </c>
      <c r="S170" s="78">
        <f t="shared" si="173"/>
        <v>9.5</v>
      </c>
      <c r="T170" s="571">
        <f>((S170*20)+(U170*11))/31</f>
        <v>12.143548387096773</v>
      </c>
      <c r="U170" s="572">
        <v>16.95</v>
      </c>
      <c r="V170" s="78">
        <f t="shared" si="173"/>
        <v>16.95</v>
      </c>
      <c r="W170" s="78">
        <f t="shared" si="173"/>
        <v>16.95</v>
      </c>
      <c r="X170" s="78">
        <f>W170*(1+X163)</f>
        <v>16.95</v>
      </c>
      <c r="Y170" s="211"/>
      <c r="Z170" s="78">
        <f>X170*(1+Z163)</f>
        <v>16.95</v>
      </c>
      <c r="AA170" s="78">
        <f>Z170*(1+AA163)</f>
        <v>16.95</v>
      </c>
      <c r="AB170" s="78">
        <f t="shared" ref="AB170:AJ170" si="174">AA170*(1+AB163)</f>
        <v>16.95</v>
      </c>
      <c r="AC170" s="78">
        <f t="shared" si="174"/>
        <v>16.95</v>
      </c>
      <c r="AD170" s="78">
        <f t="shared" si="174"/>
        <v>16.95</v>
      </c>
      <c r="AE170" s="78">
        <f t="shared" si="174"/>
        <v>16.95</v>
      </c>
      <c r="AF170" s="78">
        <f t="shared" si="174"/>
        <v>16.95</v>
      </c>
      <c r="AG170" s="78">
        <f t="shared" si="174"/>
        <v>16.95</v>
      </c>
      <c r="AH170" s="78">
        <f t="shared" si="174"/>
        <v>16.95</v>
      </c>
      <c r="AI170" s="78">
        <f t="shared" si="174"/>
        <v>16.95</v>
      </c>
      <c r="AJ170" s="78">
        <f t="shared" si="174"/>
        <v>16.95</v>
      </c>
      <c r="AK170" s="78">
        <f>AJ170*(1+AK163)</f>
        <v>16.95</v>
      </c>
      <c r="AL170" s="211"/>
      <c r="AM170" s="78">
        <f>AK170*(1+AM163)</f>
        <v>16.95</v>
      </c>
      <c r="AN170" s="78">
        <f>AM170*(1+AN163)</f>
        <v>16.95</v>
      </c>
      <c r="AO170" s="78">
        <f t="shared" ref="AO170:AW170" si="175">AN170*(1+AO163)</f>
        <v>16.95</v>
      </c>
      <c r="AP170" s="78">
        <f t="shared" si="175"/>
        <v>16.95</v>
      </c>
      <c r="AQ170" s="78">
        <f t="shared" si="175"/>
        <v>16.95</v>
      </c>
      <c r="AR170" s="78">
        <f t="shared" si="175"/>
        <v>16.95</v>
      </c>
      <c r="AS170" s="78">
        <f t="shared" si="175"/>
        <v>16.95</v>
      </c>
      <c r="AT170" s="78">
        <f t="shared" si="175"/>
        <v>16.95</v>
      </c>
      <c r="AU170" s="78">
        <f t="shared" si="175"/>
        <v>16.95</v>
      </c>
      <c r="AV170" s="78">
        <f t="shared" si="175"/>
        <v>16.95</v>
      </c>
      <c r="AW170" s="78">
        <f t="shared" si="175"/>
        <v>16.95</v>
      </c>
      <c r="AX170" s="780"/>
      <c r="AY170" s="780"/>
    </row>
    <row r="171" spans="2:51">
      <c r="B171" s="24" t="s">
        <v>142</v>
      </c>
      <c r="C171" s="465">
        <f>C32</f>
        <v>29.736000000000001</v>
      </c>
      <c r="L171" s="211"/>
      <c r="M171" s="78">
        <f>C171*(1+M163)</f>
        <v>29.736000000000001</v>
      </c>
      <c r="N171" s="78">
        <f>M171*(1+N163)</f>
        <v>29.736000000000001</v>
      </c>
      <c r="O171" s="78">
        <f t="shared" ref="O171:W171" si="176">N171*(1+O163)</f>
        <v>29.736000000000001</v>
      </c>
      <c r="P171" s="78">
        <f t="shared" si="176"/>
        <v>29.736000000000001</v>
      </c>
      <c r="Q171" s="78">
        <f t="shared" si="176"/>
        <v>29.736000000000001</v>
      </c>
      <c r="R171" s="78">
        <f t="shared" si="176"/>
        <v>29.736000000000001</v>
      </c>
      <c r="S171" s="78">
        <f t="shared" si="176"/>
        <v>29.736000000000001</v>
      </c>
      <c r="T171" s="571">
        <f>((S171*20)+(U171*11))/31</f>
        <v>29.829677419354841</v>
      </c>
      <c r="U171" s="572">
        <v>30</v>
      </c>
      <c r="V171" s="78">
        <f t="shared" si="176"/>
        <v>30</v>
      </c>
      <c r="W171" s="78">
        <f t="shared" si="176"/>
        <v>30</v>
      </c>
      <c r="X171" s="78">
        <f>W171*(1+X163)</f>
        <v>30</v>
      </c>
      <c r="Y171" s="211"/>
      <c r="Z171" s="78">
        <f>X171*(1+Z163)</f>
        <v>30</v>
      </c>
      <c r="AA171" s="78">
        <f>Z171*(1+AA163)</f>
        <v>30</v>
      </c>
      <c r="AB171" s="78">
        <f t="shared" ref="AB171:AJ171" si="177">AA171*(1+AB163)</f>
        <v>30</v>
      </c>
      <c r="AC171" s="78">
        <f t="shared" si="177"/>
        <v>30</v>
      </c>
      <c r="AD171" s="78">
        <f t="shared" si="177"/>
        <v>30</v>
      </c>
      <c r="AE171" s="78">
        <f t="shared" si="177"/>
        <v>30</v>
      </c>
      <c r="AF171" s="78">
        <f t="shared" si="177"/>
        <v>30</v>
      </c>
      <c r="AG171" s="78">
        <f t="shared" si="177"/>
        <v>30</v>
      </c>
      <c r="AH171" s="78">
        <f t="shared" si="177"/>
        <v>30</v>
      </c>
      <c r="AI171" s="78">
        <f t="shared" si="177"/>
        <v>30</v>
      </c>
      <c r="AJ171" s="78">
        <f t="shared" si="177"/>
        <v>30</v>
      </c>
      <c r="AK171" s="78">
        <f>AJ171*(1+AK163)</f>
        <v>30</v>
      </c>
      <c r="AL171" s="211"/>
      <c r="AM171" s="78">
        <f>AK171*(1+AM163)</f>
        <v>30</v>
      </c>
      <c r="AN171" s="78">
        <f>AM171*(1+AN163)</f>
        <v>30</v>
      </c>
      <c r="AO171" s="78">
        <f t="shared" ref="AO171:AW171" si="178">AN171*(1+AO163)</f>
        <v>30</v>
      </c>
      <c r="AP171" s="78">
        <f t="shared" si="178"/>
        <v>30</v>
      </c>
      <c r="AQ171" s="78">
        <f t="shared" si="178"/>
        <v>30</v>
      </c>
      <c r="AR171" s="78">
        <f t="shared" si="178"/>
        <v>30</v>
      </c>
      <c r="AS171" s="78">
        <f t="shared" si="178"/>
        <v>30</v>
      </c>
      <c r="AT171" s="78">
        <f t="shared" si="178"/>
        <v>30</v>
      </c>
      <c r="AU171" s="78">
        <f t="shared" si="178"/>
        <v>30</v>
      </c>
      <c r="AV171" s="78">
        <f t="shared" si="178"/>
        <v>30</v>
      </c>
      <c r="AW171" s="78">
        <f t="shared" si="178"/>
        <v>30</v>
      </c>
      <c r="AX171" s="780"/>
      <c r="AY171" s="780"/>
    </row>
    <row r="172" spans="2:51" ht="13.5" thickBot="1">
      <c r="B172" s="13" t="s">
        <v>144</v>
      </c>
      <c r="C172" s="13"/>
      <c r="D172" s="52"/>
      <c r="E172" s="52"/>
      <c r="F172" s="52"/>
      <c r="G172" s="52"/>
      <c r="H172" s="52"/>
      <c r="I172" s="52"/>
      <c r="J172" s="52"/>
      <c r="K172" s="52"/>
      <c r="L172" s="176"/>
      <c r="M172" s="52">
        <f>M33</f>
        <v>50.328303093602486</v>
      </c>
      <c r="N172" s="52">
        <f t="shared" ref="N172:AW172" si="179">N33</f>
        <v>51.752427902206087</v>
      </c>
      <c r="O172" s="52">
        <f t="shared" si="179"/>
        <v>50.937686676840691</v>
      </c>
      <c r="P172" s="52">
        <f t="shared" si="179"/>
        <v>50.817385615856288</v>
      </c>
      <c r="Q172" s="52">
        <f t="shared" si="179"/>
        <v>51.276424444575873</v>
      </c>
      <c r="R172" s="52">
        <f t="shared" si="179"/>
        <v>50.430094203383419</v>
      </c>
      <c r="S172" s="52">
        <f t="shared" si="179"/>
        <v>49.010205335482034</v>
      </c>
      <c r="T172" s="52">
        <f t="shared" si="179"/>
        <v>57.494314935964915</v>
      </c>
      <c r="U172" s="52">
        <f t="shared" si="179"/>
        <v>69.44046124933223</v>
      </c>
      <c r="V172" s="52">
        <f t="shared" si="179"/>
        <v>67.033092959100202</v>
      </c>
      <c r="W172" s="52">
        <f t="shared" si="179"/>
        <v>65.662696490319789</v>
      </c>
      <c r="X172" s="52">
        <f t="shared" si="179"/>
        <v>64.124975053464794</v>
      </c>
      <c r="Y172" s="176"/>
      <c r="Z172" s="52">
        <f t="shared" si="179"/>
        <v>66.719873391014517</v>
      </c>
      <c r="AA172" s="52">
        <f t="shared" si="179"/>
        <v>69.260225266737805</v>
      </c>
      <c r="AB172" s="52">
        <f t="shared" si="179"/>
        <v>67.80627347527728</v>
      </c>
      <c r="AC172" s="52">
        <f t="shared" si="179"/>
        <v>67.591488815274261</v>
      </c>
      <c r="AD172" s="52">
        <f t="shared" si="179"/>
        <v>68.376952997472472</v>
      </c>
      <c r="AE172" s="52">
        <f t="shared" si="179"/>
        <v>66.868304440229338</v>
      </c>
      <c r="AF172" s="52">
        <f t="shared" si="179"/>
        <v>64.339048287340589</v>
      </c>
      <c r="AG172" s="52">
        <f t="shared" si="179"/>
        <v>68.557074320308445</v>
      </c>
      <c r="AH172" s="52">
        <f t="shared" si="179"/>
        <v>69.384462749990931</v>
      </c>
      <c r="AI172" s="52">
        <f t="shared" si="179"/>
        <v>66.977749514403783</v>
      </c>
      <c r="AJ172" s="52">
        <f t="shared" si="179"/>
        <v>65.644092356292987</v>
      </c>
      <c r="AK172" s="52">
        <f t="shared" si="179"/>
        <v>64.106422689444187</v>
      </c>
      <c r="AL172" s="176"/>
      <c r="AM172" s="52">
        <f t="shared" si="179"/>
        <v>66.98366669109339</v>
      </c>
      <c r="AN172" s="52">
        <f t="shared" si="179"/>
        <v>66.94754558769354</v>
      </c>
      <c r="AO172" s="52">
        <f t="shared" si="179"/>
        <v>66.915257077968604</v>
      </c>
      <c r="AP172" s="52">
        <f t="shared" si="179"/>
        <v>66.894819334372599</v>
      </c>
      <c r="AQ172" s="52">
        <f t="shared" si="179"/>
        <v>66.875013881931025</v>
      </c>
      <c r="AR172" s="52">
        <f t="shared" si="179"/>
        <v>66.84770228600506</v>
      </c>
      <c r="AS172" s="52">
        <f t="shared" si="179"/>
        <v>66.820052165554827</v>
      </c>
      <c r="AT172" s="52">
        <f t="shared" si="179"/>
        <v>66.792268867406065</v>
      </c>
      <c r="AU172" s="52">
        <f t="shared" si="179"/>
        <v>66.764595700142138</v>
      </c>
      <c r="AV172" s="52">
        <f t="shared" si="179"/>
        <v>66.736892626054768</v>
      </c>
      <c r="AW172" s="52">
        <f t="shared" si="179"/>
        <v>66.710004644292994</v>
      </c>
      <c r="AX172" s="837"/>
      <c r="AY172" s="837"/>
    </row>
    <row r="173" spans="2:51" ht="13.5" thickTop="1">
      <c r="B173" s="13"/>
      <c r="C173" s="13"/>
    </row>
    <row r="174" spans="2:51">
      <c r="B174" s="13"/>
      <c r="C174" s="13"/>
      <c r="D174" s="4"/>
      <c r="E174" s="4"/>
      <c r="F174" s="4"/>
      <c r="G174" s="4"/>
      <c r="H174" s="4"/>
      <c r="I174" s="4"/>
      <c r="J174" s="4"/>
      <c r="K174" s="4"/>
      <c r="L174" s="89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89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89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837"/>
      <c r="AY174" s="837"/>
    </row>
    <row r="175" spans="2:51">
      <c r="B175" s="13"/>
      <c r="C175" s="13"/>
    </row>
    <row r="176" spans="2:51">
      <c r="B176" s="569" t="s">
        <v>1017</v>
      </c>
      <c r="C176" s="13"/>
      <c r="D176" s="4"/>
      <c r="E176" s="4"/>
      <c r="F176" s="4"/>
      <c r="G176" s="4"/>
      <c r="H176" s="4"/>
      <c r="I176" s="4"/>
      <c r="J176" s="4"/>
      <c r="K176" s="4"/>
      <c r="L176" s="89"/>
      <c r="M176" s="4">
        <f>M37</f>
        <v>-1.357</v>
      </c>
      <c r="N176" s="4">
        <f>N37</f>
        <v>-1.357</v>
      </c>
      <c r="O176" s="4">
        <f t="shared" ref="O176:X176" si="180">O37</f>
        <v>-1.357</v>
      </c>
      <c r="P176" s="4">
        <f t="shared" si="180"/>
        <v>-1.357</v>
      </c>
      <c r="Q176" s="4">
        <f t="shared" si="180"/>
        <v>-1.357</v>
      </c>
      <c r="R176" s="4">
        <f t="shared" si="180"/>
        <v>-1.357</v>
      </c>
      <c r="S176" s="4">
        <f t="shared" si="180"/>
        <v>-1.357</v>
      </c>
      <c r="T176" s="4">
        <f t="shared" si="180"/>
        <v>-1.357</v>
      </c>
      <c r="U176" s="4">
        <f t="shared" si="180"/>
        <v>-0.68508313310372948</v>
      </c>
      <c r="V176" s="4">
        <f t="shared" si="180"/>
        <v>-0.68508313310372959</v>
      </c>
      <c r="W176" s="4">
        <f t="shared" si="180"/>
        <v>-0.68508313310372948</v>
      </c>
      <c r="X176" s="4">
        <f t="shared" si="180"/>
        <v>-0.68508313310372948</v>
      </c>
      <c r="Y176" s="89"/>
      <c r="Z176" s="4">
        <f t="shared" ref="Z176:AW176" si="181">Z37</f>
        <v>-0.68508313310372948</v>
      </c>
      <c r="AA176" s="4">
        <f t="shared" si="181"/>
        <v>-0.68508313310372948</v>
      </c>
      <c r="AB176" s="4">
        <f t="shared" si="181"/>
        <v>-0.68508313310372948</v>
      </c>
      <c r="AC176" s="4">
        <f t="shared" si="181"/>
        <v>-0.68508313310372948</v>
      </c>
      <c r="AD176" s="4">
        <f t="shared" si="181"/>
        <v>-0.68508313310372948</v>
      </c>
      <c r="AE176" s="4">
        <f t="shared" si="181"/>
        <v>-0.68508313310372948</v>
      </c>
      <c r="AF176" s="4">
        <f t="shared" si="181"/>
        <v>-0.68508313310372948</v>
      </c>
      <c r="AG176" s="4">
        <f t="shared" si="181"/>
        <v>-0.68508313310372948</v>
      </c>
      <c r="AH176" s="4">
        <f t="shared" si="181"/>
        <v>-0.31995189662832124</v>
      </c>
      <c r="AI176" s="4">
        <f t="shared" si="181"/>
        <v>-0.31995189662832124</v>
      </c>
      <c r="AJ176" s="4">
        <f t="shared" si="181"/>
        <v>-0.31995189662832124</v>
      </c>
      <c r="AK176" s="4">
        <f t="shared" si="181"/>
        <v>-0.31995189662832124</v>
      </c>
      <c r="AL176" s="89"/>
      <c r="AM176" s="4">
        <f t="shared" si="181"/>
        <v>-0.31995189662832124</v>
      </c>
      <c r="AN176" s="4">
        <f t="shared" si="181"/>
        <v>1.0340520374622204</v>
      </c>
      <c r="AO176" s="4">
        <f t="shared" si="181"/>
        <v>0.98724368665736029</v>
      </c>
      <c r="AP176" s="4">
        <f t="shared" si="181"/>
        <v>0.98100747577917535</v>
      </c>
      <c r="AQ176" s="4">
        <f t="shared" si="181"/>
        <v>1.0689326218597828</v>
      </c>
      <c r="AR176" s="4">
        <f t="shared" si="181"/>
        <v>1.0603839309684941</v>
      </c>
      <c r="AS176" s="4">
        <f t="shared" si="181"/>
        <v>1.0459570615534537</v>
      </c>
      <c r="AT176" s="4">
        <f t="shared" si="181"/>
        <v>1.1348643260993998</v>
      </c>
      <c r="AU176" s="4">
        <f t="shared" si="181"/>
        <v>1.1228930852424654</v>
      </c>
      <c r="AV176" s="4">
        <f t="shared" si="181"/>
        <v>1.112034742502348</v>
      </c>
      <c r="AW176" s="4">
        <f t="shared" si="181"/>
        <v>1.1974052163063931</v>
      </c>
      <c r="AX176" s="837"/>
      <c r="AY176" s="837"/>
    </row>
    <row r="177" spans="2:51">
      <c r="B177" s="13"/>
      <c r="C177" s="13"/>
      <c r="D177" s="4"/>
      <c r="E177" s="4"/>
      <c r="F177" s="4"/>
      <c r="G177" s="4"/>
      <c r="H177" s="4"/>
      <c r="I177" s="4"/>
      <c r="J177" s="4"/>
      <c r="K177" s="4"/>
      <c r="L177" s="89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89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89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837"/>
      <c r="AY177" s="837"/>
    </row>
    <row r="178" spans="2:51">
      <c r="B178" t="s">
        <v>231</v>
      </c>
      <c r="C178" s="13"/>
      <c r="D178" s="4"/>
      <c r="E178" s="4"/>
      <c r="F178" s="4"/>
      <c r="G178" s="4"/>
      <c r="H178" s="4"/>
      <c r="I178" s="4"/>
      <c r="J178" s="4"/>
      <c r="K178" s="4"/>
      <c r="L178" s="89"/>
      <c r="M178" s="4">
        <f t="shared" ref="M178:N183" si="182">M39</f>
        <v>3.7963383636932448</v>
      </c>
      <c r="N178" s="4">
        <f t="shared" si="182"/>
        <v>3.9251281468845747</v>
      </c>
      <c r="O178" s="4">
        <f t="shared" ref="O178:X178" si="183">O39</f>
        <v>3.9177526208667715</v>
      </c>
      <c r="P178" s="4">
        <f t="shared" si="183"/>
        <v>3.9583829858781563</v>
      </c>
      <c r="Q178" s="4">
        <f t="shared" si="183"/>
        <v>3.9650535434312602</v>
      </c>
      <c r="R178" s="4">
        <f t="shared" si="183"/>
        <v>4.1057147400882172</v>
      </c>
      <c r="S178" s="4">
        <f t="shared" si="183"/>
        <v>4.6280961821621247</v>
      </c>
      <c r="T178" s="4">
        <f t="shared" si="183"/>
        <v>4.2085144107267354</v>
      </c>
      <c r="U178" s="4">
        <f t="shared" si="183"/>
        <v>4.6894785183502243</v>
      </c>
      <c r="V178" s="4">
        <f t="shared" si="183"/>
        <v>4.4699835305300013</v>
      </c>
      <c r="W178" s="4">
        <f t="shared" si="183"/>
        <v>4.5930663428745611</v>
      </c>
      <c r="X178" s="4">
        <f t="shared" si="183"/>
        <v>4.6583515678101328</v>
      </c>
      <c r="Y178" s="89"/>
      <c r="Z178" s="4">
        <f t="shared" ref="Z178:AW178" si="184">Z39</f>
        <v>4.8866856798061171</v>
      </c>
      <c r="AA178" s="4">
        <f t="shared" si="184"/>
        <v>5.0551684882073182</v>
      </c>
      <c r="AB178" s="4">
        <f t="shared" si="184"/>
        <v>5.2005594622076536</v>
      </c>
      <c r="AC178" s="4">
        <f t="shared" si="184"/>
        <v>5.3225046534309719</v>
      </c>
      <c r="AD178" s="4">
        <f t="shared" si="184"/>
        <v>5.4315731102566787</v>
      </c>
      <c r="AE178" s="4">
        <f t="shared" si="184"/>
        <v>5.6299815605481953</v>
      </c>
      <c r="AF178" s="4">
        <f t="shared" si="184"/>
        <v>5.6517894361783796</v>
      </c>
      <c r="AG178" s="4">
        <f t="shared" si="184"/>
        <v>5.690344155591383</v>
      </c>
      <c r="AH178" s="4">
        <f t="shared" si="184"/>
        <v>5.7617463416336498</v>
      </c>
      <c r="AI178" s="4">
        <f t="shared" si="184"/>
        <v>5.3798392292094768</v>
      </c>
      <c r="AJ178" s="4">
        <f t="shared" si="184"/>
        <v>5.424671823074668</v>
      </c>
      <c r="AK178" s="4">
        <f t="shared" si="184"/>
        <v>5.4400767169142874</v>
      </c>
      <c r="AL178" s="89"/>
      <c r="AM178" s="4">
        <f t="shared" si="184"/>
        <v>6.4429337942454907</v>
      </c>
      <c r="AN178" s="4">
        <f t="shared" si="184"/>
        <v>6.9344556727440256</v>
      </c>
      <c r="AO178" s="4">
        <f t="shared" si="184"/>
        <v>8.1711410789152517</v>
      </c>
      <c r="AP178" s="4">
        <f t="shared" si="184"/>
        <v>9.089843981659989</v>
      </c>
      <c r="AQ178" s="4">
        <f t="shared" si="184"/>
        <v>9.6600154495524251</v>
      </c>
      <c r="AR178" s="4">
        <f t="shared" si="184"/>
        <v>11.262019941767477</v>
      </c>
      <c r="AS178" s="4">
        <f t="shared" si="184"/>
        <v>12.718998434024591</v>
      </c>
      <c r="AT178" s="4">
        <f t="shared" si="184"/>
        <v>13.973213946999408</v>
      </c>
      <c r="AU178" s="4">
        <f t="shared" si="184"/>
        <v>15.594056537842711</v>
      </c>
      <c r="AV178" s="4">
        <f t="shared" si="184"/>
        <v>16.312925925514492</v>
      </c>
      <c r="AW178" s="4">
        <f t="shared" si="184"/>
        <v>19.349098915653869</v>
      </c>
      <c r="AX178" s="837"/>
      <c r="AY178" s="837"/>
    </row>
    <row r="179" spans="2:51">
      <c r="B179" t="s">
        <v>232</v>
      </c>
      <c r="C179" s="13"/>
      <c r="D179" s="4"/>
      <c r="E179" s="4"/>
      <c r="F179" s="4"/>
      <c r="G179" s="4"/>
      <c r="H179" s="4"/>
      <c r="I179" s="4"/>
      <c r="J179" s="4"/>
      <c r="K179" s="4"/>
      <c r="L179" s="89"/>
      <c r="M179" s="4">
        <f t="shared" si="182"/>
        <v>3.1716008942705818</v>
      </c>
      <c r="N179" s="4">
        <f t="shared" si="182"/>
        <v>3.2516177651844176</v>
      </c>
      <c r="O179" s="4">
        <f t="shared" ref="O179:X179" si="185">O40</f>
        <v>3.2867814766008636</v>
      </c>
      <c r="P179" s="4">
        <f t="shared" si="185"/>
        <v>3.0664376898739589</v>
      </c>
      <c r="Q179" s="4">
        <f t="shared" si="185"/>
        <v>3.2114127880318817</v>
      </c>
      <c r="R179" s="4">
        <f t="shared" si="185"/>
        <v>3.1903880663020314</v>
      </c>
      <c r="S179" s="4">
        <f t="shared" si="185"/>
        <v>3.0324515301554542</v>
      </c>
      <c r="T179" s="4">
        <f t="shared" si="185"/>
        <v>3.6736420697614207</v>
      </c>
      <c r="U179" s="4">
        <f t="shared" si="185"/>
        <v>4.3494677537455511</v>
      </c>
      <c r="V179" s="4">
        <f t="shared" si="185"/>
        <v>4.1292081857888565</v>
      </c>
      <c r="W179" s="4">
        <f t="shared" si="185"/>
        <v>3.7169998578352357</v>
      </c>
      <c r="X179" s="4">
        <f t="shared" si="185"/>
        <v>3.4175989362609904</v>
      </c>
      <c r="Y179" s="89"/>
      <c r="Z179" s="4">
        <f t="shared" ref="Z179:AK179" si="186">Z40</f>
        <v>3.7265445363547869</v>
      </c>
      <c r="AA179" s="4">
        <f t="shared" si="186"/>
        <v>3.8787078339803682</v>
      </c>
      <c r="AB179" s="4">
        <f t="shared" si="186"/>
        <v>3.6717318384035744</v>
      </c>
      <c r="AC179" s="4">
        <f t="shared" si="186"/>
        <v>3.9876040463156892</v>
      </c>
      <c r="AD179" s="4">
        <f t="shared" si="186"/>
        <v>3.9441644219119927</v>
      </c>
      <c r="AE179" s="4">
        <f t="shared" si="186"/>
        <v>3.8736173167602712</v>
      </c>
      <c r="AF179" s="4">
        <f t="shared" si="186"/>
        <v>3.700551469842623</v>
      </c>
      <c r="AG179" s="4">
        <f t="shared" si="186"/>
        <v>4.5535475651693043</v>
      </c>
      <c r="AH179" s="4">
        <f t="shared" si="186"/>
        <v>5.3544830264802865</v>
      </c>
      <c r="AI179" s="4">
        <f t="shared" si="186"/>
        <v>5.1019312871038807</v>
      </c>
      <c r="AJ179" s="4">
        <f t="shared" si="186"/>
        <v>4.6479825071632437</v>
      </c>
      <c r="AK179" s="4">
        <f t="shared" si="186"/>
        <v>4.2190082620016724</v>
      </c>
      <c r="AL179" s="89"/>
      <c r="AM179" s="4">
        <f t="shared" ref="AM179:AW179" si="187">AM40</f>
        <v>5.201019736123552</v>
      </c>
      <c r="AN179" s="4">
        <f t="shared" si="187"/>
        <v>5.4894471129056619</v>
      </c>
      <c r="AO179" s="4">
        <f t="shared" si="187"/>
        <v>5.568374913728201</v>
      </c>
      <c r="AP179" s="4">
        <f t="shared" si="187"/>
        <v>5.6360879902848682</v>
      </c>
      <c r="AQ179" s="4">
        <f t="shared" si="187"/>
        <v>5.7014712995706232</v>
      </c>
      <c r="AR179" s="4">
        <f t="shared" si="187"/>
        <v>5.4309972122314019</v>
      </c>
      <c r="AS179" s="4">
        <f t="shared" si="187"/>
        <v>5.216122612612426</v>
      </c>
      <c r="AT179" s="4">
        <f t="shared" si="187"/>
        <v>5.3478965715691151</v>
      </c>
      <c r="AU179" s="4">
        <f t="shared" si="187"/>
        <v>5.5137202453999388</v>
      </c>
      <c r="AV179" s="4">
        <f t="shared" si="187"/>
        <v>5.5837821652791719</v>
      </c>
      <c r="AW179" s="4">
        <f t="shared" si="187"/>
        <v>5.7348489131511311</v>
      </c>
      <c r="AX179" s="837"/>
      <c r="AY179" s="837"/>
    </row>
    <row r="180" spans="2:51">
      <c r="B180" t="s">
        <v>236</v>
      </c>
      <c r="C180" s="13"/>
      <c r="D180" s="8"/>
      <c r="E180" s="8"/>
      <c r="F180" s="8"/>
      <c r="G180" s="8"/>
      <c r="H180" s="8"/>
      <c r="I180" s="8"/>
      <c r="J180" s="8"/>
      <c r="K180" s="8"/>
      <c r="L180" s="216"/>
      <c r="M180" s="8">
        <f t="shared" si="182"/>
        <v>-3.5419987678431255</v>
      </c>
      <c r="N180" s="8">
        <f t="shared" si="182"/>
        <v>-3.8534978053181028</v>
      </c>
      <c r="O180" s="8">
        <f t="shared" ref="O180:X180" si="188">O41</f>
        <v>-4.3303966389368087</v>
      </c>
      <c r="P180" s="8">
        <f t="shared" si="188"/>
        <v>-5.048932403708319</v>
      </c>
      <c r="Q180" s="8">
        <f t="shared" si="188"/>
        <v>-4.7533128779436753</v>
      </c>
      <c r="R180" s="8">
        <f t="shared" si="188"/>
        <v>-3.8706361659587825</v>
      </c>
      <c r="S180" s="8">
        <f t="shared" si="188"/>
        <v>-3.5315807075026906</v>
      </c>
      <c r="T180" s="8">
        <f t="shared" si="188"/>
        <v>-2.8660062033734497</v>
      </c>
      <c r="U180" s="8">
        <f t="shared" si="188"/>
        <v>-1.9099490423013319</v>
      </c>
      <c r="V180" s="8">
        <f t="shared" si="188"/>
        <v>-2.1420632362953818</v>
      </c>
      <c r="W180" s="8">
        <f t="shared" si="188"/>
        <v>-1.9063198549526461</v>
      </c>
      <c r="X180" s="8">
        <f t="shared" si="188"/>
        <v>-1.5368370338124206</v>
      </c>
      <c r="Y180" s="216"/>
      <c r="Z180" s="8">
        <f t="shared" ref="Z180:AK180" si="189">Z41</f>
        <v>-1.5004831843630528</v>
      </c>
      <c r="AA180" s="8">
        <f t="shared" si="189"/>
        <v>-1.6368182323109093</v>
      </c>
      <c r="AB180" s="8">
        <f t="shared" si="189"/>
        <v>-1.8398813480720406</v>
      </c>
      <c r="AC180" s="8">
        <f t="shared" si="189"/>
        <v>-2.1467870053988767</v>
      </c>
      <c r="AD180" s="8">
        <f t="shared" si="189"/>
        <v>-2.0202342508791742</v>
      </c>
      <c r="AE180" s="8">
        <f t="shared" si="189"/>
        <v>-1.6435781306420623</v>
      </c>
      <c r="AF180" s="8">
        <f t="shared" si="189"/>
        <v>-1.5106951013206491</v>
      </c>
      <c r="AG180" s="8">
        <f t="shared" si="189"/>
        <v>-1.5579589524549675</v>
      </c>
      <c r="AH180" s="8">
        <f t="shared" si="189"/>
        <v>-1.888516000997958</v>
      </c>
      <c r="AI180" s="8">
        <f t="shared" si="189"/>
        <v>-2.1193805839546793</v>
      </c>
      <c r="AJ180" s="8">
        <f t="shared" si="189"/>
        <v>-1.8850186614847981</v>
      </c>
      <c r="AK180" s="8">
        <f t="shared" si="189"/>
        <v>-1.5183662190185225</v>
      </c>
      <c r="AL180" s="216"/>
      <c r="AM180" s="8">
        <f t="shared" ref="AM180:AW180" si="190">AM41</f>
        <v>-1.7270976087488248</v>
      </c>
      <c r="AN180" s="8">
        <f t="shared" si="190"/>
        <v>-1.7100561832913621</v>
      </c>
      <c r="AO180" s="8">
        <f t="shared" si="190"/>
        <v>-2.1941616088628115</v>
      </c>
      <c r="AP180" s="8">
        <f t="shared" si="190"/>
        <v>-2.3243394891963254</v>
      </c>
      <c r="AQ180" s="8">
        <f t="shared" si="190"/>
        <v>-2.3064338386218677</v>
      </c>
      <c r="AR180" s="8">
        <f t="shared" si="190"/>
        <v>-2.2870896642681657</v>
      </c>
      <c r="AS180" s="8">
        <f t="shared" si="190"/>
        <v>-2.2622949474014744</v>
      </c>
      <c r="AT180" s="8">
        <f t="shared" si="190"/>
        <v>-2.2398610526860865</v>
      </c>
      <c r="AU180" s="8">
        <f t="shared" si="190"/>
        <v>-2.2174078410732232</v>
      </c>
      <c r="AV180" s="8">
        <f t="shared" si="190"/>
        <v>-2.197370348866766</v>
      </c>
      <c r="AW180" s="8">
        <f t="shared" si="190"/>
        <v>-2.172887928901718</v>
      </c>
      <c r="AX180" s="837"/>
      <c r="AY180" s="837"/>
    </row>
    <row r="181" spans="2:51">
      <c r="B181" s="13" t="s">
        <v>145</v>
      </c>
      <c r="C181" s="13"/>
      <c r="D181" s="4"/>
      <c r="E181" s="4"/>
      <c r="F181" s="4"/>
      <c r="G181" s="4"/>
      <c r="H181" s="4"/>
      <c r="I181" s="4"/>
      <c r="J181" s="4"/>
      <c r="K181" s="4"/>
      <c r="L181" s="89"/>
      <c r="M181" s="4">
        <f t="shared" si="182"/>
        <v>3.4259404901207011</v>
      </c>
      <c r="N181" s="4">
        <f t="shared" si="182"/>
        <v>3.3232481067508894</v>
      </c>
      <c r="O181" s="4">
        <f t="shared" ref="O181:X181" si="191">O42</f>
        <v>2.8741374585308259</v>
      </c>
      <c r="P181" s="4">
        <f t="shared" si="191"/>
        <v>1.9758882720437967</v>
      </c>
      <c r="Q181" s="4">
        <f t="shared" si="191"/>
        <v>2.4231534535194665</v>
      </c>
      <c r="R181" s="4">
        <f t="shared" si="191"/>
        <v>3.4254666404314658</v>
      </c>
      <c r="S181" s="4">
        <f t="shared" si="191"/>
        <v>4.1289670048148874</v>
      </c>
      <c r="T181" s="4">
        <f t="shared" si="191"/>
        <v>5.016150277114706</v>
      </c>
      <c r="U181" s="4">
        <f t="shared" si="191"/>
        <v>7.1289972297944431</v>
      </c>
      <c r="V181" s="4">
        <f t="shared" si="191"/>
        <v>6.4571284800234761</v>
      </c>
      <c r="W181" s="4">
        <f t="shared" si="191"/>
        <v>6.40374634575715</v>
      </c>
      <c r="X181" s="4">
        <f t="shared" si="191"/>
        <v>6.5391134702587026</v>
      </c>
      <c r="Y181" s="89"/>
      <c r="Z181" s="4">
        <f t="shared" ref="Z181:AW181" si="192">Z42</f>
        <v>7.1127470317978512</v>
      </c>
      <c r="AA181" s="4">
        <f t="shared" si="192"/>
        <v>7.297058089876777</v>
      </c>
      <c r="AB181" s="4">
        <f t="shared" si="192"/>
        <v>7.0324099525391865</v>
      </c>
      <c r="AC181" s="4">
        <f t="shared" si="192"/>
        <v>7.1633216943477835</v>
      </c>
      <c r="AD181" s="4">
        <f t="shared" si="192"/>
        <v>7.3555032812894972</v>
      </c>
      <c r="AE181" s="4">
        <f t="shared" si="192"/>
        <v>7.8600207466664038</v>
      </c>
      <c r="AF181" s="4">
        <f t="shared" si="192"/>
        <v>7.8416458047003532</v>
      </c>
      <c r="AG181" s="4">
        <f t="shared" si="192"/>
        <v>8.6859327683057188</v>
      </c>
      <c r="AH181" s="4">
        <f t="shared" si="192"/>
        <v>9.2277133671159781</v>
      </c>
      <c r="AI181" s="4">
        <f t="shared" si="192"/>
        <v>8.3623899323586777</v>
      </c>
      <c r="AJ181" s="4">
        <f t="shared" si="192"/>
        <v>8.1876356687531135</v>
      </c>
      <c r="AK181" s="4">
        <f t="shared" si="192"/>
        <v>8.1407187598974371</v>
      </c>
      <c r="AL181" s="89"/>
      <c r="AM181" s="4">
        <f t="shared" si="192"/>
        <v>9.9168559216202183</v>
      </c>
      <c r="AN181" s="4">
        <f t="shared" si="192"/>
        <v>10.713846602358325</v>
      </c>
      <c r="AO181" s="4">
        <f t="shared" si="192"/>
        <v>11.545354383780641</v>
      </c>
      <c r="AP181" s="4">
        <f t="shared" si="192"/>
        <v>12.40159248274853</v>
      </c>
      <c r="AQ181" s="4">
        <f t="shared" si="192"/>
        <v>13.055052910501182</v>
      </c>
      <c r="AR181" s="4">
        <f t="shared" si="192"/>
        <v>14.405927489730715</v>
      </c>
      <c r="AS181" s="4">
        <f t="shared" si="192"/>
        <v>15.672826099235543</v>
      </c>
      <c r="AT181" s="4">
        <f t="shared" si="192"/>
        <v>17.081249465882436</v>
      </c>
      <c r="AU181" s="4">
        <f t="shared" si="192"/>
        <v>18.890368942169424</v>
      </c>
      <c r="AV181" s="4">
        <f t="shared" si="192"/>
        <v>19.699337741926897</v>
      </c>
      <c r="AW181" s="4">
        <f t="shared" si="192"/>
        <v>22.911059899903282</v>
      </c>
      <c r="AX181" s="837"/>
      <c r="AY181" s="837"/>
    </row>
    <row r="182" spans="2:51">
      <c r="B182" s="13" t="s">
        <v>146</v>
      </c>
      <c r="C182" s="13"/>
      <c r="D182" s="4"/>
      <c r="E182" s="4"/>
      <c r="F182" s="4"/>
      <c r="G182" s="4"/>
      <c r="H182" s="4"/>
      <c r="I182" s="4"/>
      <c r="J182" s="4"/>
      <c r="K182" s="4"/>
      <c r="L182" s="89"/>
      <c r="M182" s="4">
        <f t="shared" si="182"/>
        <v>-7.6379404901207009</v>
      </c>
      <c r="N182" s="4">
        <f t="shared" si="182"/>
        <v>-7.5352481067508892</v>
      </c>
      <c r="O182" s="4">
        <f t="shared" ref="O182:X183" si="193">O43</f>
        <v>-7.0861374585308257</v>
      </c>
      <c r="P182" s="4">
        <f t="shared" si="193"/>
        <v>-6.1878882720437964</v>
      </c>
      <c r="Q182" s="4">
        <f t="shared" si="193"/>
        <v>-6.6351534535194663</v>
      </c>
      <c r="R182" s="4">
        <f t="shared" si="193"/>
        <v>-7.6374666404314659</v>
      </c>
      <c r="S182" s="4">
        <f t="shared" si="193"/>
        <v>-7.3409670048148872</v>
      </c>
      <c r="T182" s="4">
        <f t="shared" si="193"/>
        <v>-8.2281502771147057</v>
      </c>
      <c r="U182" s="4">
        <f t="shared" si="193"/>
        <v>-10.340997229794443</v>
      </c>
      <c r="V182" s="4">
        <f t="shared" si="193"/>
        <v>-9.6691284800234758</v>
      </c>
      <c r="W182" s="4">
        <f t="shared" si="193"/>
        <v>-9.6157463457571488</v>
      </c>
      <c r="X182" s="4">
        <f t="shared" si="193"/>
        <v>-9.7511134702587015</v>
      </c>
      <c r="Y182" s="89"/>
      <c r="Z182" s="4">
        <f t="shared" ref="Z182:AK183" si="194">Z43</f>
        <v>-10.324747031797852</v>
      </c>
      <c r="AA182" s="4">
        <f t="shared" si="194"/>
        <v>-10.509058089876778</v>
      </c>
      <c r="AB182" s="4">
        <f t="shared" si="194"/>
        <v>-10.244409952539186</v>
      </c>
      <c r="AC182" s="4">
        <f t="shared" si="194"/>
        <v>-10.375321694347782</v>
      </c>
      <c r="AD182" s="4">
        <f t="shared" si="194"/>
        <v>-10.567503281289497</v>
      </c>
      <c r="AE182" s="4">
        <f t="shared" si="194"/>
        <v>-11.072020746666404</v>
      </c>
      <c r="AF182" s="4">
        <f t="shared" si="194"/>
        <v>-9.0536458047003521</v>
      </c>
      <c r="AG182" s="4">
        <f t="shared" si="194"/>
        <v>-9.8979327683057186</v>
      </c>
      <c r="AH182" s="4">
        <f t="shared" si="194"/>
        <v>-10.439713367115978</v>
      </c>
      <c r="AI182" s="4">
        <f t="shared" si="194"/>
        <v>-9.5743899323586774</v>
      </c>
      <c r="AJ182" s="4">
        <f t="shared" si="194"/>
        <v>-9.3996356687531133</v>
      </c>
      <c r="AK182" s="4">
        <f t="shared" si="194"/>
        <v>-9.3527187598974368</v>
      </c>
      <c r="AL182" s="89"/>
      <c r="AM182" s="4">
        <f t="shared" ref="AM182:AW183" si="195">AM43</f>
        <v>-6.2570983071537754</v>
      </c>
      <c r="AN182" s="4">
        <f t="shared" si="195"/>
        <v>0</v>
      </c>
      <c r="AO182" s="4">
        <f t="shared" si="195"/>
        <v>0</v>
      </c>
      <c r="AP182" s="4">
        <f t="shared" si="195"/>
        <v>0</v>
      </c>
      <c r="AQ182" s="4">
        <f t="shared" si="195"/>
        <v>0</v>
      </c>
      <c r="AR182" s="4">
        <f t="shared" si="195"/>
        <v>0</v>
      </c>
      <c r="AS182" s="4">
        <f t="shared" si="195"/>
        <v>0</v>
      </c>
      <c r="AT182" s="4">
        <f t="shared" si="195"/>
        <v>0</v>
      </c>
      <c r="AU182" s="4">
        <f t="shared" si="195"/>
        <v>0</v>
      </c>
      <c r="AV182" s="4">
        <f t="shared" si="195"/>
        <v>0</v>
      </c>
      <c r="AW182" s="4">
        <f t="shared" si="195"/>
        <v>0</v>
      </c>
      <c r="AX182" s="837"/>
      <c r="AY182" s="837"/>
    </row>
    <row r="183" spans="2:51">
      <c r="B183" s="13" t="s">
        <v>639</v>
      </c>
      <c r="C183" s="13"/>
      <c r="D183" s="4"/>
      <c r="E183" s="4"/>
      <c r="F183" s="4"/>
      <c r="G183" s="4"/>
      <c r="H183" s="4"/>
      <c r="I183" s="4"/>
      <c r="J183" s="4"/>
      <c r="K183" s="4"/>
      <c r="L183" s="89"/>
      <c r="M183" s="4">
        <f t="shared" si="182"/>
        <v>0</v>
      </c>
      <c r="N183" s="4">
        <f t="shared" si="182"/>
        <v>0</v>
      </c>
      <c r="O183" s="4">
        <f t="shared" si="193"/>
        <v>0</v>
      </c>
      <c r="P183" s="4">
        <f t="shared" si="193"/>
        <v>0</v>
      </c>
      <c r="Q183" s="4">
        <f t="shared" si="193"/>
        <v>0</v>
      </c>
      <c r="R183" s="4">
        <f t="shared" si="193"/>
        <v>0</v>
      </c>
      <c r="S183" s="4">
        <f t="shared" si="193"/>
        <v>0</v>
      </c>
      <c r="T183" s="4">
        <f t="shared" si="193"/>
        <v>0</v>
      </c>
      <c r="U183" s="4">
        <f t="shared" si="193"/>
        <v>0</v>
      </c>
      <c r="V183" s="4">
        <f t="shared" si="193"/>
        <v>0</v>
      </c>
      <c r="W183" s="4">
        <f t="shared" si="193"/>
        <v>0</v>
      </c>
      <c r="X183" s="4">
        <f t="shared" si="193"/>
        <v>0</v>
      </c>
      <c r="Y183" s="89"/>
      <c r="Z183" s="4">
        <f t="shared" si="194"/>
        <v>0</v>
      </c>
      <c r="AA183" s="4">
        <f t="shared" si="194"/>
        <v>0</v>
      </c>
      <c r="AB183" s="4">
        <f t="shared" si="194"/>
        <v>0</v>
      </c>
      <c r="AC183" s="4">
        <f t="shared" si="194"/>
        <v>0</v>
      </c>
      <c r="AD183" s="4">
        <f t="shared" si="194"/>
        <v>0</v>
      </c>
      <c r="AE183" s="4">
        <f t="shared" si="194"/>
        <v>0</v>
      </c>
      <c r="AF183" s="4">
        <f t="shared" si="194"/>
        <v>0</v>
      </c>
      <c r="AG183" s="4">
        <f t="shared" si="194"/>
        <v>0</v>
      </c>
      <c r="AH183" s="4">
        <f t="shared" si="194"/>
        <v>0</v>
      </c>
      <c r="AI183" s="4">
        <f t="shared" si="194"/>
        <v>0</v>
      </c>
      <c r="AJ183" s="4">
        <f t="shared" si="194"/>
        <v>0</v>
      </c>
      <c r="AK183" s="4">
        <f t="shared" si="194"/>
        <v>0</v>
      </c>
      <c r="AL183" s="89"/>
      <c r="AM183" s="4">
        <f t="shared" si="195"/>
        <v>-4.8717576144664427</v>
      </c>
      <c r="AN183" s="4">
        <f t="shared" si="195"/>
        <v>-11.925846602358325</v>
      </c>
      <c r="AO183" s="4">
        <f t="shared" si="195"/>
        <v>-10.563227368576142</v>
      </c>
      <c r="AP183" s="4">
        <f t="shared" si="195"/>
        <v>0</v>
      </c>
      <c r="AQ183" s="4">
        <f t="shared" si="195"/>
        <v>0</v>
      </c>
      <c r="AR183" s="4">
        <f t="shared" si="195"/>
        <v>0</v>
      </c>
      <c r="AS183" s="4">
        <f t="shared" si="195"/>
        <v>0</v>
      </c>
      <c r="AT183" s="4">
        <f t="shared" si="195"/>
        <v>0</v>
      </c>
      <c r="AU183" s="4">
        <f t="shared" si="195"/>
        <v>0</v>
      </c>
      <c r="AV183" s="4">
        <f t="shared" si="195"/>
        <v>0</v>
      </c>
      <c r="AW183" s="4">
        <f t="shared" si="195"/>
        <v>0</v>
      </c>
      <c r="AX183" s="837"/>
      <c r="AY183" s="837"/>
    </row>
    <row r="184" spans="2:51">
      <c r="B184" s="13" t="s">
        <v>160</v>
      </c>
      <c r="C184" s="13"/>
      <c r="D184" s="8"/>
      <c r="E184" s="8"/>
      <c r="F184" s="8"/>
      <c r="G184" s="8"/>
      <c r="H184" s="8"/>
      <c r="I184" s="8"/>
      <c r="J184" s="8"/>
      <c r="K184" s="8"/>
      <c r="L184" s="216"/>
      <c r="M184" s="8">
        <f>-M130</f>
        <v>0</v>
      </c>
      <c r="N184" s="8">
        <f>-N130</f>
        <v>0</v>
      </c>
      <c r="O184" s="8">
        <f t="shared" ref="O184:AW184" si="196">-O130</f>
        <v>0</v>
      </c>
      <c r="P184" s="8">
        <f t="shared" si="196"/>
        <v>0</v>
      </c>
      <c r="Q184" s="8">
        <f t="shared" si="196"/>
        <v>0</v>
      </c>
      <c r="R184" s="8">
        <f t="shared" si="196"/>
        <v>0</v>
      </c>
      <c r="S184" s="8">
        <f t="shared" si="196"/>
        <v>0</v>
      </c>
      <c r="T184" s="8">
        <f t="shared" si="196"/>
        <v>0</v>
      </c>
      <c r="U184" s="8">
        <f t="shared" si="196"/>
        <v>0</v>
      </c>
      <c r="V184" s="8">
        <f t="shared" si="196"/>
        <v>0</v>
      </c>
      <c r="W184" s="8">
        <f t="shared" si="196"/>
        <v>0</v>
      </c>
      <c r="X184" s="8">
        <f t="shared" si="196"/>
        <v>0</v>
      </c>
      <c r="Y184" s="89"/>
      <c r="Z184" s="8">
        <f t="shared" si="196"/>
        <v>0</v>
      </c>
      <c r="AA184" s="8">
        <f t="shared" si="196"/>
        <v>0</v>
      </c>
      <c r="AB184" s="8">
        <f t="shared" si="196"/>
        <v>0</v>
      </c>
      <c r="AC184" s="8">
        <f t="shared" si="196"/>
        <v>0</v>
      </c>
      <c r="AD184" s="8">
        <f t="shared" si="196"/>
        <v>0</v>
      </c>
      <c r="AE184" s="8">
        <f t="shared" si="196"/>
        <v>0</v>
      </c>
      <c r="AF184" s="8">
        <f t="shared" si="196"/>
        <v>0</v>
      </c>
      <c r="AG184" s="8">
        <f t="shared" si="196"/>
        <v>0</v>
      </c>
      <c r="AH184" s="8">
        <f t="shared" si="196"/>
        <v>0</v>
      </c>
      <c r="AI184" s="8">
        <f t="shared" si="196"/>
        <v>0</v>
      </c>
      <c r="AJ184" s="8">
        <f t="shared" si="196"/>
        <v>0</v>
      </c>
      <c r="AK184" s="8">
        <f t="shared" si="196"/>
        <v>0</v>
      </c>
      <c r="AL184" s="89"/>
      <c r="AM184" s="8">
        <f t="shared" si="196"/>
        <v>0</v>
      </c>
      <c r="AN184" s="8">
        <f t="shared" si="196"/>
        <v>0</v>
      </c>
      <c r="AO184" s="8">
        <f t="shared" si="196"/>
        <v>0</v>
      </c>
      <c r="AP184" s="8">
        <f t="shared" si="196"/>
        <v>0</v>
      </c>
      <c r="AQ184" s="8">
        <f t="shared" si="196"/>
        <v>-0.3327625152637439</v>
      </c>
      <c r="AR184" s="8">
        <f t="shared" si="196"/>
        <v>-9.0619164144189952</v>
      </c>
      <c r="AS184" s="8">
        <f t="shared" si="196"/>
        <v>-13.057998330283063</v>
      </c>
      <c r="AT184" s="8">
        <f t="shared" si="196"/>
        <v>-13.567875291498778</v>
      </c>
      <c r="AU184" s="8">
        <f t="shared" si="196"/>
        <v>-10.36518903330656</v>
      </c>
      <c r="AV184" s="8">
        <f t="shared" si="196"/>
        <v>-7.5551275024524882</v>
      </c>
      <c r="AW184" s="8">
        <f t="shared" si="196"/>
        <v>-5.5074485855882385</v>
      </c>
      <c r="AX184" s="837"/>
      <c r="AY184" s="837"/>
    </row>
    <row r="185" spans="2:51" ht="13.5" thickBot="1">
      <c r="B185" s="13" t="s">
        <v>161</v>
      </c>
      <c r="C185" s="13"/>
      <c r="D185" s="52"/>
      <c r="E185" s="52"/>
      <c r="F185" s="52"/>
      <c r="G185" s="52"/>
      <c r="H185" s="52"/>
      <c r="I185" s="52"/>
      <c r="J185" s="52"/>
      <c r="K185" s="52"/>
      <c r="L185" s="176"/>
      <c r="M185" s="52">
        <f>+M172+M174+M176+M181+M182+M183+M184</f>
        <v>44.75930309360249</v>
      </c>
      <c r="N185" s="52">
        <f t="shared" ref="N185:Z185" si="197">+N172+N174+N176+N181+N182+N183+N184</f>
        <v>46.183427902206084</v>
      </c>
      <c r="O185" s="52">
        <f t="shared" si="197"/>
        <v>45.368686676840689</v>
      </c>
      <c r="P185" s="52">
        <f t="shared" si="197"/>
        <v>45.248385615856293</v>
      </c>
      <c r="Q185" s="52">
        <f t="shared" si="197"/>
        <v>45.707424444575878</v>
      </c>
      <c r="R185" s="52">
        <f t="shared" si="197"/>
        <v>44.861094203383416</v>
      </c>
      <c r="S185" s="52">
        <f t="shared" si="197"/>
        <v>44.441205335482039</v>
      </c>
      <c r="T185" s="52">
        <f t="shared" si="197"/>
        <v>52.925314935964913</v>
      </c>
      <c r="U185" s="52">
        <f t="shared" si="197"/>
        <v>65.54337811622851</v>
      </c>
      <c r="V185" s="52">
        <f t="shared" si="197"/>
        <v>63.136009825996467</v>
      </c>
      <c r="W185" s="52">
        <f t="shared" si="197"/>
        <v>61.765613357216068</v>
      </c>
      <c r="X185" s="52">
        <f t="shared" si="197"/>
        <v>60.22789192036106</v>
      </c>
      <c r="Y185" s="176"/>
      <c r="Z185" s="52">
        <f t="shared" si="197"/>
        <v>62.822790257910782</v>
      </c>
      <c r="AA185" s="52">
        <f t="shared" ref="AA185:AK185" si="198">+AA172+AA174+AA176+AA181+AA182+AA183+AA184</f>
        <v>65.363142133634071</v>
      </c>
      <c r="AB185" s="52">
        <f t="shared" si="198"/>
        <v>63.909190342173545</v>
      </c>
      <c r="AC185" s="52">
        <f t="shared" si="198"/>
        <v>63.694405682170533</v>
      </c>
      <c r="AD185" s="52">
        <f t="shared" si="198"/>
        <v>64.479869864368737</v>
      </c>
      <c r="AE185" s="52">
        <f t="shared" si="198"/>
        <v>62.97122130712561</v>
      </c>
      <c r="AF185" s="52">
        <f t="shared" si="198"/>
        <v>62.441965154236854</v>
      </c>
      <c r="AG185" s="52">
        <f t="shared" si="198"/>
        <v>66.65999118720471</v>
      </c>
      <c r="AH185" s="52">
        <f t="shared" si="198"/>
        <v>67.852510853362617</v>
      </c>
      <c r="AI185" s="52">
        <f t="shared" si="198"/>
        <v>65.445797617775469</v>
      </c>
      <c r="AJ185" s="52">
        <f t="shared" si="198"/>
        <v>64.112140459664658</v>
      </c>
      <c r="AK185" s="52">
        <f t="shared" si="198"/>
        <v>62.574470792815866</v>
      </c>
      <c r="AL185" s="176"/>
      <c r="AM185" s="52">
        <f t="shared" ref="AM185:AW185" si="199">+AM172+AM174+AM176+AM181+AM182+AM183+AM184</f>
        <v>65.451714794465062</v>
      </c>
      <c r="AN185" s="52">
        <f t="shared" si="199"/>
        <v>66.769597625155768</v>
      </c>
      <c r="AO185" s="52">
        <f t="shared" si="199"/>
        <v>68.884627779830467</v>
      </c>
      <c r="AP185" s="52">
        <f t="shared" si="199"/>
        <v>80.277419292900305</v>
      </c>
      <c r="AQ185" s="52">
        <f t="shared" si="199"/>
        <v>80.666236899028263</v>
      </c>
      <c r="AR185" s="52">
        <f t="shared" si="199"/>
        <v>73.252097292285271</v>
      </c>
      <c r="AS185" s="52">
        <f t="shared" si="199"/>
        <v>70.480836996060759</v>
      </c>
      <c r="AT185" s="52">
        <f t="shared" si="199"/>
        <v>71.440507367889126</v>
      </c>
      <c r="AU185" s="52">
        <f t="shared" si="199"/>
        <v>76.412668694247458</v>
      </c>
      <c r="AV185" s="52">
        <f t="shared" si="199"/>
        <v>79.993137608031518</v>
      </c>
      <c r="AW185" s="52">
        <f t="shared" si="199"/>
        <v>85.31102117491443</v>
      </c>
      <c r="AX185" s="837"/>
      <c r="AY185" s="837"/>
    </row>
    <row r="186" spans="2:51" ht="13.5" thickTop="1">
      <c r="B186" s="13"/>
      <c r="C186" s="13"/>
    </row>
    <row r="187" spans="2:51" ht="15.75">
      <c r="B187" s="25" t="s">
        <v>134</v>
      </c>
      <c r="C187" s="13"/>
    </row>
    <row r="188" spans="2:51">
      <c r="B188" s="13" t="s">
        <v>140</v>
      </c>
      <c r="C188" s="13"/>
      <c r="D188" s="26"/>
      <c r="E188" s="26"/>
      <c r="F188" s="26"/>
      <c r="G188" s="26"/>
      <c r="H188" s="26"/>
      <c r="I188" s="26"/>
      <c r="J188" s="26"/>
      <c r="K188" s="26"/>
      <c r="L188" s="295"/>
      <c r="M188" s="26">
        <f>M49</f>
        <v>0.75770500395213813</v>
      </c>
      <c r="N188" s="26">
        <f>N49</f>
        <v>0.79037002393257327</v>
      </c>
      <c r="O188" s="26">
        <f t="shared" ref="O188:Y188" si="200">O49</f>
        <v>0.7767788134817647</v>
      </c>
      <c r="P188" s="26">
        <f t="shared" si="200"/>
        <v>0.76938819185897722</v>
      </c>
      <c r="Q188" s="26">
        <f t="shared" si="200"/>
        <v>0.76721420857703027</v>
      </c>
      <c r="R188" s="26">
        <f t="shared" si="200"/>
        <v>0.77063823780179175</v>
      </c>
      <c r="S188" s="26">
        <f t="shared" si="200"/>
        <v>0.77876753353212469</v>
      </c>
      <c r="T188" s="26">
        <f t="shared" si="200"/>
        <v>0.76936055053451791</v>
      </c>
      <c r="U188" s="26">
        <f t="shared" si="200"/>
        <v>0.78198583999367954</v>
      </c>
      <c r="V188" s="26">
        <f t="shared" si="200"/>
        <v>0.76554607794627294</v>
      </c>
      <c r="W188" s="26">
        <f t="shared" si="200"/>
        <v>0.77180334125545091</v>
      </c>
      <c r="X188" s="26">
        <f t="shared" si="200"/>
        <v>0.76592920813990772</v>
      </c>
      <c r="Y188" s="295">
        <f t="shared" si="200"/>
        <v>0.77202118335008796</v>
      </c>
      <c r="Z188" s="26">
        <f t="shared" ref="Z188:AW188" si="201">Z49</f>
        <v>0.75711587292408333</v>
      </c>
      <c r="AA188" s="26">
        <f t="shared" si="201"/>
        <v>0.79037002393257327</v>
      </c>
      <c r="AB188" s="26">
        <f t="shared" si="201"/>
        <v>0.7767788134817647</v>
      </c>
      <c r="AC188" s="26">
        <f t="shared" si="201"/>
        <v>0.76938819185897722</v>
      </c>
      <c r="AD188" s="26">
        <f t="shared" si="201"/>
        <v>0.76721420857703027</v>
      </c>
      <c r="AE188" s="26">
        <f t="shared" si="201"/>
        <v>0.77063823780179175</v>
      </c>
      <c r="AF188" s="26">
        <f t="shared" si="201"/>
        <v>0.77876753353212469</v>
      </c>
      <c r="AG188" s="26">
        <f t="shared" si="201"/>
        <v>0.76936055053451791</v>
      </c>
      <c r="AH188" s="26">
        <f t="shared" si="201"/>
        <v>0.78198583999367954</v>
      </c>
      <c r="AI188" s="26">
        <f t="shared" si="201"/>
        <v>0.76554607794627294</v>
      </c>
      <c r="AJ188" s="26">
        <f t="shared" si="201"/>
        <v>0.77180334125545091</v>
      </c>
      <c r="AK188" s="26">
        <f t="shared" si="201"/>
        <v>0.76592920813990772</v>
      </c>
      <c r="AL188" s="295">
        <f t="shared" si="201"/>
        <v>0.77197094724951576</v>
      </c>
      <c r="AM188" s="26">
        <f t="shared" si="201"/>
        <v>0.77197094724951598</v>
      </c>
      <c r="AN188" s="26">
        <f t="shared" si="201"/>
        <v>0.77019449787391903</v>
      </c>
      <c r="AO188" s="26">
        <f t="shared" si="201"/>
        <v>0.77197094724951609</v>
      </c>
      <c r="AP188" s="26">
        <f t="shared" si="201"/>
        <v>0.77197094724951609</v>
      </c>
      <c r="AQ188" s="26">
        <f t="shared" si="201"/>
        <v>0.77197094724951609</v>
      </c>
      <c r="AR188" s="26">
        <f t="shared" si="201"/>
        <v>0.77019449787391914</v>
      </c>
      <c r="AS188" s="26">
        <f t="shared" si="201"/>
        <v>0.77197094724951609</v>
      </c>
      <c r="AT188" s="26">
        <f t="shared" si="201"/>
        <v>0.77197094724951609</v>
      </c>
      <c r="AU188" s="26">
        <f t="shared" si="201"/>
        <v>0.77197094724951609</v>
      </c>
      <c r="AV188" s="26">
        <f t="shared" si="201"/>
        <v>0.77019449787391914</v>
      </c>
      <c r="AW188" s="26">
        <f t="shared" si="201"/>
        <v>0.77197094724951609</v>
      </c>
      <c r="AX188" s="938"/>
      <c r="AY188" s="938"/>
    </row>
    <row r="189" spans="2:51">
      <c r="B189" s="24" t="s">
        <v>141</v>
      </c>
      <c r="C189" s="465">
        <f>C50</f>
        <v>10.5</v>
      </c>
      <c r="M189" s="78">
        <f>C189*(1+M164)</f>
        <v>10.5</v>
      </c>
      <c r="N189" s="78">
        <f>M189*(1+N164)</f>
        <v>10.5</v>
      </c>
      <c r="O189" s="78">
        <f t="shared" ref="O189:X189" si="202">N189*(1+O164)</f>
        <v>10.5</v>
      </c>
      <c r="P189" s="78">
        <f t="shared" si="202"/>
        <v>10.5</v>
      </c>
      <c r="Q189" s="78">
        <f t="shared" si="202"/>
        <v>10.5</v>
      </c>
      <c r="R189" s="78">
        <f t="shared" si="202"/>
        <v>10.5</v>
      </c>
      <c r="S189" s="78">
        <f t="shared" si="202"/>
        <v>10.5</v>
      </c>
      <c r="T189" s="571">
        <f>((S189*20)+(U189*11))/31</f>
        <v>11.177741935483871</v>
      </c>
      <c r="U189" s="572">
        <v>12.41</v>
      </c>
      <c r="V189" s="78">
        <f t="shared" si="202"/>
        <v>12.41</v>
      </c>
      <c r="W189" s="78">
        <f t="shared" si="202"/>
        <v>12.41</v>
      </c>
      <c r="X189" s="78">
        <f t="shared" si="202"/>
        <v>12.41</v>
      </c>
      <c r="Y189" s="211"/>
      <c r="Z189" s="78">
        <f>X189*(1+Z164)</f>
        <v>12.41</v>
      </c>
      <c r="AA189" s="78">
        <f>Z189*(1+AA164)</f>
        <v>12.41</v>
      </c>
      <c r="AB189" s="78">
        <f t="shared" ref="AB189:AK189" si="203">AA189*(1+AB164)</f>
        <v>12.41</v>
      </c>
      <c r="AC189" s="78">
        <f t="shared" si="203"/>
        <v>12.41</v>
      </c>
      <c r="AD189" s="78">
        <f t="shared" si="203"/>
        <v>12.41</v>
      </c>
      <c r="AE189" s="78">
        <f t="shared" si="203"/>
        <v>12.41</v>
      </c>
      <c r="AF189" s="78">
        <f t="shared" si="203"/>
        <v>12.41</v>
      </c>
      <c r="AG189" s="78">
        <f t="shared" si="203"/>
        <v>12.41</v>
      </c>
      <c r="AH189" s="78">
        <f t="shared" si="203"/>
        <v>12.41</v>
      </c>
      <c r="AI189" s="78">
        <f t="shared" si="203"/>
        <v>12.41</v>
      </c>
      <c r="AJ189" s="78">
        <f t="shared" si="203"/>
        <v>12.41</v>
      </c>
      <c r="AK189" s="78">
        <f t="shared" si="203"/>
        <v>12.41</v>
      </c>
      <c r="AL189" s="211"/>
      <c r="AM189" s="78">
        <f>AK189*(1+AM164)</f>
        <v>12.41</v>
      </c>
      <c r="AN189" s="78">
        <f t="shared" ref="AN189:AW189" si="204">AM189*(1+AN164)</f>
        <v>12.41</v>
      </c>
      <c r="AO189" s="78">
        <f t="shared" si="204"/>
        <v>12.41</v>
      </c>
      <c r="AP189" s="78">
        <f t="shared" si="204"/>
        <v>12.41</v>
      </c>
      <c r="AQ189" s="78">
        <f t="shared" si="204"/>
        <v>12.41</v>
      </c>
      <c r="AR189" s="78">
        <f t="shared" si="204"/>
        <v>12.41</v>
      </c>
      <c r="AS189" s="78">
        <f t="shared" si="204"/>
        <v>12.41</v>
      </c>
      <c r="AT189" s="78">
        <f t="shared" si="204"/>
        <v>12.41</v>
      </c>
      <c r="AU189" s="78">
        <f t="shared" si="204"/>
        <v>12.41</v>
      </c>
      <c r="AV189" s="78">
        <f t="shared" si="204"/>
        <v>12.41</v>
      </c>
      <c r="AW189" s="78">
        <f t="shared" si="204"/>
        <v>12.41</v>
      </c>
      <c r="AX189" s="780"/>
      <c r="AY189" s="780"/>
    </row>
    <row r="190" spans="2:51">
      <c r="B190" s="24" t="s">
        <v>142</v>
      </c>
      <c r="C190" s="465">
        <f>C51</f>
        <v>24.504999999999999</v>
      </c>
      <c r="M190" s="78">
        <f>C190*(1+M164)</f>
        <v>24.504999999999999</v>
      </c>
      <c r="N190" s="78">
        <f>M190*(1+N164)</f>
        <v>24.504999999999999</v>
      </c>
      <c r="O190" s="78">
        <f t="shared" ref="O190:X190" si="205">N190*(1+O164)</f>
        <v>24.504999999999999</v>
      </c>
      <c r="P190" s="78">
        <f t="shared" si="205"/>
        <v>24.504999999999999</v>
      </c>
      <c r="Q190" s="78">
        <f t="shared" si="205"/>
        <v>24.504999999999999</v>
      </c>
      <c r="R190" s="78">
        <f t="shared" si="205"/>
        <v>24.504999999999999</v>
      </c>
      <c r="S190" s="78">
        <f t="shared" si="205"/>
        <v>24.504999999999999</v>
      </c>
      <c r="T190" s="571">
        <f>((S190*20)+(U190*11))/31</f>
        <v>26.454838709677418</v>
      </c>
      <c r="U190" s="572">
        <v>30</v>
      </c>
      <c r="V190" s="78">
        <f t="shared" si="205"/>
        <v>30</v>
      </c>
      <c r="W190" s="78">
        <f t="shared" si="205"/>
        <v>30</v>
      </c>
      <c r="X190" s="78">
        <f t="shared" si="205"/>
        <v>30</v>
      </c>
      <c r="Y190" s="211"/>
      <c r="Z190" s="78">
        <f>X190*(1+Z164)</f>
        <v>30</v>
      </c>
      <c r="AA190" s="78">
        <f>Z190*(1+AA164)</f>
        <v>30</v>
      </c>
      <c r="AB190" s="78">
        <f t="shared" ref="AB190:AK190" si="206">AA190*(1+AB164)</f>
        <v>30</v>
      </c>
      <c r="AC190" s="78">
        <f t="shared" si="206"/>
        <v>30</v>
      </c>
      <c r="AD190" s="78">
        <f t="shared" si="206"/>
        <v>30</v>
      </c>
      <c r="AE190" s="78">
        <f t="shared" si="206"/>
        <v>30</v>
      </c>
      <c r="AF190" s="78">
        <f t="shared" si="206"/>
        <v>30</v>
      </c>
      <c r="AG190" s="78">
        <f t="shared" si="206"/>
        <v>30</v>
      </c>
      <c r="AH190" s="78">
        <f t="shared" si="206"/>
        <v>30</v>
      </c>
      <c r="AI190" s="78">
        <f t="shared" si="206"/>
        <v>30</v>
      </c>
      <c r="AJ190" s="78">
        <f t="shared" si="206"/>
        <v>30</v>
      </c>
      <c r="AK190" s="78">
        <f t="shared" si="206"/>
        <v>30</v>
      </c>
      <c r="AL190" s="211"/>
      <c r="AM190" s="78">
        <f>AK190*(1+AM164)</f>
        <v>30</v>
      </c>
      <c r="AN190" s="78">
        <f t="shared" ref="AN190:AW190" si="207">AM190*(1+AN164)</f>
        <v>30</v>
      </c>
      <c r="AO190" s="78">
        <f t="shared" si="207"/>
        <v>30</v>
      </c>
      <c r="AP190" s="78">
        <f t="shared" si="207"/>
        <v>30</v>
      </c>
      <c r="AQ190" s="78">
        <f t="shared" si="207"/>
        <v>30</v>
      </c>
      <c r="AR190" s="78">
        <f t="shared" si="207"/>
        <v>30</v>
      </c>
      <c r="AS190" s="78">
        <f t="shared" si="207"/>
        <v>30</v>
      </c>
      <c r="AT190" s="78">
        <f t="shared" si="207"/>
        <v>30</v>
      </c>
      <c r="AU190" s="78">
        <f t="shared" si="207"/>
        <v>30</v>
      </c>
      <c r="AV190" s="78">
        <f t="shared" si="207"/>
        <v>30</v>
      </c>
      <c r="AW190" s="78">
        <f t="shared" si="207"/>
        <v>30</v>
      </c>
      <c r="AX190" s="780"/>
      <c r="AY190" s="780"/>
    </row>
    <row r="191" spans="2:51">
      <c r="B191" s="24" t="s">
        <v>162</v>
      </c>
      <c r="C191" s="24"/>
      <c r="D191" s="4"/>
      <c r="E191" s="4"/>
      <c r="F191" s="4"/>
      <c r="G191" s="4"/>
      <c r="H191" s="4"/>
      <c r="I191" s="4"/>
      <c r="J191" s="4"/>
      <c r="K191" s="4"/>
      <c r="L191" s="89"/>
      <c r="M191" s="4">
        <f>M52</f>
        <v>0</v>
      </c>
      <c r="N191" s="4">
        <f>N52</f>
        <v>0</v>
      </c>
      <c r="O191" s="4">
        <f t="shared" ref="O191:X191" si="208">O52</f>
        <v>0</v>
      </c>
      <c r="P191" s="4">
        <f t="shared" si="208"/>
        <v>0</v>
      </c>
      <c r="Q191" s="4">
        <f t="shared" si="208"/>
        <v>0</v>
      </c>
      <c r="R191" s="4">
        <f t="shared" si="208"/>
        <v>0</v>
      </c>
      <c r="S191" s="4">
        <f t="shared" si="208"/>
        <v>0</v>
      </c>
      <c r="T191" s="4">
        <f t="shared" si="208"/>
        <v>0</v>
      </c>
      <c r="U191" s="4">
        <f t="shared" si="208"/>
        <v>0</v>
      </c>
      <c r="V191" s="4">
        <f t="shared" si="208"/>
        <v>0</v>
      </c>
      <c r="W191" s="4">
        <f t="shared" si="208"/>
        <v>0</v>
      </c>
      <c r="X191" s="4">
        <f t="shared" si="208"/>
        <v>0</v>
      </c>
      <c r="Y191" s="89"/>
      <c r="Z191" s="4">
        <f t="shared" ref="Z191:AW191" si="209">Z52</f>
        <v>0</v>
      </c>
      <c r="AA191" s="4">
        <f t="shared" si="209"/>
        <v>0</v>
      </c>
      <c r="AB191" s="4">
        <f t="shared" si="209"/>
        <v>0</v>
      </c>
      <c r="AC191" s="4">
        <f t="shared" si="209"/>
        <v>0</v>
      </c>
      <c r="AD191" s="4">
        <f t="shared" si="209"/>
        <v>0</v>
      </c>
      <c r="AE191" s="4">
        <f t="shared" si="209"/>
        <v>0</v>
      </c>
      <c r="AF191" s="4">
        <f t="shared" si="209"/>
        <v>0</v>
      </c>
      <c r="AG191" s="4">
        <f t="shared" si="209"/>
        <v>0</v>
      </c>
      <c r="AH191" s="4">
        <f t="shared" si="209"/>
        <v>0</v>
      </c>
      <c r="AI191" s="4">
        <f t="shared" si="209"/>
        <v>0</v>
      </c>
      <c r="AJ191" s="4">
        <f t="shared" si="209"/>
        <v>0</v>
      </c>
      <c r="AK191" s="4">
        <f t="shared" si="209"/>
        <v>0</v>
      </c>
      <c r="AL191" s="89"/>
      <c r="AM191" s="4">
        <f t="shared" si="209"/>
        <v>0</v>
      </c>
      <c r="AN191" s="4">
        <f t="shared" si="209"/>
        <v>0</v>
      </c>
      <c r="AO191" s="4">
        <f t="shared" si="209"/>
        <v>0</v>
      </c>
      <c r="AP191" s="4">
        <f t="shared" si="209"/>
        <v>0</v>
      </c>
      <c r="AQ191" s="4">
        <f t="shared" si="209"/>
        <v>0</v>
      </c>
      <c r="AR191" s="4">
        <f t="shared" si="209"/>
        <v>0</v>
      </c>
      <c r="AS191" s="4">
        <f t="shared" si="209"/>
        <v>0</v>
      </c>
      <c r="AT191" s="4">
        <f t="shared" si="209"/>
        <v>0</v>
      </c>
      <c r="AU191" s="4">
        <f t="shared" si="209"/>
        <v>0</v>
      </c>
      <c r="AV191" s="4">
        <f t="shared" si="209"/>
        <v>0</v>
      </c>
      <c r="AW191" s="4">
        <f t="shared" si="209"/>
        <v>0</v>
      </c>
      <c r="AX191" s="837"/>
      <c r="AY191" s="837"/>
    </row>
    <row r="192" spans="2:51" ht="13.5" thickBot="1">
      <c r="B192" s="13" t="s">
        <v>144</v>
      </c>
      <c r="C192" s="13"/>
      <c r="D192" s="52"/>
      <c r="E192" s="52"/>
      <c r="F192" s="52"/>
      <c r="G192" s="52"/>
      <c r="H192" s="52"/>
      <c r="I192" s="52"/>
      <c r="J192" s="52"/>
      <c r="K192" s="52"/>
      <c r="L192" s="176"/>
      <c r="M192" s="52">
        <f>M53</f>
        <v>43.130854590103674</v>
      </c>
      <c r="N192" s="52">
        <f>N53</f>
        <v>44.27422141132844</v>
      </c>
      <c r="O192" s="52">
        <f t="shared" ref="O192:AW192" si="210">O53</f>
        <v>42.673496592418658</v>
      </c>
      <c r="P192" s="52">
        <f t="shared" si="210"/>
        <v>43.459454315314396</v>
      </c>
      <c r="Q192" s="52">
        <f t="shared" si="210"/>
        <v>42.899997209425997</v>
      </c>
      <c r="R192" s="52">
        <f t="shared" si="210"/>
        <v>43.428708450973808</v>
      </c>
      <c r="S192" s="52">
        <f t="shared" si="210"/>
        <v>42.627100136605506</v>
      </c>
      <c r="T192" s="52">
        <f t="shared" si="210"/>
        <v>45.982544772901498</v>
      </c>
      <c r="U192" s="52">
        <f t="shared" si="210"/>
        <v>52.041461916050075</v>
      </c>
      <c r="V192" s="52">
        <f t="shared" si="210"/>
        <v>51.788508892409688</v>
      </c>
      <c r="W192" s="52">
        <f t="shared" si="210"/>
        <v>52.332257700613297</v>
      </c>
      <c r="X192" s="52">
        <f t="shared" si="210"/>
        <v>51.777609927411021</v>
      </c>
      <c r="Y192" s="176"/>
      <c r="Z192" s="52">
        <f t="shared" si="210"/>
        <v>52.031115874589837</v>
      </c>
      <c r="AA192" s="52">
        <f t="shared" si="210"/>
        <v>53.365336925198655</v>
      </c>
      <c r="AB192" s="52">
        <f t="shared" si="210"/>
        <v>51.473432639230055</v>
      </c>
      <c r="AC192" s="52">
        <f t="shared" si="210"/>
        <v>52.40235981457635</v>
      </c>
      <c r="AD192" s="52">
        <f t="shared" si="210"/>
        <v>51.741134797045397</v>
      </c>
      <c r="AE192" s="52">
        <f t="shared" si="210"/>
        <v>52.366021131103331</v>
      </c>
      <c r="AF192" s="52">
        <f t="shared" si="210"/>
        <v>51.418596447168994</v>
      </c>
      <c r="AG192" s="52">
        <f t="shared" si="210"/>
        <v>51.680481947369302</v>
      </c>
      <c r="AH192" s="52">
        <f t="shared" si="210"/>
        <v>52.041461916050075</v>
      </c>
      <c r="AI192" s="52">
        <f t="shared" si="210"/>
        <v>51.788508892409688</v>
      </c>
      <c r="AJ192" s="52">
        <f t="shared" si="210"/>
        <v>52.332257700613297</v>
      </c>
      <c r="AK192" s="52">
        <f t="shared" si="210"/>
        <v>51.777609927411021</v>
      </c>
      <c r="AL192" s="176"/>
      <c r="AM192" s="52">
        <f t="shared" si="210"/>
        <v>52.021554127872214</v>
      </c>
      <c r="AN192" s="52">
        <f t="shared" si="210"/>
        <v>52.012039763160715</v>
      </c>
      <c r="AO192" s="52">
        <f t="shared" si="210"/>
        <v>52.021554127872207</v>
      </c>
      <c r="AP192" s="52">
        <f t="shared" si="210"/>
        <v>52.021554127872207</v>
      </c>
      <c r="AQ192" s="52">
        <f t="shared" si="210"/>
        <v>52.021554127872207</v>
      </c>
      <c r="AR192" s="52">
        <f t="shared" si="210"/>
        <v>52.012039763160715</v>
      </c>
      <c r="AS192" s="52">
        <f t="shared" si="210"/>
        <v>52.021554127872207</v>
      </c>
      <c r="AT192" s="52">
        <f t="shared" si="210"/>
        <v>52.021554127872207</v>
      </c>
      <c r="AU192" s="52">
        <f t="shared" si="210"/>
        <v>52.021554127872207</v>
      </c>
      <c r="AV192" s="52">
        <f t="shared" si="210"/>
        <v>52.012039763160715</v>
      </c>
      <c r="AW192" s="52">
        <f t="shared" si="210"/>
        <v>52.021554127872207</v>
      </c>
      <c r="AX192" s="837"/>
      <c r="AY192" s="837"/>
    </row>
    <row r="193" spans="2:51" ht="13.5" thickTop="1">
      <c r="B193" s="13"/>
      <c r="C193" s="13"/>
    </row>
    <row r="194" spans="2:51">
      <c r="B194" s="13"/>
      <c r="C194" s="13"/>
      <c r="D194" s="4"/>
      <c r="E194" s="4"/>
      <c r="F194" s="4"/>
      <c r="G194" s="4"/>
      <c r="H194" s="4"/>
      <c r="I194" s="4"/>
      <c r="J194" s="4"/>
      <c r="K194" s="4"/>
      <c r="L194" s="89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89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89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837"/>
      <c r="AY194" s="837"/>
    </row>
    <row r="195" spans="2:51">
      <c r="B195" s="13"/>
      <c r="C195" s="13"/>
    </row>
    <row r="196" spans="2:51">
      <c r="B196" s="569" t="s">
        <v>1017</v>
      </c>
      <c r="C196" s="13"/>
      <c r="D196" s="4"/>
      <c r="E196" s="4"/>
      <c r="F196" s="4"/>
      <c r="G196" s="4"/>
      <c r="H196" s="4"/>
      <c r="I196" s="4"/>
      <c r="J196" s="4"/>
      <c r="K196" s="4"/>
      <c r="L196" s="89"/>
      <c r="M196" s="4">
        <f>M57</f>
        <v>-1.357</v>
      </c>
      <c r="N196" s="4">
        <f>N57</f>
        <v>-1.357</v>
      </c>
      <c r="O196" s="4">
        <f t="shared" ref="O196:X196" si="211">O57</f>
        <v>-1.357</v>
      </c>
      <c r="P196" s="4">
        <f t="shared" si="211"/>
        <v>-1.357</v>
      </c>
      <c r="Q196" s="4">
        <f t="shared" si="211"/>
        <v>-1.357</v>
      </c>
      <c r="R196" s="4">
        <f t="shared" si="211"/>
        <v>-1.357</v>
      </c>
      <c r="S196" s="4">
        <f t="shared" si="211"/>
        <v>-1.357</v>
      </c>
      <c r="T196" s="4">
        <f t="shared" si="211"/>
        <v>-1.357</v>
      </c>
      <c r="U196" s="4">
        <f t="shared" si="211"/>
        <v>-0.68508313310372948</v>
      </c>
      <c r="V196" s="4">
        <f t="shared" si="211"/>
        <v>-0.68508313310372959</v>
      </c>
      <c r="W196" s="4">
        <f t="shared" si="211"/>
        <v>-0.68508313310372948</v>
      </c>
      <c r="X196" s="4">
        <f t="shared" si="211"/>
        <v>-0.68508313310372948</v>
      </c>
      <c r="Y196" s="89"/>
      <c r="Z196" s="4">
        <f t="shared" ref="Z196:AW196" si="212">Z57</f>
        <v>-0.68508313310372948</v>
      </c>
      <c r="AA196" s="4">
        <f t="shared" si="212"/>
        <v>-0.68508313310372948</v>
      </c>
      <c r="AB196" s="4">
        <f t="shared" si="212"/>
        <v>-0.68508313310372948</v>
      </c>
      <c r="AC196" s="4">
        <f t="shared" si="212"/>
        <v>-0.68508313310372948</v>
      </c>
      <c r="AD196" s="4">
        <f t="shared" si="212"/>
        <v>-0.68508313310372948</v>
      </c>
      <c r="AE196" s="4">
        <f t="shared" si="212"/>
        <v>-0.68508313310372948</v>
      </c>
      <c r="AF196" s="4">
        <f t="shared" si="212"/>
        <v>-0.68508313310372948</v>
      </c>
      <c r="AG196" s="4">
        <f t="shared" si="212"/>
        <v>-0.68508313310372948</v>
      </c>
      <c r="AH196" s="4">
        <f t="shared" si="212"/>
        <v>-0.31995189662832124</v>
      </c>
      <c r="AI196" s="4">
        <f t="shared" si="212"/>
        <v>-0.31995189662832124</v>
      </c>
      <c r="AJ196" s="4">
        <f t="shared" si="212"/>
        <v>-0.31995189662832124</v>
      </c>
      <c r="AK196" s="4">
        <f t="shared" si="212"/>
        <v>-0.31995189662832124</v>
      </c>
      <c r="AL196" s="89"/>
      <c r="AM196" s="4">
        <f t="shared" si="212"/>
        <v>-0.31995189662832124</v>
      </c>
      <c r="AN196" s="4">
        <f t="shared" si="212"/>
        <v>1.0340520374622204</v>
      </c>
      <c r="AO196" s="4">
        <f t="shared" si="212"/>
        <v>0.98724368665736029</v>
      </c>
      <c r="AP196" s="4">
        <f t="shared" si="212"/>
        <v>0.98100747577917535</v>
      </c>
      <c r="AQ196" s="4">
        <f t="shared" si="212"/>
        <v>1.0689326218597828</v>
      </c>
      <c r="AR196" s="4">
        <f t="shared" si="212"/>
        <v>1.0603839309684941</v>
      </c>
      <c r="AS196" s="4">
        <f t="shared" si="212"/>
        <v>1.0459570615534537</v>
      </c>
      <c r="AT196" s="4">
        <f t="shared" si="212"/>
        <v>1.1348643260993998</v>
      </c>
      <c r="AU196" s="4">
        <f t="shared" si="212"/>
        <v>1.1228930852424654</v>
      </c>
      <c r="AV196" s="4">
        <f t="shared" si="212"/>
        <v>1.112034742502348</v>
      </c>
      <c r="AW196" s="4">
        <f t="shared" si="212"/>
        <v>1.1974052163063931</v>
      </c>
      <c r="AX196" s="837"/>
      <c r="AY196" s="837"/>
    </row>
    <row r="197" spans="2:51">
      <c r="B197" s="13"/>
      <c r="C197" s="13"/>
      <c r="D197" s="4"/>
      <c r="E197" s="4"/>
      <c r="F197" s="4"/>
      <c r="G197" s="4"/>
      <c r="H197" s="4"/>
      <c r="I197" s="4"/>
      <c r="J197" s="4"/>
      <c r="K197" s="4"/>
      <c r="L197" s="89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89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89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837"/>
      <c r="AY197" s="837"/>
    </row>
    <row r="198" spans="2:51">
      <c r="B198" t="s">
        <v>231</v>
      </c>
      <c r="C198" s="13"/>
      <c r="D198" s="4"/>
      <c r="E198" s="4"/>
      <c r="F198" s="4"/>
      <c r="G198" s="4"/>
      <c r="H198" s="4"/>
      <c r="I198" s="4"/>
      <c r="J198" s="4"/>
      <c r="K198" s="4"/>
      <c r="L198" s="89"/>
      <c r="M198" s="4">
        <f t="shared" ref="M198:N201" si="213">M59</f>
        <v>3.7963383636932448</v>
      </c>
      <c r="N198" s="4">
        <f t="shared" si="213"/>
        <v>3.9251281468845747</v>
      </c>
      <c r="O198" s="4">
        <f t="shared" ref="O198:X198" si="214">O59</f>
        <v>3.9177526208667715</v>
      </c>
      <c r="P198" s="4">
        <f t="shared" si="214"/>
        <v>3.9583829858781563</v>
      </c>
      <c r="Q198" s="4">
        <f t="shared" si="214"/>
        <v>3.9650535434312602</v>
      </c>
      <c r="R198" s="4">
        <f t="shared" si="214"/>
        <v>4.1057147400882172</v>
      </c>
      <c r="S198" s="4">
        <f t="shared" si="214"/>
        <v>4.6280961821621247</v>
      </c>
      <c r="T198" s="4">
        <f t="shared" si="214"/>
        <v>4.2085144107267354</v>
      </c>
      <c r="U198" s="4">
        <f t="shared" si="214"/>
        <v>4.6894785183502243</v>
      </c>
      <c r="V198" s="4">
        <f t="shared" si="214"/>
        <v>4.4699835305300013</v>
      </c>
      <c r="W198" s="4">
        <f t="shared" si="214"/>
        <v>4.5930663428745611</v>
      </c>
      <c r="X198" s="4">
        <f t="shared" si="214"/>
        <v>4.6583515678101328</v>
      </c>
      <c r="Y198" s="89"/>
      <c r="Z198" s="4">
        <f t="shared" ref="Z198:AW198" si="215">Z59</f>
        <v>4.8866856798061171</v>
      </c>
      <c r="AA198" s="4">
        <f t="shared" si="215"/>
        <v>5.0551684882073182</v>
      </c>
      <c r="AB198" s="4">
        <f t="shared" si="215"/>
        <v>5.2005594622076536</v>
      </c>
      <c r="AC198" s="4">
        <f t="shared" si="215"/>
        <v>5.3225046534309719</v>
      </c>
      <c r="AD198" s="4">
        <f t="shared" si="215"/>
        <v>5.4315731102566787</v>
      </c>
      <c r="AE198" s="4">
        <f t="shared" si="215"/>
        <v>5.6299815605481953</v>
      </c>
      <c r="AF198" s="4">
        <f t="shared" si="215"/>
        <v>5.6517894361783796</v>
      </c>
      <c r="AG198" s="4">
        <f t="shared" si="215"/>
        <v>5.690344155591383</v>
      </c>
      <c r="AH198" s="4">
        <f t="shared" si="215"/>
        <v>5.7617463416336498</v>
      </c>
      <c r="AI198" s="4">
        <f t="shared" si="215"/>
        <v>5.3798392292094768</v>
      </c>
      <c r="AJ198" s="4">
        <f t="shared" si="215"/>
        <v>5.424671823074668</v>
      </c>
      <c r="AK198" s="4">
        <f t="shared" si="215"/>
        <v>5.4400767169142874</v>
      </c>
      <c r="AL198" s="89"/>
      <c r="AM198" s="4">
        <f t="shared" si="215"/>
        <v>6.4429337942454907</v>
      </c>
      <c r="AN198" s="4">
        <f t="shared" si="215"/>
        <v>6.9344556727440256</v>
      </c>
      <c r="AO198" s="4">
        <f t="shared" si="215"/>
        <v>8.1711410789152517</v>
      </c>
      <c r="AP198" s="4">
        <f t="shared" si="215"/>
        <v>9.089843981659989</v>
      </c>
      <c r="AQ198" s="4">
        <f t="shared" si="215"/>
        <v>9.6600154495524251</v>
      </c>
      <c r="AR198" s="4">
        <f t="shared" si="215"/>
        <v>11.262019941767477</v>
      </c>
      <c r="AS198" s="4">
        <f t="shared" si="215"/>
        <v>12.718998434024591</v>
      </c>
      <c r="AT198" s="4">
        <f t="shared" si="215"/>
        <v>13.973213946999408</v>
      </c>
      <c r="AU198" s="4">
        <f t="shared" si="215"/>
        <v>15.594056537842711</v>
      </c>
      <c r="AV198" s="4">
        <f t="shared" si="215"/>
        <v>16.312925925514492</v>
      </c>
      <c r="AW198" s="4">
        <f t="shared" si="215"/>
        <v>19.349098915653869</v>
      </c>
      <c r="AX198" s="837"/>
      <c r="AY198" s="837"/>
    </row>
    <row r="199" spans="2:51">
      <c r="B199" t="s">
        <v>232</v>
      </c>
      <c r="C199" s="13"/>
      <c r="D199" s="4"/>
      <c r="E199" s="4"/>
      <c r="F199" s="4"/>
      <c r="G199" s="4"/>
      <c r="H199" s="4"/>
      <c r="I199" s="4"/>
      <c r="J199" s="4"/>
      <c r="K199" s="4"/>
      <c r="L199" s="89"/>
      <c r="M199" s="4">
        <f t="shared" si="213"/>
        <v>2.7498441214673086</v>
      </c>
      <c r="N199" s="4">
        <f t="shared" si="213"/>
        <v>2.8148839930336496</v>
      </c>
      <c r="O199" s="4">
        <f t="shared" ref="O199:X199" si="216">O60</f>
        <v>2.7916147759721062</v>
      </c>
      <c r="P199" s="4">
        <f t="shared" si="216"/>
        <v>2.6545285841609165</v>
      </c>
      <c r="Q199" s="4">
        <f t="shared" si="216"/>
        <v>2.7244568534564375</v>
      </c>
      <c r="R199" s="4">
        <f t="shared" si="216"/>
        <v>2.7808014481734187</v>
      </c>
      <c r="S199" s="4">
        <f t="shared" si="216"/>
        <v>2.6715814694002846</v>
      </c>
      <c r="T199" s="4">
        <f t="shared" si="216"/>
        <v>2.9882582127127075</v>
      </c>
      <c r="U199" s="4">
        <f t="shared" si="216"/>
        <v>3.3286064555343953</v>
      </c>
      <c r="V199" s="4">
        <f t="shared" si="216"/>
        <v>3.2488535995599137</v>
      </c>
      <c r="W199" s="4">
        <f t="shared" si="216"/>
        <v>3.0117304665703051</v>
      </c>
      <c r="X199" s="4">
        <f t="shared" si="216"/>
        <v>2.8041022649997411</v>
      </c>
      <c r="Y199" s="89"/>
      <c r="Z199" s="4">
        <f t="shared" ref="Z199:AK199" si="217">Z60</f>
        <v>2.9621130404280636</v>
      </c>
      <c r="AA199" s="4">
        <f t="shared" si="217"/>
        <v>3.0491135222840962</v>
      </c>
      <c r="AB199" s="4">
        <f t="shared" si="217"/>
        <v>2.8503044555633377</v>
      </c>
      <c r="AC199" s="4">
        <f t="shared" si="217"/>
        <v>3.1569235502708537</v>
      </c>
      <c r="AD199" s="4">
        <f t="shared" si="217"/>
        <v>3.0551830841766852</v>
      </c>
      <c r="AE199" s="4">
        <f t="shared" si="217"/>
        <v>3.0987535391781158</v>
      </c>
      <c r="AF199" s="4">
        <f t="shared" si="217"/>
        <v>3.0174220974374788</v>
      </c>
      <c r="AG199" s="4">
        <f t="shared" si="217"/>
        <v>3.5185167494770879</v>
      </c>
      <c r="AH199" s="4">
        <f t="shared" si="217"/>
        <v>4.1134373417874057</v>
      </c>
      <c r="AI199" s="4">
        <f t="shared" si="217"/>
        <v>4.0261816463805626</v>
      </c>
      <c r="AJ199" s="4">
        <f t="shared" si="217"/>
        <v>3.7734353222496688</v>
      </c>
      <c r="AK199" s="4">
        <f t="shared" si="217"/>
        <v>3.4676294228882734</v>
      </c>
      <c r="AL199" s="89"/>
      <c r="AM199" s="4">
        <f t="shared" ref="AM199:AW199" si="218">AM60</f>
        <v>4.1365715055226415</v>
      </c>
      <c r="AN199" s="4">
        <f t="shared" si="218"/>
        <v>4.3950532451154336</v>
      </c>
      <c r="AO199" s="4">
        <f t="shared" si="218"/>
        <v>4.4781980815160098</v>
      </c>
      <c r="AP199" s="4">
        <f t="shared" si="218"/>
        <v>4.5469396655281527</v>
      </c>
      <c r="AQ199" s="4">
        <f t="shared" si="218"/>
        <v>4.610205179188668</v>
      </c>
      <c r="AR199" s="4">
        <f t="shared" si="218"/>
        <v>4.4132842683884217</v>
      </c>
      <c r="AS199" s="4">
        <f t="shared" si="218"/>
        <v>4.2582424499443157</v>
      </c>
      <c r="AT199" s="4">
        <f t="shared" si="218"/>
        <v>4.3834042650876466</v>
      </c>
      <c r="AU199" s="4">
        <f t="shared" si="218"/>
        <v>4.5399839964953514</v>
      </c>
      <c r="AV199" s="4">
        <f t="shared" si="218"/>
        <v>4.606850603245956</v>
      </c>
      <c r="AW199" s="4">
        <f t="shared" si="218"/>
        <v>4.7694648327959168</v>
      </c>
      <c r="AX199" s="837"/>
      <c r="AY199" s="837"/>
    </row>
    <row r="200" spans="2:51">
      <c r="B200" t="s">
        <v>236</v>
      </c>
      <c r="C200" s="13"/>
      <c r="D200" s="8"/>
      <c r="E200" s="8"/>
      <c r="F200" s="8"/>
      <c r="G200" s="8"/>
      <c r="H200" s="8"/>
      <c r="I200" s="8"/>
      <c r="J200" s="8"/>
      <c r="K200" s="8"/>
      <c r="L200" s="216"/>
      <c r="M200" s="8">
        <f t="shared" si="213"/>
        <v>-3.5419987678431255</v>
      </c>
      <c r="N200" s="8">
        <f t="shared" si="213"/>
        <v>-3.8534978053181028</v>
      </c>
      <c r="O200" s="8">
        <f t="shared" ref="O200:X200" si="219">O61</f>
        <v>-4.3303966389368087</v>
      </c>
      <c r="P200" s="8">
        <f t="shared" si="219"/>
        <v>-5.048932403708319</v>
      </c>
      <c r="Q200" s="8">
        <f t="shared" si="219"/>
        <v>-4.7533128779436753</v>
      </c>
      <c r="R200" s="8">
        <f t="shared" si="219"/>
        <v>-3.8706361659587825</v>
      </c>
      <c r="S200" s="8">
        <f t="shared" si="219"/>
        <v>-3.5315807075026906</v>
      </c>
      <c r="T200" s="8">
        <f t="shared" si="219"/>
        <v>-2.8660062033734497</v>
      </c>
      <c r="U200" s="8">
        <f t="shared" si="219"/>
        <v>-1.9099490423013319</v>
      </c>
      <c r="V200" s="8">
        <f t="shared" si="219"/>
        <v>-2.1420632362953818</v>
      </c>
      <c r="W200" s="8">
        <f t="shared" si="219"/>
        <v>-1.9063198549526461</v>
      </c>
      <c r="X200" s="8">
        <f t="shared" si="219"/>
        <v>-1.5368370338124206</v>
      </c>
      <c r="Y200" s="216"/>
      <c r="Z200" s="8">
        <f t="shared" ref="Z200:AK200" si="220">Z61</f>
        <v>-1.5004831843630528</v>
      </c>
      <c r="AA200" s="8">
        <f t="shared" si="220"/>
        <v>-1.6368182323109093</v>
      </c>
      <c r="AB200" s="8">
        <f t="shared" si="220"/>
        <v>-1.8398813480720406</v>
      </c>
      <c r="AC200" s="8">
        <f t="shared" si="220"/>
        <v>-2.1467870053988767</v>
      </c>
      <c r="AD200" s="8">
        <f t="shared" si="220"/>
        <v>-2.0202342508791742</v>
      </c>
      <c r="AE200" s="8">
        <f t="shared" si="220"/>
        <v>-1.6435781306420623</v>
      </c>
      <c r="AF200" s="8">
        <f t="shared" si="220"/>
        <v>-1.5106951013206491</v>
      </c>
      <c r="AG200" s="8">
        <f t="shared" si="220"/>
        <v>-1.5579589524549675</v>
      </c>
      <c r="AH200" s="8">
        <f t="shared" si="220"/>
        <v>-1.888516000997958</v>
      </c>
      <c r="AI200" s="8">
        <f t="shared" si="220"/>
        <v>-2.1193805839546793</v>
      </c>
      <c r="AJ200" s="8">
        <f t="shared" si="220"/>
        <v>-1.8850186614847981</v>
      </c>
      <c r="AK200" s="8">
        <f t="shared" si="220"/>
        <v>-1.5183662190185225</v>
      </c>
      <c r="AL200" s="216"/>
      <c r="AM200" s="8">
        <f t="shared" ref="AM200:AW200" si="221">AM61</f>
        <v>-1.7270976087488248</v>
      </c>
      <c r="AN200" s="8">
        <f t="shared" si="221"/>
        <v>-1.7100561832913621</v>
      </c>
      <c r="AO200" s="8">
        <f t="shared" si="221"/>
        <v>-2.1941616088628115</v>
      </c>
      <c r="AP200" s="8">
        <f t="shared" si="221"/>
        <v>-2.3243394891963254</v>
      </c>
      <c r="AQ200" s="8">
        <f t="shared" si="221"/>
        <v>-2.3064338386218677</v>
      </c>
      <c r="AR200" s="8">
        <f t="shared" si="221"/>
        <v>-2.2870896642681657</v>
      </c>
      <c r="AS200" s="8">
        <f t="shared" si="221"/>
        <v>-2.2622949474014744</v>
      </c>
      <c r="AT200" s="8">
        <f t="shared" si="221"/>
        <v>-2.2398610526860865</v>
      </c>
      <c r="AU200" s="8">
        <f t="shared" si="221"/>
        <v>-2.2174078410732232</v>
      </c>
      <c r="AV200" s="8">
        <f t="shared" si="221"/>
        <v>-2.197370348866766</v>
      </c>
      <c r="AW200" s="8">
        <f t="shared" si="221"/>
        <v>-2.172887928901718</v>
      </c>
      <c r="AX200" s="837"/>
      <c r="AY200" s="837"/>
    </row>
    <row r="201" spans="2:51">
      <c r="B201" s="13" t="s">
        <v>145</v>
      </c>
      <c r="C201" s="13"/>
      <c r="D201" s="4"/>
      <c r="E201" s="4"/>
      <c r="F201" s="4"/>
      <c r="G201" s="4"/>
      <c r="H201" s="4"/>
      <c r="I201" s="4"/>
      <c r="J201" s="4"/>
      <c r="K201" s="4"/>
      <c r="L201" s="89"/>
      <c r="M201" s="4">
        <f t="shared" si="213"/>
        <v>3.0041837173174279</v>
      </c>
      <c r="N201" s="4">
        <f t="shared" si="213"/>
        <v>2.8865143346001219</v>
      </c>
      <c r="O201" s="4">
        <f t="shared" ref="O201:X201" si="222">O62</f>
        <v>2.3789707579020689</v>
      </c>
      <c r="P201" s="4">
        <f t="shared" si="222"/>
        <v>1.5639791663307534</v>
      </c>
      <c r="Q201" s="4">
        <f t="shared" si="222"/>
        <v>1.9361975189440228</v>
      </c>
      <c r="R201" s="4">
        <f t="shared" si="222"/>
        <v>3.0158800223028535</v>
      </c>
      <c r="S201" s="4">
        <f t="shared" si="222"/>
        <v>3.7680969440597187</v>
      </c>
      <c r="T201" s="4">
        <f t="shared" si="222"/>
        <v>4.3307664200659932</v>
      </c>
      <c r="U201" s="4">
        <f t="shared" si="222"/>
        <v>6.1081359315832877</v>
      </c>
      <c r="V201" s="4">
        <f t="shared" si="222"/>
        <v>5.5767738937945328</v>
      </c>
      <c r="W201" s="4">
        <f t="shared" si="222"/>
        <v>5.6984769544922198</v>
      </c>
      <c r="X201" s="4">
        <f t="shared" si="222"/>
        <v>5.9256167989974537</v>
      </c>
      <c r="Y201" s="89"/>
      <c r="Z201" s="4">
        <f t="shared" ref="Z201:AW201" si="223">Z62</f>
        <v>6.3483155358711274</v>
      </c>
      <c r="AA201" s="4">
        <f t="shared" si="223"/>
        <v>6.4674637781805044</v>
      </c>
      <c r="AB201" s="4">
        <f t="shared" si="223"/>
        <v>6.2109825696989507</v>
      </c>
      <c r="AC201" s="4">
        <f t="shared" si="223"/>
        <v>6.3326411983029489</v>
      </c>
      <c r="AD201" s="4">
        <f t="shared" si="223"/>
        <v>6.4665219435541896</v>
      </c>
      <c r="AE201" s="4">
        <f t="shared" si="223"/>
        <v>7.0851569690842489</v>
      </c>
      <c r="AF201" s="4">
        <f t="shared" si="223"/>
        <v>7.1585164322952091</v>
      </c>
      <c r="AG201" s="4">
        <f t="shared" si="223"/>
        <v>7.6509019526135038</v>
      </c>
      <c r="AH201" s="4">
        <f t="shared" si="223"/>
        <v>7.9866676824230982</v>
      </c>
      <c r="AI201" s="4">
        <f t="shared" si="223"/>
        <v>7.2866402916353596</v>
      </c>
      <c r="AJ201" s="4">
        <f t="shared" si="223"/>
        <v>7.3130884838395378</v>
      </c>
      <c r="AK201" s="4">
        <f t="shared" si="223"/>
        <v>7.3893399207840371</v>
      </c>
      <c r="AL201" s="89"/>
      <c r="AM201" s="4">
        <f t="shared" si="223"/>
        <v>8.8524076910193088</v>
      </c>
      <c r="AN201" s="4">
        <f t="shared" si="223"/>
        <v>9.6194527345680978</v>
      </c>
      <c r="AO201" s="4">
        <f t="shared" si="223"/>
        <v>10.455177551568449</v>
      </c>
      <c r="AP201" s="4">
        <f t="shared" si="223"/>
        <v>11.312444157991816</v>
      </c>
      <c r="AQ201" s="4">
        <f t="shared" si="223"/>
        <v>11.963786790119226</v>
      </c>
      <c r="AR201" s="4">
        <f t="shared" si="223"/>
        <v>13.388214545887733</v>
      </c>
      <c r="AS201" s="4">
        <f t="shared" si="223"/>
        <v>14.714945936567432</v>
      </c>
      <c r="AT201" s="4">
        <f t="shared" si="223"/>
        <v>16.116757159400969</v>
      </c>
      <c r="AU201" s="4">
        <f t="shared" si="223"/>
        <v>17.916632693264837</v>
      </c>
      <c r="AV201" s="4">
        <f t="shared" si="223"/>
        <v>18.722406179893682</v>
      </c>
      <c r="AW201" s="4">
        <f t="shared" si="223"/>
        <v>21.945675819548068</v>
      </c>
      <c r="AX201" s="837"/>
      <c r="AY201" s="837"/>
    </row>
    <row r="202" spans="2:51">
      <c r="B202" s="13" t="s">
        <v>146</v>
      </c>
      <c r="C202" s="13"/>
      <c r="D202" s="4"/>
      <c r="E202" s="4"/>
      <c r="F202" s="4"/>
      <c r="G202" s="4"/>
      <c r="H202" s="4"/>
      <c r="I202" s="4"/>
      <c r="J202" s="4"/>
      <c r="K202" s="4"/>
      <c r="L202" s="89"/>
      <c r="M202" s="4">
        <f>+M63</f>
        <v>-7.2161837173174277</v>
      </c>
      <c r="N202" s="4">
        <f>+N63</f>
        <v>-7.0985143346001216</v>
      </c>
      <c r="O202" s="4">
        <f t="shared" ref="O202:X202" si="224">+O63</f>
        <v>-6.5909707579020687</v>
      </c>
      <c r="P202" s="4">
        <f t="shared" si="224"/>
        <v>-5.7759791663307531</v>
      </c>
      <c r="Q202" s="4">
        <f t="shared" si="224"/>
        <v>-6.1481975189440226</v>
      </c>
      <c r="R202" s="4">
        <f t="shared" si="224"/>
        <v>-7.2278800223028536</v>
      </c>
      <c r="S202" s="4">
        <f t="shared" si="224"/>
        <v>-6.9800969440597189</v>
      </c>
      <c r="T202" s="4">
        <f t="shared" si="224"/>
        <v>-7.542766420065993</v>
      </c>
      <c r="U202" s="4">
        <f t="shared" si="224"/>
        <v>-9.3201359315832875</v>
      </c>
      <c r="V202" s="4">
        <f t="shared" si="224"/>
        <v>-8.7887738937945326</v>
      </c>
      <c r="W202" s="4">
        <f t="shared" si="224"/>
        <v>-8.9104769544922195</v>
      </c>
      <c r="X202" s="4">
        <f t="shared" si="224"/>
        <v>-9.1376167989974526</v>
      </c>
      <c r="Y202" s="89"/>
      <c r="Z202" s="4">
        <f t="shared" ref="Z202:AW202" si="225">+Z63</f>
        <v>-9.5603155358711263</v>
      </c>
      <c r="AA202" s="4">
        <f t="shared" si="225"/>
        <v>-9.6794637781805051</v>
      </c>
      <c r="AB202" s="4">
        <f t="shared" si="225"/>
        <v>-9.4229825696989504</v>
      </c>
      <c r="AC202" s="4">
        <f t="shared" si="225"/>
        <v>-9.5446411983029478</v>
      </c>
      <c r="AD202" s="4">
        <f t="shared" si="225"/>
        <v>-9.6785219435541894</v>
      </c>
      <c r="AE202" s="4">
        <f t="shared" si="225"/>
        <v>-10.297156969084249</v>
      </c>
      <c r="AF202" s="4">
        <f t="shared" si="225"/>
        <v>-8.3705164322952079</v>
      </c>
      <c r="AG202" s="4">
        <f t="shared" si="225"/>
        <v>-8.8629019526135036</v>
      </c>
      <c r="AH202" s="4">
        <f t="shared" si="225"/>
        <v>-9.198667682423098</v>
      </c>
      <c r="AI202" s="4">
        <f t="shared" si="225"/>
        <v>-8.4986402916353594</v>
      </c>
      <c r="AJ202" s="4">
        <f t="shared" si="225"/>
        <v>-8.5250884838395375</v>
      </c>
      <c r="AK202" s="4">
        <f t="shared" si="225"/>
        <v>-8.6013399207840369</v>
      </c>
      <c r="AL202" s="89"/>
      <c r="AM202" s="4">
        <f t="shared" si="225"/>
        <v>-6.2570983071537754</v>
      </c>
      <c r="AN202" s="4">
        <f t="shared" si="225"/>
        <v>0</v>
      </c>
      <c r="AO202" s="4">
        <f t="shared" si="225"/>
        <v>0</v>
      </c>
      <c r="AP202" s="4">
        <f t="shared" si="225"/>
        <v>0</v>
      </c>
      <c r="AQ202" s="4">
        <f t="shared" si="225"/>
        <v>0</v>
      </c>
      <c r="AR202" s="4">
        <f t="shared" si="225"/>
        <v>0</v>
      </c>
      <c r="AS202" s="4">
        <f t="shared" si="225"/>
        <v>0</v>
      </c>
      <c r="AT202" s="4">
        <f t="shared" si="225"/>
        <v>0</v>
      </c>
      <c r="AU202" s="4">
        <f t="shared" si="225"/>
        <v>0</v>
      </c>
      <c r="AV202" s="4">
        <f t="shared" si="225"/>
        <v>0</v>
      </c>
      <c r="AW202" s="4">
        <f t="shared" si="225"/>
        <v>0</v>
      </c>
      <c r="AX202" s="837"/>
      <c r="AY202" s="837"/>
    </row>
    <row r="203" spans="2:51">
      <c r="B203" s="13" t="s">
        <v>160</v>
      </c>
      <c r="C203" s="13"/>
      <c r="D203" s="8"/>
      <c r="E203" s="8"/>
      <c r="F203" s="8"/>
      <c r="G203" s="8"/>
      <c r="H203" s="8"/>
      <c r="I203" s="8"/>
      <c r="J203" s="8"/>
      <c r="K203" s="8"/>
      <c r="L203" s="216"/>
      <c r="M203" s="8">
        <f>-M131</f>
        <v>0</v>
      </c>
      <c r="N203" s="8">
        <f>-N131</f>
        <v>0</v>
      </c>
      <c r="O203" s="8">
        <f t="shared" ref="O203:AK203" si="226">-O131</f>
        <v>0</v>
      </c>
      <c r="P203" s="8">
        <f t="shared" si="226"/>
        <v>0</v>
      </c>
      <c r="Q203" s="8">
        <f t="shared" si="226"/>
        <v>0</v>
      </c>
      <c r="R203" s="8">
        <f t="shared" si="226"/>
        <v>0</v>
      </c>
      <c r="S203" s="8">
        <f t="shared" si="226"/>
        <v>0</v>
      </c>
      <c r="T203" s="8">
        <f t="shared" si="226"/>
        <v>0</v>
      </c>
      <c r="U203" s="8">
        <f t="shared" si="226"/>
        <v>0</v>
      </c>
      <c r="V203" s="8">
        <f t="shared" si="226"/>
        <v>0</v>
      </c>
      <c r="W203" s="8">
        <f t="shared" si="226"/>
        <v>0</v>
      </c>
      <c r="X203" s="8">
        <f t="shared" si="226"/>
        <v>0</v>
      </c>
      <c r="Y203" s="89"/>
      <c r="Z203" s="8">
        <f t="shared" si="226"/>
        <v>0</v>
      </c>
      <c r="AA203" s="8">
        <f t="shared" si="226"/>
        <v>0</v>
      </c>
      <c r="AB203" s="8">
        <f t="shared" si="226"/>
        <v>0</v>
      </c>
      <c r="AC203" s="8">
        <f t="shared" si="226"/>
        <v>0</v>
      </c>
      <c r="AD203" s="8">
        <f t="shared" si="226"/>
        <v>0</v>
      </c>
      <c r="AE203" s="8">
        <f t="shared" si="226"/>
        <v>0</v>
      </c>
      <c r="AF203" s="8">
        <f t="shared" si="226"/>
        <v>0</v>
      </c>
      <c r="AG203" s="8">
        <f t="shared" si="226"/>
        <v>0</v>
      </c>
      <c r="AH203" s="8">
        <f t="shared" si="226"/>
        <v>0</v>
      </c>
      <c r="AI203" s="8">
        <f t="shared" si="226"/>
        <v>0</v>
      </c>
      <c r="AJ203" s="8">
        <f t="shared" si="226"/>
        <v>0</v>
      </c>
      <c r="AK203" s="8">
        <f t="shared" si="226"/>
        <v>0</v>
      </c>
      <c r="AL203" s="89"/>
      <c r="AM203" s="8">
        <f>-AM131</f>
        <v>0</v>
      </c>
      <c r="AN203" s="8">
        <f t="shared" ref="AN203:AW203" si="227">-AN131</f>
        <v>0</v>
      </c>
      <c r="AO203" s="8">
        <f t="shared" si="227"/>
        <v>0</v>
      </c>
      <c r="AP203" s="8">
        <f t="shared" si="227"/>
        <v>0</v>
      </c>
      <c r="AQ203" s="8">
        <f t="shared" si="227"/>
        <v>-0.25885337728800034</v>
      </c>
      <c r="AR203" s="8">
        <f t="shared" si="227"/>
        <v>-7.0507847055182165</v>
      </c>
      <c r="AS203" s="8">
        <f t="shared" si="227"/>
        <v>-10.166070586976545</v>
      </c>
      <c r="AT203" s="8">
        <f t="shared" si="227"/>
        <v>-10.567420015003524</v>
      </c>
      <c r="AU203" s="8">
        <f t="shared" si="227"/>
        <v>-8.0763350198889423</v>
      </c>
      <c r="AV203" s="8">
        <f t="shared" si="227"/>
        <v>-5.8881613543974503</v>
      </c>
      <c r="AW203" s="8">
        <f t="shared" si="227"/>
        <v>-4.2947986022387754</v>
      </c>
      <c r="AX203" s="837"/>
      <c r="AY203" s="837"/>
    </row>
    <row r="204" spans="2:51" ht="13.5" thickBot="1">
      <c r="B204" t="s">
        <v>161</v>
      </c>
      <c r="D204" s="52"/>
      <c r="E204" s="52"/>
      <c r="F204" s="52"/>
      <c r="G204" s="52"/>
      <c r="H204" s="52"/>
      <c r="I204" s="52"/>
      <c r="J204" s="52"/>
      <c r="K204" s="52"/>
      <c r="L204" s="176"/>
      <c r="M204" s="52">
        <f t="shared" ref="M204:X204" si="228">+M192+M194+M196+M201+M202+M203</f>
        <v>37.561854590103671</v>
      </c>
      <c r="N204" s="52">
        <f t="shared" si="228"/>
        <v>38.705221411328438</v>
      </c>
      <c r="O204" s="52">
        <f t="shared" si="228"/>
        <v>37.104496592418656</v>
      </c>
      <c r="P204" s="52">
        <f t="shared" si="228"/>
        <v>37.8904543153144</v>
      </c>
      <c r="Q204" s="52">
        <f t="shared" si="228"/>
        <v>37.330997209425995</v>
      </c>
      <c r="R204" s="52">
        <f t="shared" si="228"/>
        <v>37.859708450973805</v>
      </c>
      <c r="S204" s="52">
        <f t="shared" si="228"/>
        <v>38.05810013660551</v>
      </c>
      <c r="T204" s="52">
        <f t="shared" si="228"/>
        <v>41.413544772901496</v>
      </c>
      <c r="U204" s="52">
        <f t="shared" si="228"/>
        <v>48.14437878294634</v>
      </c>
      <c r="V204" s="52">
        <f t="shared" si="228"/>
        <v>47.891425759305953</v>
      </c>
      <c r="W204" s="52">
        <f t="shared" si="228"/>
        <v>48.43517456750957</v>
      </c>
      <c r="X204" s="52">
        <f t="shared" si="228"/>
        <v>47.880526794307286</v>
      </c>
      <c r="Y204" s="176"/>
      <c r="Z204" s="52">
        <f t="shared" ref="Z204:AK204" si="229">+Z192+Z194+Z196+Z201+Z202+Z203</f>
        <v>48.134032741486109</v>
      </c>
      <c r="AA204" s="52">
        <f t="shared" si="229"/>
        <v>49.46825379209492</v>
      </c>
      <c r="AB204" s="52">
        <f t="shared" si="229"/>
        <v>47.57634950612632</v>
      </c>
      <c r="AC204" s="52">
        <f t="shared" si="229"/>
        <v>48.505276681472623</v>
      </c>
      <c r="AD204" s="52">
        <f t="shared" si="229"/>
        <v>47.84405166394167</v>
      </c>
      <c r="AE204" s="52">
        <f t="shared" si="229"/>
        <v>48.468937997999596</v>
      </c>
      <c r="AF204" s="52">
        <f t="shared" si="229"/>
        <v>49.52151331406526</v>
      </c>
      <c r="AG204" s="52">
        <f t="shared" si="229"/>
        <v>49.783398814265567</v>
      </c>
      <c r="AH204" s="52">
        <f t="shared" si="229"/>
        <v>50.509510019421754</v>
      </c>
      <c r="AI204" s="52">
        <f t="shared" si="229"/>
        <v>50.256556995781366</v>
      </c>
      <c r="AJ204" s="52">
        <f t="shared" si="229"/>
        <v>50.800305803984976</v>
      </c>
      <c r="AK204" s="52">
        <f t="shared" si="229"/>
        <v>50.245658030782707</v>
      </c>
      <c r="AL204" s="176"/>
      <c r="AM204" s="52">
        <f t="shared" ref="AM204:AW204" si="230">+AM192+AM194+AM196+AM201+AM202+AM203</f>
        <v>54.29691161510943</v>
      </c>
      <c r="AN204" s="52">
        <f t="shared" si="230"/>
        <v>62.665544535191032</v>
      </c>
      <c r="AO204" s="52">
        <f t="shared" si="230"/>
        <v>63.463975366098012</v>
      </c>
      <c r="AP204" s="52">
        <f t="shared" si="230"/>
        <v>64.315005761643192</v>
      </c>
      <c r="AQ204" s="52">
        <f t="shared" si="230"/>
        <v>64.795420162563204</v>
      </c>
      <c r="AR204" s="52">
        <f t="shared" si="230"/>
        <v>59.409853534498716</v>
      </c>
      <c r="AS204" s="52">
        <f t="shared" si="230"/>
        <v>57.616386539016545</v>
      </c>
      <c r="AT204" s="52">
        <f t="shared" si="230"/>
        <v>58.705755598369052</v>
      </c>
      <c r="AU204" s="52">
        <f t="shared" si="230"/>
        <v>62.984744886490574</v>
      </c>
      <c r="AV204" s="52">
        <f t="shared" si="230"/>
        <v>65.958319331159288</v>
      </c>
      <c r="AW204" s="52">
        <f t="shared" si="230"/>
        <v>70.869836561487901</v>
      </c>
      <c r="AX204" s="837"/>
      <c r="AY204" s="837"/>
    </row>
    <row r="205" spans="2:51" ht="13.5" thickTop="1"/>
    <row r="206" spans="2:51" ht="15.75">
      <c r="B206" s="27" t="s">
        <v>164</v>
      </c>
    </row>
    <row r="207" spans="2:51">
      <c r="B207" s="66" t="s">
        <v>344</v>
      </c>
      <c r="D207" s="4"/>
      <c r="E207" s="4"/>
      <c r="F207" s="4"/>
      <c r="G207" s="4"/>
      <c r="H207" s="4"/>
      <c r="I207" s="4"/>
      <c r="J207" s="4"/>
      <c r="K207" s="4"/>
      <c r="L207" s="89"/>
      <c r="M207" s="4">
        <f>M71</f>
        <v>0.25</v>
      </c>
      <c r="N207" s="4">
        <f>N71</f>
        <v>0.25</v>
      </c>
      <c r="O207" s="4">
        <f t="shared" ref="O207:X207" si="231">O71</f>
        <v>0.25</v>
      </c>
      <c r="P207" s="4">
        <f t="shared" si="231"/>
        <v>0.25</v>
      </c>
      <c r="Q207" s="4">
        <f t="shared" si="231"/>
        <v>0.25</v>
      </c>
      <c r="R207" s="4">
        <f t="shared" si="231"/>
        <v>0.25</v>
      </c>
      <c r="S207" s="4">
        <f t="shared" si="231"/>
        <v>0.25</v>
      </c>
      <c r="T207" s="4">
        <f t="shared" si="231"/>
        <v>0.25</v>
      </c>
      <c r="U207" s="4">
        <f t="shared" si="231"/>
        <v>0.25</v>
      </c>
      <c r="V207" s="4">
        <f t="shared" si="231"/>
        <v>0.25</v>
      </c>
      <c r="W207" s="4">
        <f t="shared" si="231"/>
        <v>0.25</v>
      </c>
      <c r="X207" s="4">
        <f t="shared" si="231"/>
        <v>0.25</v>
      </c>
      <c r="Y207" s="89"/>
      <c r="Z207" s="4">
        <f t="shared" ref="Z207:AW207" si="232">Z71</f>
        <v>0.25</v>
      </c>
      <c r="AA207" s="4">
        <f t="shared" si="232"/>
        <v>0.25</v>
      </c>
      <c r="AB207" s="4">
        <f t="shared" si="232"/>
        <v>0.25</v>
      </c>
      <c r="AC207" s="4">
        <f t="shared" si="232"/>
        <v>0.25</v>
      </c>
      <c r="AD207" s="4">
        <f t="shared" si="232"/>
        <v>0.25</v>
      </c>
      <c r="AE207" s="4">
        <f t="shared" si="232"/>
        <v>0.25</v>
      </c>
      <c r="AF207" s="4">
        <f t="shared" si="232"/>
        <v>0.25</v>
      </c>
      <c r="AG207" s="4">
        <f t="shared" si="232"/>
        <v>0.25</v>
      </c>
      <c r="AH207" s="4">
        <f t="shared" si="232"/>
        <v>0.25</v>
      </c>
      <c r="AI207" s="4">
        <f t="shared" si="232"/>
        <v>0.25</v>
      </c>
      <c r="AJ207" s="4">
        <f t="shared" si="232"/>
        <v>0.25</v>
      </c>
      <c r="AK207" s="4">
        <f t="shared" si="232"/>
        <v>0.25</v>
      </c>
      <c r="AL207" s="89"/>
      <c r="AM207" s="4">
        <f t="shared" si="232"/>
        <v>0.25</v>
      </c>
      <c r="AN207" s="4">
        <f t="shared" si="232"/>
        <v>0.25</v>
      </c>
      <c r="AO207" s="4">
        <f t="shared" si="232"/>
        <v>0.25</v>
      </c>
      <c r="AP207" s="4">
        <f t="shared" si="232"/>
        <v>0.25</v>
      </c>
      <c r="AQ207" s="4">
        <f t="shared" si="232"/>
        <v>0.25</v>
      </c>
      <c r="AR207" s="4">
        <f t="shared" si="232"/>
        <v>0.25</v>
      </c>
      <c r="AS207" s="4">
        <f t="shared" si="232"/>
        <v>0.25</v>
      </c>
      <c r="AT207" s="4">
        <f t="shared" si="232"/>
        <v>0.25</v>
      </c>
      <c r="AU207" s="4">
        <f t="shared" si="232"/>
        <v>0.25</v>
      </c>
      <c r="AV207" s="4">
        <f t="shared" si="232"/>
        <v>0.25</v>
      </c>
      <c r="AW207" s="4">
        <f t="shared" si="232"/>
        <v>0.25</v>
      </c>
      <c r="AX207" s="837"/>
      <c r="AY207" s="837"/>
    </row>
    <row r="208" spans="2:51">
      <c r="B208" s="28" t="s">
        <v>165</v>
      </c>
      <c r="D208" s="4"/>
      <c r="E208" s="4"/>
      <c r="F208" s="4"/>
      <c r="G208" s="4"/>
      <c r="H208" s="4"/>
      <c r="I208" s="4"/>
      <c r="J208" s="4"/>
      <c r="K208" s="4"/>
      <c r="L208" s="89"/>
      <c r="M208" s="4">
        <f>(M189/(M3*0.024*0.98/12)+M190)+M207</f>
        <v>39.432103718199613</v>
      </c>
      <c r="N208" s="4">
        <f t="shared" ref="N208:S208" si="233">(N189/(N3*0.024*0.98/12)+N190)+N207</f>
        <v>39.432103718199613</v>
      </c>
      <c r="O208" s="4">
        <f t="shared" si="233"/>
        <v>39.432103718199613</v>
      </c>
      <c r="P208" s="4">
        <f t="shared" si="233"/>
        <v>39.432103718199613</v>
      </c>
      <c r="Q208" s="4">
        <f t="shared" si="233"/>
        <v>39.432103718199613</v>
      </c>
      <c r="R208" s="4">
        <f t="shared" si="233"/>
        <v>39.432103718199613</v>
      </c>
      <c r="S208" s="4">
        <f t="shared" si="233"/>
        <v>39.432103718199613</v>
      </c>
      <c r="T208" s="571">
        <f>(T72*T9+S72*T10)/(T9+T10)</f>
        <v>40.722221065031604</v>
      </c>
      <c r="U208" s="4">
        <f>(U189/(U3*0.024*0.98/12)+U190)+U207</f>
        <v>47.59693877551021</v>
      </c>
      <c r="V208" s="4">
        <f t="shared" ref="V208:Z208" si="234">(V189/(V3*0.024*0.98/12)+V190)+V207</f>
        <v>47.59693877551021</v>
      </c>
      <c r="W208" s="4">
        <f t="shared" si="234"/>
        <v>47.59693877551021</v>
      </c>
      <c r="X208" s="4">
        <f t="shared" si="234"/>
        <v>47.59693877551021</v>
      </c>
      <c r="Y208" s="89"/>
      <c r="Z208" s="4">
        <f t="shared" si="234"/>
        <v>47.59693877551021</v>
      </c>
      <c r="AA208" s="4">
        <f t="shared" ref="AA208" si="235">(AA189/(AA3*0.024*0.98/12)+AA190)+AA207</f>
        <v>47.59693877551021</v>
      </c>
      <c r="AB208" s="4">
        <f t="shared" ref="AB208" si="236">(AB189/(AB3*0.024*0.98/12)+AB190)+AB207</f>
        <v>47.59693877551021</v>
      </c>
      <c r="AC208" s="4">
        <f t="shared" ref="AC208" si="237">(AC189/(AC3*0.024*0.98/12)+AC190)+AC207</f>
        <v>47.59693877551021</v>
      </c>
      <c r="AD208" s="4">
        <f t="shared" ref="AD208" si="238">(AD189/(AD3*0.024*0.98/12)+AD190)+AD207</f>
        <v>47.59693877551021</v>
      </c>
      <c r="AE208" s="4">
        <f t="shared" ref="AE208" si="239">(AE189/(AE3*0.024*0.98/12)+AE190)+AE207</f>
        <v>47.59693877551021</v>
      </c>
      <c r="AF208" s="4">
        <f t="shared" ref="AF208" si="240">(AF189/(AF3*0.024*0.98/12)+AF190)+AF207</f>
        <v>47.59693877551021</v>
      </c>
      <c r="AG208" s="4">
        <f t="shared" ref="AG208" si="241">(AG189/(AG3*0.024*0.98/12)+AG190)+AG207</f>
        <v>47.59693877551021</v>
      </c>
      <c r="AH208" s="4">
        <f t="shared" ref="AH208" si="242">(AH189/(AH3*0.024*0.98/12)+AH190)+AH207</f>
        <v>47.59693877551021</v>
      </c>
      <c r="AI208" s="4">
        <f t="shared" ref="AI208" si="243">(AI189/(AI3*0.024*0.98/12)+AI190)+AI207</f>
        <v>47.59693877551021</v>
      </c>
      <c r="AJ208" s="4">
        <f t="shared" ref="AJ208" si="244">(AJ189/(AJ3*0.024*0.98/12)+AJ190)+AJ207</f>
        <v>47.59693877551021</v>
      </c>
      <c r="AK208" s="4">
        <f t="shared" ref="AK208" si="245">(AK189/(AK3*0.024*0.98/12)+AK190)+AK207</f>
        <v>47.59693877551021</v>
      </c>
      <c r="AL208" s="89"/>
      <c r="AM208" s="4">
        <f>(AM189/(AM3*0.024*0.98/12)+AM190)+AM207</f>
        <v>47.59693877551021</v>
      </c>
      <c r="AN208" s="4">
        <f>(AN189/(AN3*0.024*0.98/12)+AN190)+AN207</f>
        <v>47.549542767926837</v>
      </c>
      <c r="AO208" s="4">
        <f>(AO189/(AO3*0.024*0.98/12)+AO190)+AO207</f>
        <v>47.59693877551021</v>
      </c>
      <c r="AP208" s="4">
        <f t="shared" ref="AP208:AW208" si="246">(AP189/(AP3*0.024*0.98/12)+AP190)+AP207</f>
        <v>47.59693877551021</v>
      </c>
      <c r="AQ208" s="4">
        <f t="shared" si="246"/>
        <v>47.59693877551021</v>
      </c>
      <c r="AR208" s="4">
        <f t="shared" si="246"/>
        <v>47.549542767926837</v>
      </c>
      <c r="AS208" s="4">
        <f t="shared" si="246"/>
        <v>47.59693877551021</v>
      </c>
      <c r="AT208" s="4">
        <f t="shared" si="246"/>
        <v>47.59693877551021</v>
      </c>
      <c r="AU208" s="4">
        <f t="shared" si="246"/>
        <v>47.59693877551021</v>
      </c>
      <c r="AV208" s="4">
        <f t="shared" si="246"/>
        <v>47.549542767926837</v>
      </c>
      <c r="AW208" s="4">
        <f t="shared" si="246"/>
        <v>47.59693877551021</v>
      </c>
      <c r="AX208" s="837"/>
      <c r="AY208" s="837"/>
    </row>
    <row r="209" spans="1:51">
      <c r="B209" s="28" t="s">
        <v>166</v>
      </c>
      <c r="D209" s="4"/>
      <c r="E209" s="4"/>
      <c r="F209" s="4"/>
      <c r="G209" s="4"/>
      <c r="H209" s="4"/>
      <c r="I209" s="4"/>
      <c r="J209" s="4"/>
      <c r="K209" s="4"/>
      <c r="L209" s="89"/>
      <c r="M209" s="4">
        <f>M138</f>
        <v>2.95</v>
      </c>
      <c r="N209" s="4">
        <f>N138</f>
        <v>2.95</v>
      </c>
      <c r="O209" s="4">
        <f t="shared" ref="O209:AW209" si="247">O138</f>
        <v>2.95</v>
      </c>
      <c r="P209" s="4">
        <f t="shared" si="247"/>
        <v>2.95</v>
      </c>
      <c r="Q209" s="4">
        <f t="shared" si="247"/>
        <v>2.95</v>
      </c>
      <c r="R209" s="4">
        <f t="shared" si="247"/>
        <v>2.95</v>
      </c>
      <c r="S209" s="4">
        <f t="shared" si="247"/>
        <v>2.95</v>
      </c>
      <c r="T209" s="4">
        <f t="shared" si="247"/>
        <v>2.95</v>
      </c>
      <c r="U209" s="4">
        <f t="shared" si="247"/>
        <v>2.95</v>
      </c>
      <c r="V209" s="4">
        <f t="shared" si="247"/>
        <v>2.95</v>
      </c>
      <c r="W209" s="4">
        <f t="shared" si="247"/>
        <v>2.95</v>
      </c>
      <c r="X209" s="4">
        <f t="shared" si="247"/>
        <v>2.95</v>
      </c>
      <c r="Y209" s="89"/>
      <c r="Z209" s="4">
        <f t="shared" si="247"/>
        <v>2.9370446903542855</v>
      </c>
      <c r="AA209" s="4">
        <f t="shared" si="247"/>
        <v>2.9370446903542855</v>
      </c>
      <c r="AB209" s="4">
        <f t="shared" si="247"/>
        <v>2.9370446903542855</v>
      </c>
      <c r="AC209" s="4">
        <f t="shared" si="247"/>
        <v>2.9370446903542855</v>
      </c>
      <c r="AD209" s="4">
        <f t="shared" si="247"/>
        <v>2.9370446903542855</v>
      </c>
      <c r="AE209" s="4">
        <f t="shared" si="247"/>
        <v>2.9370446903542855</v>
      </c>
      <c r="AF209" s="4">
        <f t="shared" si="247"/>
        <v>2.9370446903542855</v>
      </c>
      <c r="AG209" s="4">
        <f t="shared" si="247"/>
        <v>2.9370446903542855</v>
      </c>
      <c r="AH209" s="4">
        <f t="shared" si="247"/>
        <v>2.9370446903542855</v>
      </c>
      <c r="AI209" s="4">
        <f t="shared" si="247"/>
        <v>2.9370446903542855</v>
      </c>
      <c r="AJ209" s="4">
        <f t="shared" si="247"/>
        <v>2.9370446903542855</v>
      </c>
      <c r="AK209" s="4">
        <f t="shared" si="247"/>
        <v>2.9370446903542855</v>
      </c>
      <c r="AL209" s="89"/>
      <c r="AM209" s="4">
        <f t="shared" si="247"/>
        <v>2.3643831002009095</v>
      </c>
      <c r="AN209" s="4">
        <f t="shared" si="247"/>
        <v>3.55</v>
      </c>
      <c r="AO209" s="4">
        <f t="shared" si="247"/>
        <v>3.55</v>
      </c>
      <c r="AP209" s="4">
        <f t="shared" si="247"/>
        <v>4.1500000000000004</v>
      </c>
      <c r="AQ209" s="4">
        <f t="shared" si="247"/>
        <v>0</v>
      </c>
      <c r="AR209" s="4">
        <f t="shared" si="247"/>
        <v>0</v>
      </c>
      <c r="AS209" s="4">
        <f t="shared" si="247"/>
        <v>0</v>
      </c>
      <c r="AT209" s="4">
        <f t="shared" si="247"/>
        <v>0</v>
      </c>
      <c r="AU209" s="4">
        <f t="shared" si="247"/>
        <v>0</v>
      </c>
      <c r="AV209" s="4">
        <f t="shared" si="247"/>
        <v>0</v>
      </c>
      <c r="AW209" s="4">
        <f t="shared" si="247"/>
        <v>0</v>
      </c>
      <c r="AX209" s="837"/>
      <c r="AY209" s="837"/>
    </row>
    <row r="210" spans="1:51">
      <c r="B210" s="28" t="s">
        <v>167</v>
      </c>
      <c r="D210" s="4"/>
      <c r="E210" s="4"/>
      <c r="F210" s="4"/>
      <c r="G210" s="4"/>
      <c r="H210" s="4"/>
      <c r="I210" s="4"/>
      <c r="J210" s="4"/>
      <c r="K210" s="4"/>
      <c r="L210" s="89"/>
      <c r="M210" s="4">
        <f t="shared" ref="M210:X210" si="248">+M208+M209</f>
        <v>42.382103718199616</v>
      </c>
      <c r="N210" s="4">
        <f t="shared" si="248"/>
        <v>42.382103718199616</v>
      </c>
      <c r="O210" s="4">
        <f t="shared" si="248"/>
        <v>42.382103718199616</v>
      </c>
      <c r="P210" s="4">
        <f t="shared" si="248"/>
        <v>42.382103718199616</v>
      </c>
      <c r="Q210" s="4">
        <f t="shared" si="248"/>
        <v>42.382103718199616</v>
      </c>
      <c r="R210" s="4">
        <f t="shared" si="248"/>
        <v>42.382103718199616</v>
      </c>
      <c r="S210" s="4">
        <f t="shared" si="248"/>
        <v>42.382103718199616</v>
      </c>
      <c r="T210" s="4">
        <f t="shared" si="248"/>
        <v>43.672221065031607</v>
      </c>
      <c r="U210" s="4">
        <f t="shared" si="248"/>
        <v>50.546938775510213</v>
      </c>
      <c r="V210" s="4">
        <f t="shared" si="248"/>
        <v>50.546938775510213</v>
      </c>
      <c r="W210" s="4">
        <f t="shared" si="248"/>
        <v>50.546938775510213</v>
      </c>
      <c r="X210" s="4">
        <f t="shared" si="248"/>
        <v>50.546938775510213</v>
      </c>
      <c r="Y210" s="89"/>
      <c r="Z210" s="4">
        <f t="shared" ref="Z210:AK210" si="249">+Z208+Z209</f>
        <v>50.533983465864495</v>
      </c>
      <c r="AA210" s="4">
        <f t="shared" si="249"/>
        <v>50.533983465864495</v>
      </c>
      <c r="AB210" s="4">
        <f t="shared" si="249"/>
        <v>50.533983465864495</v>
      </c>
      <c r="AC210" s="4">
        <f t="shared" si="249"/>
        <v>50.533983465864495</v>
      </c>
      <c r="AD210" s="4">
        <f t="shared" si="249"/>
        <v>50.533983465864495</v>
      </c>
      <c r="AE210" s="4">
        <f t="shared" si="249"/>
        <v>50.533983465864495</v>
      </c>
      <c r="AF210" s="4">
        <f t="shared" si="249"/>
        <v>50.533983465864495</v>
      </c>
      <c r="AG210" s="4">
        <f t="shared" si="249"/>
        <v>50.533983465864495</v>
      </c>
      <c r="AH210" s="4">
        <f t="shared" si="249"/>
        <v>50.533983465864495</v>
      </c>
      <c r="AI210" s="4">
        <f t="shared" si="249"/>
        <v>50.533983465864495</v>
      </c>
      <c r="AJ210" s="4">
        <f t="shared" si="249"/>
        <v>50.533983465864495</v>
      </c>
      <c r="AK210" s="4">
        <f t="shared" si="249"/>
        <v>50.533983465864495</v>
      </c>
      <c r="AL210" s="89"/>
      <c r="AM210" s="4">
        <f t="shared" ref="AM210:AW210" si="250">+AM208+AM209</f>
        <v>49.961321875711121</v>
      </c>
      <c r="AN210" s="4">
        <f t="shared" si="250"/>
        <v>51.099542767926835</v>
      </c>
      <c r="AO210" s="4">
        <f t="shared" si="250"/>
        <v>51.146938775510208</v>
      </c>
      <c r="AP210" s="4">
        <f t="shared" si="250"/>
        <v>51.746938775510209</v>
      </c>
      <c r="AQ210" s="4">
        <f t="shared" si="250"/>
        <v>47.59693877551021</v>
      </c>
      <c r="AR210" s="4">
        <f t="shared" si="250"/>
        <v>47.549542767926837</v>
      </c>
      <c r="AS210" s="4">
        <f t="shared" si="250"/>
        <v>47.59693877551021</v>
      </c>
      <c r="AT210" s="4">
        <f t="shared" si="250"/>
        <v>47.59693877551021</v>
      </c>
      <c r="AU210" s="4">
        <f t="shared" si="250"/>
        <v>47.59693877551021</v>
      </c>
      <c r="AV210" s="4">
        <f t="shared" si="250"/>
        <v>47.549542767926837</v>
      </c>
      <c r="AW210" s="4">
        <f t="shared" si="250"/>
        <v>47.59693877551021</v>
      </c>
      <c r="AX210" s="837"/>
      <c r="AY210" s="837"/>
    </row>
    <row r="211" spans="1:51">
      <c r="B211" s="28" t="s">
        <v>168</v>
      </c>
      <c r="D211" s="4"/>
      <c r="E211" s="4"/>
      <c r="F211" s="4"/>
      <c r="G211" s="4"/>
      <c r="H211" s="4"/>
      <c r="I211" s="4"/>
      <c r="J211" s="4"/>
      <c r="K211" s="4"/>
      <c r="L211" s="89"/>
      <c r="M211" s="4">
        <f>M75</f>
        <v>5.6875728134228147</v>
      </c>
      <c r="N211" s="4">
        <f t="shared" ref="M211:N213" si="251">N75</f>
        <v>5.8527608239912734</v>
      </c>
      <c r="O211" s="4">
        <f t="shared" ref="O211:X211" si="252">O75</f>
        <v>5.8920595310735795</v>
      </c>
      <c r="P211" s="4">
        <f t="shared" si="252"/>
        <v>5.7916840080923571</v>
      </c>
      <c r="Q211" s="4">
        <f t="shared" si="252"/>
        <v>5.8749807694614891</v>
      </c>
      <c r="R211" s="4">
        <f t="shared" si="252"/>
        <v>6.0288999818017501</v>
      </c>
      <c r="S211" s="4">
        <f t="shared" si="252"/>
        <v>6.4816833631532091</v>
      </c>
      <c r="T211" s="4">
        <f t="shared" si="252"/>
        <v>6.3942829207968508</v>
      </c>
      <c r="U211" s="4">
        <f t="shared" si="252"/>
        <v>7.3694648226256358</v>
      </c>
      <c r="V211" s="4">
        <f t="shared" si="252"/>
        <v>7.1051265647701118</v>
      </c>
      <c r="W211" s="4">
        <f t="shared" si="252"/>
        <v>6.9693789533526447</v>
      </c>
      <c r="X211" s="4">
        <f t="shared" si="252"/>
        <v>6.8007480734276804</v>
      </c>
      <c r="Y211" s="89"/>
      <c r="Z211" s="4">
        <f t="shared" ref="Z211:AW211" si="253">Z75</f>
        <v>7.1703507850184449</v>
      </c>
      <c r="AA211" s="4">
        <f t="shared" si="253"/>
        <v>7.4221794234593776</v>
      </c>
      <c r="AB211" s="4">
        <f t="shared" si="253"/>
        <v>7.4643986743996784</v>
      </c>
      <c r="AC211" s="4">
        <f t="shared" si="253"/>
        <v>7.8804871195010868</v>
      </c>
      <c r="AD211" s="4">
        <f t="shared" si="253"/>
        <v>7.8972694922437565</v>
      </c>
      <c r="AE211" s="4">
        <f t="shared" si="253"/>
        <v>8.0636023609003864</v>
      </c>
      <c r="AF211" s="4">
        <f t="shared" si="253"/>
        <v>8.0207395557738366</v>
      </c>
      <c r="AG211" s="4">
        <f t="shared" si="253"/>
        <v>8.5147680733437863</v>
      </c>
      <c r="AH211" s="4">
        <f t="shared" si="253"/>
        <v>9.1979683911780441</v>
      </c>
      <c r="AI211" s="4">
        <f t="shared" si="253"/>
        <v>8.7667852814260616</v>
      </c>
      <c r="AJ211" s="4">
        <f t="shared" si="253"/>
        <v>8.528896501411408</v>
      </c>
      <c r="AK211" s="4">
        <f t="shared" si="253"/>
        <v>8.222033072115817</v>
      </c>
      <c r="AL211" s="89"/>
      <c r="AM211" s="4">
        <f t="shared" si="253"/>
        <v>11.354921888633868</v>
      </c>
      <c r="AN211" s="4">
        <f t="shared" si="253"/>
        <v>11.980893913320688</v>
      </c>
      <c r="AO211" s="4">
        <f t="shared" si="253"/>
        <v>13.298827703005752</v>
      </c>
      <c r="AP211" s="4">
        <f t="shared" si="253"/>
        <v>14.378041047994868</v>
      </c>
      <c r="AQ211" s="4">
        <f t="shared" si="253"/>
        <v>14.995377589503606</v>
      </c>
      <c r="AR211" s="4">
        <f t="shared" si="253"/>
        <v>16.407923664945095</v>
      </c>
      <c r="AS211" s="4">
        <f t="shared" si="253"/>
        <v>17.825958566557389</v>
      </c>
      <c r="AT211" s="4">
        <f t="shared" si="253"/>
        <v>19.185477065853256</v>
      </c>
      <c r="AU211" s="4">
        <f t="shared" si="253"/>
        <v>20.948612725729241</v>
      </c>
      <c r="AV211" s="4">
        <f t="shared" si="253"/>
        <v>21.822393672000398</v>
      </c>
      <c r="AW211" s="4">
        <f t="shared" si="253"/>
        <v>25.011752440429323</v>
      </c>
      <c r="AX211" s="837"/>
      <c r="AY211" s="837"/>
    </row>
    <row r="212" spans="1:51">
      <c r="B212" s="28" t="s">
        <v>1018</v>
      </c>
      <c r="D212" s="4"/>
      <c r="E212" s="4"/>
      <c r="F212" s="4"/>
      <c r="G212" s="4"/>
      <c r="H212" s="4"/>
      <c r="I212" s="4"/>
      <c r="J212" s="4"/>
      <c r="K212" s="4"/>
      <c r="L212" s="89"/>
      <c r="M212" s="4">
        <f t="shared" si="251"/>
        <v>0.65120393618812877</v>
      </c>
      <c r="N212" s="4">
        <f t="shared" si="251"/>
        <v>0.72097578649399952</v>
      </c>
      <c r="O212" s="4">
        <f t="shared" ref="O212:X212" si="254">O76</f>
        <v>0.65120393618812877</v>
      </c>
      <c r="P212" s="4">
        <f t="shared" si="254"/>
        <v>0.67291073406106627</v>
      </c>
      <c r="Q212" s="4">
        <f t="shared" si="254"/>
        <v>0.65120393618812877</v>
      </c>
      <c r="R212" s="4">
        <f t="shared" si="254"/>
        <v>0.67291073406106627</v>
      </c>
      <c r="S212" s="4">
        <f t="shared" si="254"/>
        <v>0.65886515896681264</v>
      </c>
      <c r="T212" s="4">
        <f t="shared" si="254"/>
        <v>0.67430741985569631</v>
      </c>
      <c r="U212" s="4">
        <f t="shared" si="254"/>
        <v>0.68083052967563851</v>
      </c>
      <c r="V212" s="4">
        <f t="shared" si="254"/>
        <v>0.65886825452481146</v>
      </c>
      <c r="W212" s="4">
        <f t="shared" si="254"/>
        <v>0.68083052967563851</v>
      </c>
      <c r="X212" s="4">
        <f t="shared" si="254"/>
        <v>0.65886825452481146</v>
      </c>
      <c r="Y212" s="89"/>
      <c r="Z212" s="4">
        <f t="shared" ref="Z212:AW212" si="255">Z76</f>
        <v>0.65886825452481146</v>
      </c>
      <c r="AA212" s="4">
        <f t="shared" si="255"/>
        <v>0.72946128179532699</v>
      </c>
      <c r="AB212" s="4">
        <f t="shared" si="255"/>
        <v>0.65886825452481146</v>
      </c>
      <c r="AC212" s="4">
        <f t="shared" si="255"/>
        <v>0.68083052967563851</v>
      </c>
      <c r="AD212" s="4">
        <f t="shared" si="255"/>
        <v>0.65886825452481146</v>
      </c>
      <c r="AE212" s="4">
        <f t="shared" si="255"/>
        <v>0.68083052967563851</v>
      </c>
      <c r="AF212" s="4">
        <f t="shared" si="255"/>
        <v>0.65886825452481146</v>
      </c>
      <c r="AG212" s="4">
        <f t="shared" si="255"/>
        <v>0.65886825452481146</v>
      </c>
      <c r="AH212" s="4">
        <f t="shared" si="255"/>
        <v>0.68083052967563851</v>
      </c>
      <c r="AI212" s="4">
        <f t="shared" si="255"/>
        <v>0.65886825452481146</v>
      </c>
      <c r="AJ212" s="4">
        <f t="shared" si="255"/>
        <v>0.68083052967563851</v>
      </c>
      <c r="AK212" s="4">
        <f t="shared" si="255"/>
        <v>0.65886825452481146</v>
      </c>
      <c r="AL212" s="89"/>
      <c r="AM212" s="4">
        <f t="shared" si="255"/>
        <v>0.67150408406364348</v>
      </c>
      <c r="AN212" s="4">
        <f t="shared" si="255"/>
        <v>0.66966937345144784</v>
      </c>
      <c r="AO212" s="4">
        <f t="shared" si="255"/>
        <v>1.2310154854079807</v>
      </c>
      <c r="AP212" s="4">
        <f t="shared" si="255"/>
        <v>1.3954643799151583</v>
      </c>
      <c r="AQ212" s="4">
        <f t="shared" si="255"/>
        <v>1.3954643799151583</v>
      </c>
      <c r="AR212" s="4">
        <f t="shared" si="255"/>
        <v>1.39165163570774</v>
      </c>
      <c r="AS212" s="4">
        <f t="shared" si="255"/>
        <v>1.3954643799151583</v>
      </c>
      <c r="AT212" s="4">
        <f t="shared" si="255"/>
        <v>1.3954643799151583</v>
      </c>
      <c r="AU212" s="4">
        <f t="shared" si="255"/>
        <v>1.3954643799151583</v>
      </c>
      <c r="AV212" s="4">
        <f t="shared" si="255"/>
        <v>1.39165163570774</v>
      </c>
      <c r="AW212" s="4">
        <f t="shared" si="255"/>
        <v>1.3954643799151583</v>
      </c>
      <c r="AX212" s="837"/>
      <c r="AY212" s="837"/>
    </row>
    <row r="213" spans="1:51">
      <c r="B213" s="28" t="s">
        <v>1019</v>
      </c>
      <c r="D213" s="4"/>
      <c r="E213" s="4"/>
      <c r="F213" s="4"/>
      <c r="G213" s="4"/>
      <c r="H213" s="4"/>
      <c r="I213" s="4"/>
      <c r="J213" s="4"/>
      <c r="K213" s="4"/>
      <c r="L213" s="89"/>
      <c r="M213" s="4">
        <f t="shared" si="251"/>
        <v>1.2</v>
      </c>
      <c r="N213" s="4">
        <f t="shared" si="251"/>
        <v>1.2</v>
      </c>
      <c r="O213" s="4">
        <f t="shared" ref="O213:X213" si="256">O77</f>
        <v>1.2</v>
      </c>
      <c r="P213" s="4">
        <f t="shared" si="256"/>
        <v>1.2</v>
      </c>
      <c r="Q213" s="4">
        <f t="shared" si="256"/>
        <v>1.2</v>
      </c>
      <c r="R213" s="4">
        <f t="shared" si="256"/>
        <v>1.2</v>
      </c>
      <c r="S213" s="4">
        <f t="shared" si="256"/>
        <v>1.2</v>
      </c>
      <c r="T213" s="4">
        <f t="shared" si="256"/>
        <v>1.2</v>
      </c>
      <c r="U213" s="4">
        <f t="shared" si="256"/>
        <v>1.2</v>
      </c>
      <c r="V213" s="4">
        <f t="shared" si="256"/>
        <v>1.2</v>
      </c>
      <c r="W213" s="4">
        <f t="shared" si="256"/>
        <v>1.2</v>
      </c>
      <c r="X213" s="4">
        <f t="shared" si="256"/>
        <v>1.2</v>
      </c>
      <c r="Y213" s="89"/>
      <c r="Z213" s="4">
        <f t="shared" ref="Z213:AW213" si="257">Z77</f>
        <v>1.2</v>
      </c>
      <c r="AA213" s="4">
        <f t="shared" si="257"/>
        <v>1.2</v>
      </c>
      <c r="AB213" s="4">
        <f t="shared" si="257"/>
        <v>1.2</v>
      </c>
      <c r="AC213" s="4">
        <f t="shared" si="257"/>
        <v>1.2</v>
      </c>
      <c r="AD213" s="4">
        <f t="shared" si="257"/>
        <v>1.2</v>
      </c>
      <c r="AE213" s="4">
        <f t="shared" si="257"/>
        <v>1.2</v>
      </c>
      <c r="AF213" s="4">
        <f t="shared" si="257"/>
        <v>1.2</v>
      </c>
      <c r="AG213" s="4">
        <f t="shared" si="257"/>
        <v>1.2</v>
      </c>
      <c r="AH213" s="4">
        <f t="shared" si="257"/>
        <v>1.2</v>
      </c>
      <c r="AI213" s="4">
        <f t="shared" si="257"/>
        <v>1.2</v>
      </c>
      <c r="AJ213" s="4">
        <f t="shared" si="257"/>
        <v>1.2</v>
      </c>
      <c r="AK213" s="4">
        <f t="shared" si="257"/>
        <v>1.2</v>
      </c>
      <c r="AL213" s="89"/>
      <c r="AM213" s="4">
        <f t="shared" si="257"/>
        <v>1.2</v>
      </c>
      <c r="AN213" s="4">
        <f t="shared" si="257"/>
        <v>1.2</v>
      </c>
      <c r="AO213" s="4">
        <f t="shared" si="257"/>
        <v>1.2</v>
      </c>
      <c r="AP213" s="4">
        <f t="shared" si="257"/>
        <v>1.2</v>
      </c>
      <c r="AQ213" s="4">
        <f t="shared" si="257"/>
        <v>1.2</v>
      </c>
      <c r="AR213" s="4">
        <f t="shared" si="257"/>
        <v>1.2</v>
      </c>
      <c r="AS213" s="4">
        <f t="shared" si="257"/>
        <v>1.2</v>
      </c>
      <c r="AT213" s="4">
        <f t="shared" si="257"/>
        <v>1.2</v>
      </c>
      <c r="AU213" s="4">
        <f t="shared" si="257"/>
        <v>1.2</v>
      </c>
      <c r="AV213" s="4">
        <f t="shared" si="257"/>
        <v>1.2</v>
      </c>
      <c r="AW213" s="4">
        <f t="shared" si="257"/>
        <v>1.2</v>
      </c>
      <c r="AX213" s="837"/>
      <c r="AY213" s="837"/>
    </row>
    <row r="214" spans="1:51">
      <c r="B214" s="28" t="s">
        <v>160</v>
      </c>
      <c r="D214" s="8"/>
      <c r="E214" s="8"/>
      <c r="F214" s="8"/>
      <c r="G214" s="8"/>
      <c r="H214" s="8"/>
      <c r="I214" s="8"/>
      <c r="J214" s="8"/>
      <c r="K214" s="8"/>
      <c r="L214" s="216"/>
      <c r="M214" s="8">
        <f>-M127</f>
        <v>0</v>
      </c>
      <c r="N214" s="8">
        <f>-N127</f>
        <v>0</v>
      </c>
      <c r="O214" s="8">
        <f t="shared" ref="O214:X214" si="258">-O127</f>
        <v>0</v>
      </c>
      <c r="P214" s="8">
        <f t="shared" si="258"/>
        <v>0</v>
      </c>
      <c r="Q214" s="8">
        <f t="shared" si="258"/>
        <v>0</v>
      </c>
      <c r="R214" s="8">
        <f t="shared" si="258"/>
        <v>0</v>
      </c>
      <c r="S214" s="8">
        <f t="shared" si="258"/>
        <v>0</v>
      </c>
      <c r="T214" s="8">
        <f t="shared" si="258"/>
        <v>0</v>
      </c>
      <c r="U214" s="8">
        <f t="shared" si="258"/>
        <v>0</v>
      </c>
      <c r="V214" s="8">
        <f t="shared" si="258"/>
        <v>0</v>
      </c>
      <c r="W214" s="8">
        <f t="shared" si="258"/>
        <v>0</v>
      </c>
      <c r="X214" s="8">
        <f t="shared" si="258"/>
        <v>0</v>
      </c>
      <c r="Y214" s="89"/>
      <c r="Z214" s="8">
        <f>-Z127</f>
        <v>0</v>
      </c>
      <c r="AA214" s="8">
        <f t="shared" ref="AA214:AW214" si="259">-AA127</f>
        <v>0</v>
      </c>
      <c r="AB214" s="8">
        <f t="shared" si="259"/>
        <v>0</v>
      </c>
      <c r="AC214" s="8">
        <f t="shared" si="259"/>
        <v>0</v>
      </c>
      <c r="AD214" s="8">
        <f t="shared" si="259"/>
        <v>0</v>
      </c>
      <c r="AE214" s="8">
        <f t="shared" si="259"/>
        <v>0</v>
      </c>
      <c r="AF214" s="8">
        <f t="shared" si="259"/>
        <v>0</v>
      </c>
      <c r="AG214" s="8">
        <f t="shared" si="259"/>
        <v>0</v>
      </c>
      <c r="AH214" s="8">
        <f t="shared" si="259"/>
        <v>0</v>
      </c>
      <c r="AI214" s="8">
        <f t="shared" si="259"/>
        <v>0</v>
      </c>
      <c r="AJ214" s="8">
        <f t="shared" si="259"/>
        <v>0</v>
      </c>
      <c r="AK214" s="8">
        <f t="shared" si="259"/>
        <v>0</v>
      </c>
      <c r="AL214" s="89"/>
      <c r="AM214" s="8">
        <f t="shared" si="259"/>
        <v>0</v>
      </c>
      <c r="AN214" s="8">
        <f t="shared" si="259"/>
        <v>0</v>
      </c>
      <c r="AO214" s="8">
        <f t="shared" si="259"/>
        <v>0</v>
      </c>
      <c r="AP214" s="8">
        <f t="shared" si="259"/>
        <v>0</v>
      </c>
      <c r="AQ214" s="8">
        <f t="shared" si="259"/>
        <v>-0.31314340031580845</v>
      </c>
      <c r="AR214" s="8">
        <f t="shared" si="259"/>
        <v>-8.5329819294059579</v>
      </c>
      <c r="AS214" s="8">
        <f t="shared" si="259"/>
        <v>-12.305029607254372</v>
      </c>
      <c r="AT214" s="8">
        <f t="shared" si="259"/>
        <v>-12.794396322787293</v>
      </c>
      <c r="AU214" s="8">
        <f t="shared" si="259"/>
        <v>-9.7810665187727928</v>
      </c>
      <c r="AV214" s="8">
        <f t="shared" si="259"/>
        <v>-7.1339082448434095</v>
      </c>
      <c r="AW214" s="8">
        <f t="shared" si="259"/>
        <v>-5.204190027287015</v>
      </c>
      <c r="AX214" s="837"/>
      <c r="AY214" s="837"/>
    </row>
    <row r="215" spans="1:51" ht="13.5" thickBot="1">
      <c r="B215" s="28" t="s">
        <v>163</v>
      </c>
      <c r="D215" s="52"/>
      <c r="E215" s="52"/>
      <c r="F215" s="52"/>
      <c r="G215" s="52"/>
      <c r="H215" s="52"/>
      <c r="I215" s="52"/>
      <c r="J215" s="52"/>
      <c r="K215" s="52"/>
      <c r="L215" s="176"/>
      <c r="M215" s="52">
        <f t="shared" ref="M215:X215" si="260">SUM(M210:M214)</f>
        <v>49.920880467810569</v>
      </c>
      <c r="N215" s="52">
        <f t="shared" si="260"/>
        <v>50.155840328684896</v>
      </c>
      <c r="O215" s="52">
        <f t="shared" si="260"/>
        <v>50.125367185461329</v>
      </c>
      <c r="P215" s="52">
        <f t="shared" si="260"/>
        <v>50.046698460353049</v>
      </c>
      <c r="Q215" s="52">
        <f t="shared" si="260"/>
        <v>50.108288423849238</v>
      </c>
      <c r="R215" s="52">
        <f t="shared" si="260"/>
        <v>50.283914434062439</v>
      </c>
      <c r="S215" s="52">
        <f t="shared" si="260"/>
        <v>50.72265224031964</v>
      </c>
      <c r="T215" s="52">
        <f t="shared" si="260"/>
        <v>51.940811405684158</v>
      </c>
      <c r="U215" s="52">
        <f t="shared" si="260"/>
        <v>59.797234127811492</v>
      </c>
      <c r="V215" s="52">
        <f t="shared" si="260"/>
        <v>59.510933594805138</v>
      </c>
      <c r="W215" s="52">
        <f t="shared" si="260"/>
        <v>59.3971482585385</v>
      </c>
      <c r="X215" s="52">
        <f t="shared" si="260"/>
        <v>59.206555103462712</v>
      </c>
      <c r="Y215" s="176"/>
      <c r="Z215" s="52">
        <f t="shared" ref="Z215:AK215" si="261">SUM(Z210:Z214)</f>
        <v>59.563202505407752</v>
      </c>
      <c r="AA215" s="52">
        <f t="shared" si="261"/>
        <v>59.885624171119197</v>
      </c>
      <c r="AB215" s="52">
        <f t="shared" si="261"/>
        <v>59.857250394788984</v>
      </c>
      <c r="AC215" s="52">
        <f t="shared" si="261"/>
        <v>60.295301115041219</v>
      </c>
      <c r="AD215" s="52">
        <f t="shared" si="261"/>
        <v>60.290121212633068</v>
      </c>
      <c r="AE215" s="52">
        <f t="shared" si="261"/>
        <v>60.478416356440526</v>
      </c>
      <c r="AF215" s="52">
        <f t="shared" si="261"/>
        <v>60.413591276163146</v>
      </c>
      <c r="AG215" s="52">
        <f t="shared" si="261"/>
        <v>60.907619793733097</v>
      </c>
      <c r="AH215" s="52">
        <f t="shared" si="261"/>
        <v>61.61278238671818</v>
      </c>
      <c r="AI215" s="52">
        <f t="shared" si="261"/>
        <v>61.159637001815369</v>
      </c>
      <c r="AJ215" s="52">
        <f t="shared" si="261"/>
        <v>60.943710496951546</v>
      </c>
      <c r="AK215" s="52">
        <f t="shared" si="261"/>
        <v>60.61488479250513</v>
      </c>
      <c r="AL215" s="176"/>
      <c r="AM215" s="52">
        <f t="shared" ref="AM215:AW215" si="262">SUM(AM210:AM214)</f>
        <v>63.187747848408634</v>
      </c>
      <c r="AN215" s="52">
        <f t="shared" si="262"/>
        <v>64.950106054698963</v>
      </c>
      <c r="AO215" s="52">
        <f t="shared" si="262"/>
        <v>66.876781963923946</v>
      </c>
      <c r="AP215" s="52">
        <f t="shared" si="262"/>
        <v>68.720444203420229</v>
      </c>
      <c r="AQ215" s="52">
        <f t="shared" si="262"/>
        <v>64.874637344613163</v>
      </c>
      <c r="AR215" s="52">
        <f t="shared" si="262"/>
        <v>58.016136139173717</v>
      </c>
      <c r="AS215" s="52">
        <f t="shared" si="262"/>
        <v>55.713332114728388</v>
      </c>
      <c r="AT215" s="52">
        <f t="shared" si="262"/>
        <v>56.583483898491338</v>
      </c>
      <c r="AU215" s="52">
        <f t="shared" si="262"/>
        <v>61.359949362381826</v>
      </c>
      <c r="AV215" s="52">
        <f t="shared" si="262"/>
        <v>64.829679830791576</v>
      </c>
      <c r="AW215" s="52">
        <f t="shared" si="262"/>
        <v>69.999965568567674</v>
      </c>
      <c r="AX215" s="837"/>
      <c r="AY215" s="837"/>
    </row>
    <row r="216" spans="1:51" ht="13.5" thickTop="1"/>
    <row r="218" spans="1:51" ht="15.75">
      <c r="B218" s="15" t="s">
        <v>130</v>
      </c>
      <c r="C218" s="1"/>
    </row>
    <row r="219" spans="1:51">
      <c r="A219" s="29"/>
      <c r="B219" s="13" t="s">
        <v>238</v>
      </c>
      <c r="C219" s="5"/>
      <c r="D219" s="54"/>
      <c r="E219" s="54"/>
      <c r="F219" s="54"/>
      <c r="G219" s="54"/>
      <c r="H219" s="54"/>
      <c r="I219" s="54"/>
      <c r="J219" s="54"/>
      <c r="K219" s="54"/>
      <c r="L219" s="356"/>
      <c r="M219" s="30">
        <f>M185*M7</f>
        <v>11.154331646047396</v>
      </c>
      <c r="N219" s="30">
        <f t="shared" ref="N219:X219" si="263">N185*N7</f>
        <v>9.6074923230680298</v>
      </c>
      <c r="O219" s="30">
        <f t="shared" si="263"/>
        <v>8.513842373089247</v>
      </c>
      <c r="P219" s="30">
        <f t="shared" si="263"/>
        <v>6.6911955197159818</v>
      </c>
      <c r="Q219" s="30">
        <f t="shared" si="263"/>
        <v>7.5503180291506</v>
      </c>
      <c r="R219" s="30">
        <f t="shared" si="263"/>
        <v>9.7240907795253904</v>
      </c>
      <c r="S219" s="30">
        <f t="shared" si="263"/>
        <v>10.810145433034663</v>
      </c>
      <c r="T219" s="30">
        <f t="shared" si="263"/>
        <v>12.393679774499711</v>
      </c>
      <c r="U219" s="30">
        <f t="shared" si="263"/>
        <v>11.725251541346466</v>
      </c>
      <c r="V219" s="30">
        <f t="shared" si="263"/>
        <v>9.7213039769479792</v>
      </c>
      <c r="W219" s="30">
        <f t="shared" si="263"/>
        <v>11.072289147254624</v>
      </c>
      <c r="X219" s="30">
        <f t="shared" si="263"/>
        <v>14.789621367855782</v>
      </c>
      <c r="Y219" s="810">
        <f>SUM(M219:X219)</f>
        <v>123.75356191153588</v>
      </c>
      <c r="Z219" s="30">
        <f t="shared" ref="Z219:AK219" si="264">Z185*Z7</f>
        <v>15.907861303527651</v>
      </c>
      <c r="AA219" s="30">
        <f t="shared" si="264"/>
        <v>13.816199531639036</v>
      </c>
      <c r="AB219" s="30">
        <f t="shared" si="264"/>
        <v>12.186779597158731</v>
      </c>
      <c r="AC219" s="30">
        <f t="shared" si="264"/>
        <v>9.5713583418597654</v>
      </c>
      <c r="AD219" s="30">
        <f t="shared" si="264"/>
        <v>10.824042314521986</v>
      </c>
      <c r="AE219" s="30">
        <f t="shared" si="264"/>
        <v>13.871237658312323</v>
      </c>
      <c r="AF219" s="30">
        <f t="shared" si="264"/>
        <v>15.435154250406116</v>
      </c>
      <c r="AG219" s="30">
        <f t="shared" si="264"/>
        <v>15.863411402775041</v>
      </c>
      <c r="AH219" s="30">
        <f t="shared" si="264"/>
        <v>12.335247210587058</v>
      </c>
      <c r="AI219" s="30">
        <f t="shared" si="264"/>
        <v>10.240042170062855</v>
      </c>
      <c r="AJ219" s="30">
        <f t="shared" si="264"/>
        <v>11.678539281851593</v>
      </c>
      <c r="AK219" s="30">
        <f t="shared" si="264"/>
        <v>15.612893633044694</v>
      </c>
      <c r="AL219" s="810">
        <f t="shared" ref="AL219:AL227" si="265">SUM(Z219:AK219)</f>
        <v>157.34276669574686</v>
      </c>
      <c r="AM219" s="30">
        <f t="shared" ref="AM219:AW219" si="266">AM185*AM7</f>
        <v>162.29773730038406</v>
      </c>
      <c r="AN219" s="30">
        <f t="shared" si="266"/>
        <v>168.22179473192958</v>
      </c>
      <c r="AO219" s="30">
        <f t="shared" si="266"/>
        <v>176.10600330583659</v>
      </c>
      <c r="AP219" s="30">
        <f t="shared" si="266"/>
        <v>207.43817543667325</v>
      </c>
      <c r="AQ219" s="30">
        <f t="shared" si="266"/>
        <v>210.65208338810805</v>
      </c>
      <c r="AR219" s="30">
        <f t="shared" si="266"/>
        <v>193.79617455155244</v>
      </c>
      <c r="AS219" s="30">
        <f t="shared" si="266"/>
        <v>188.94261744053009</v>
      </c>
      <c r="AT219" s="30">
        <f t="shared" si="266"/>
        <v>194.10868370843573</v>
      </c>
      <c r="AU219" s="30">
        <f t="shared" si="266"/>
        <v>210.45088404306804</v>
      </c>
      <c r="AV219" s="30">
        <f t="shared" si="266"/>
        <v>223.35483015620756</v>
      </c>
      <c r="AW219" s="30">
        <f t="shared" si="266"/>
        <v>241.4216848094035</v>
      </c>
      <c r="AX219" s="229"/>
      <c r="AY219" s="229"/>
    </row>
    <row r="220" spans="1:51">
      <c r="A220" s="29"/>
      <c r="B220" s="13" t="s">
        <v>239</v>
      </c>
      <c r="C220" s="5"/>
      <c r="D220" s="54"/>
      <c r="E220" s="54"/>
      <c r="F220" s="54"/>
      <c r="G220" s="54"/>
      <c r="H220" s="54"/>
      <c r="I220" s="54"/>
      <c r="J220" s="54"/>
      <c r="K220" s="54"/>
      <c r="L220" s="356"/>
      <c r="M220" s="30">
        <f t="shared" ref="M220:X220" si="267">M204*M8</f>
        <v>2.9491045344623998</v>
      </c>
      <c r="N220" s="30">
        <f t="shared" si="267"/>
        <v>2.8759258948416</v>
      </c>
      <c r="O220" s="30">
        <f t="shared" si="267"/>
        <v>2.9830562693472009</v>
      </c>
      <c r="P220" s="30">
        <f t="shared" si="267"/>
        <v>2.9259959114880001</v>
      </c>
      <c r="Q220" s="30">
        <f t="shared" si="267"/>
        <v>2.9497996529471999</v>
      </c>
      <c r="R220" s="30">
        <f t="shared" si="267"/>
        <v>2.9100537792959993</v>
      </c>
      <c r="S220" s="30">
        <f t="shared" si="267"/>
        <v>3.1574355959552007</v>
      </c>
      <c r="T220" s="30">
        <f t="shared" si="267"/>
        <v>3.4027283016417802</v>
      </c>
      <c r="U220" s="30">
        <f t="shared" si="267"/>
        <v>3.6979258747890369</v>
      </c>
      <c r="V220" s="30">
        <f t="shared" si="267"/>
        <v>3.7771480057433222</v>
      </c>
      <c r="W220" s="30">
        <f t="shared" si="267"/>
        <v>3.7259187171703405</v>
      </c>
      <c r="X220" s="30">
        <f t="shared" si="267"/>
        <v>3.781534349624009</v>
      </c>
      <c r="Y220" s="810">
        <f t="shared" ref="Y220:Y226" si="268">SUM(M220:X220)</f>
        <v>39.136626887306086</v>
      </c>
      <c r="Z220" s="30">
        <f t="shared" ref="Z220:AK220" si="269">Z204*Z8</f>
        <v>3.8114702879256681</v>
      </c>
      <c r="AA220" s="30">
        <f t="shared" si="269"/>
        <v>3.6756547790123872</v>
      </c>
      <c r="AB220" s="30">
        <f t="shared" si="269"/>
        <v>3.8249522483995104</v>
      </c>
      <c r="AC220" s="30">
        <f t="shared" si="269"/>
        <v>3.745699116577232</v>
      </c>
      <c r="AD220" s="30">
        <f t="shared" si="269"/>
        <v>3.7805142520609638</v>
      </c>
      <c r="AE220" s="30">
        <f t="shared" si="269"/>
        <v>3.7255230420538079</v>
      </c>
      <c r="AF220" s="30">
        <f t="shared" si="269"/>
        <v>4.1084811995910959</v>
      </c>
      <c r="AG220" s="30">
        <f t="shared" si="269"/>
        <v>4.0904342051894558</v>
      </c>
      <c r="AH220" s="30">
        <f t="shared" si="269"/>
        <v>3.8795894504281572</v>
      </c>
      <c r="AI220" s="30">
        <f t="shared" si="269"/>
        <v>3.9636834991335657</v>
      </c>
      <c r="AJ220" s="30">
        <f t="shared" si="269"/>
        <v>3.9078585330424866</v>
      </c>
      <c r="AK220" s="30">
        <f t="shared" si="269"/>
        <v>3.9683289738879148</v>
      </c>
      <c r="AL220" s="810">
        <f t="shared" si="265"/>
        <v>46.482189587302244</v>
      </c>
      <c r="AM220" s="30">
        <f t="shared" ref="AM220:AW220" si="270">AM204*AM8</f>
        <v>51.239923764958526</v>
      </c>
      <c r="AN220" s="30">
        <f t="shared" si="270"/>
        <v>59.162952822158921</v>
      </c>
      <c r="AO220" s="30">
        <f t="shared" si="270"/>
        <v>59.890869717075248</v>
      </c>
      <c r="AP220" s="30">
        <f t="shared" si="270"/>
        <v>60.69398597714008</v>
      </c>
      <c r="AQ220" s="30">
        <f t="shared" si="270"/>
        <v>61.147352412660872</v>
      </c>
      <c r="AR220" s="30">
        <f t="shared" si="270"/>
        <v>56.089233531818763</v>
      </c>
      <c r="AS220" s="30">
        <f t="shared" si="270"/>
        <v>54.372507865623305</v>
      </c>
      <c r="AT220" s="30">
        <f t="shared" si="270"/>
        <v>55.400544007877741</v>
      </c>
      <c r="AU220" s="30">
        <f t="shared" si="270"/>
        <v>59.438620546533173</v>
      </c>
      <c r="AV220" s="30">
        <f t="shared" si="270"/>
        <v>62.271683167563715</v>
      </c>
      <c r="AW220" s="30">
        <f t="shared" si="270"/>
        <v>66.879771144022044</v>
      </c>
      <c r="AX220" s="229"/>
      <c r="AY220" s="229"/>
    </row>
    <row r="221" spans="1:51">
      <c r="A221" s="29"/>
      <c r="B221" s="13" t="s">
        <v>240</v>
      </c>
      <c r="D221" s="30"/>
      <c r="E221" s="30"/>
      <c r="F221" s="30"/>
      <c r="G221" s="30"/>
      <c r="H221" s="30"/>
      <c r="I221" s="30"/>
      <c r="J221" s="30"/>
      <c r="K221" s="30"/>
      <c r="L221" s="356"/>
      <c r="M221" s="30">
        <f t="shared" ref="M221:X221" si="271">M215*(M9+M10)</f>
        <v>31.302548635353432</v>
      </c>
      <c r="N221" s="30">
        <f t="shared" si="271"/>
        <v>28.406341977898503</v>
      </c>
      <c r="O221" s="30">
        <f t="shared" si="271"/>
        <v>31.430770641146662</v>
      </c>
      <c r="P221" s="30">
        <f t="shared" si="271"/>
        <v>30.369137372917596</v>
      </c>
      <c r="Q221" s="30">
        <f t="shared" si="271"/>
        <v>31.420061519813377</v>
      </c>
      <c r="R221" s="30">
        <f t="shared" si="271"/>
        <v>30.513083821220032</v>
      </c>
      <c r="S221" s="30">
        <f t="shared" si="271"/>
        <v>31.435465171242569</v>
      </c>
      <c r="T221" s="30">
        <f t="shared" si="271"/>
        <v>25.124410387725945</v>
      </c>
      <c r="U221" s="30">
        <f t="shared" si="271"/>
        <v>15.526997651414833</v>
      </c>
      <c r="V221" s="30">
        <f t="shared" si="271"/>
        <v>15.967745180173109</v>
      </c>
      <c r="W221" s="30">
        <f t="shared" si="271"/>
        <v>15.423111034530711</v>
      </c>
      <c r="X221" s="30">
        <f t="shared" si="271"/>
        <v>15.886075512189516</v>
      </c>
      <c r="Y221" s="810">
        <f t="shared" si="268"/>
        <v>302.80574890562627</v>
      </c>
      <c r="Z221" s="30">
        <f t="shared" ref="Z221:AK221" si="272">Z215*(Z9+Z10)</f>
        <v>15.981769773553385</v>
      </c>
      <c r="AA221" s="30">
        <f t="shared" si="272"/>
        <v>14.513285808720671</v>
      </c>
      <c r="AB221" s="30">
        <f t="shared" si="272"/>
        <v>16.060667574088264</v>
      </c>
      <c r="AC221" s="30">
        <f t="shared" si="272"/>
        <v>15.656326123772493</v>
      </c>
      <c r="AD221" s="30">
        <f t="shared" si="272"/>
        <v>16.176813809708246</v>
      </c>
      <c r="AE221" s="30">
        <f t="shared" si="272"/>
        <v>15.703873973846431</v>
      </c>
      <c r="AF221" s="30">
        <f t="shared" si="272"/>
        <v>16.209942823029593</v>
      </c>
      <c r="AG221" s="30">
        <f t="shared" si="272"/>
        <v>16.342498657794454</v>
      </c>
      <c r="AH221" s="30">
        <f t="shared" si="272"/>
        <v>15.998424364761151</v>
      </c>
      <c r="AI221" s="30">
        <f t="shared" si="272"/>
        <v>16.41011894732101</v>
      </c>
      <c r="AJ221" s="30">
        <f t="shared" si="272"/>
        <v>15.824692622606834</v>
      </c>
      <c r="AK221" s="30">
        <f t="shared" si="272"/>
        <v>16.263953126367372</v>
      </c>
      <c r="AL221" s="810">
        <f t="shared" si="265"/>
        <v>191.14236760556992</v>
      </c>
      <c r="AM221" s="30">
        <f t="shared" ref="AM221:AW221" si="273">AM215*(AM9+AM10)</f>
        <v>199.62313740427879</v>
      </c>
      <c r="AN221" s="30">
        <f t="shared" si="273"/>
        <v>205.7529572786253</v>
      </c>
      <c r="AO221" s="30">
        <f t="shared" si="273"/>
        <v>211.2775575918331</v>
      </c>
      <c r="AP221" s="30">
        <f t="shared" si="273"/>
        <v>217.10206713828808</v>
      </c>
      <c r="AQ221" s="30">
        <f t="shared" si="273"/>
        <v>204.9523694967809</v>
      </c>
      <c r="AR221" s="30">
        <f t="shared" si="273"/>
        <v>183.78709913824244</v>
      </c>
      <c r="AS221" s="30">
        <f t="shared" si="273"/>
        <v>176.00991538217545</v>
      </c>
      <c r="AT221" s="30">
        <f t="shared" si="273"/>
        <v>178.75890446641077</v>
      </c>
      <c r="AU221" s="30">
        <f t="shared" si="273"/>
        <v>193.84874472931259</v>
      </c>
      <c r="AV221" s="30">
        <f t="shared" si="273"/>
        <v>205.37146364900789</v>
      </c>
      <c r="AW221" s="30">
        <f t="shared" si="273"/>
        <v>221.14433922399863</v>
      </c>
      <c r="AX221" s="229"/>
      <c r="AY221" s="229"/>
    </row>
    <row r="222" spans="1:51">
      <c r="A222" s="29"/>
      <c r="B222" s="13" t="s">
        <v>241</v>
      </c>
      <c r="D222" s="30"/>
      <c r="E222" s="30"/>
      <c r="F222" s="30"/>
      <c r="G222" s="30"/>
      <c r="H222" s="30"/>
      <c r="I222" s="30"/>
      <c r="J222" s="30"/>
      <c r="K222" s="30"/>
      <c r="L222" s="356"/>
      <c r="M222" s="30">
        <f t="shared" ref="M222:X222" si="274">M83*M11</f>
        <v>3.5832022533844055</v>
      </c>
      <c r="N222" s="30">
        <f t="shared" si="274"/>
        <v>3.3714956045813005</v>
      </c>
      <c r="O222" s="30">
        <f t="shared" si="274"/>
        <v>3.9447198841739168</v>
      </c>
      <c r="P222" s="30">
        <f t="shared" si="274"/>
        <v>2.4615969789114112</v>
      </c>
      <c r="Q222" s="30">
        <f t="shared" si="274"/>
        <v>1.9742129510805424</v>
      </c>
      <c r="R222" s="30">
        <f t="shared" si="274"/>
        <v>1.9839802552353518</v>
      </c>
      <c r="S222" s="30">
        <f t="shared" si="274"/>
        <v>3.4172134995957673</v>
      </c>
      <c r="T222" s="30">
        <f t="shared" si="274"/>
        <v>6.5409816462873076</v>
      </c>
      <c r="U222" s="30">
        <f t="shared" si="274"/>
        <v>4.6731979653710018</v>
      </c>
      <c r="V222" s="30">
        <f t="shared" si="274"/>
        <v>6.8936346099604453</v>
      </c>
      <c r="W222" s="30">
        <f t="shared" si="274"/>
        <v>5.7948949477747211</v>
      </c>
      <c r="X222" s="30">
        <f t="shared" si="274"/>
        <v>4.7089354599070559</v>
      </c>
      <c r="Y222" s="810">
        <f t="shared" si="268"/>
        <v>49.348066056263221</v>
      </c>
      <c r="Z222" s="30">
        <f t="shared" ref="Z222:AK222" si="275">Z83*Z11</f>
        <v>5.7566989981360068</v>
      </c>
      <c r="AA222" s="30">
        <f t="shared" si="275"/>
        <v>5.2967042770114903</v>
      </c>
      <c r="AB222" s="30">
        <f t="shared" si="275"/>
        <v>3.8270949399697463</v>
      </c>
      <c r="AC222" s="30">
        <f t="shared" si="275"/>
        <v>3.5831114882960575</v>
      </c>
      <c r="AD222" s="30">
        <f t="shared" si="275"/>
        <v>3.3177176280984106</v>
      </c>
      <c r="AE222" s="30">
        <f t="shared" si="275"/>
        <v>4.1394084150745902</v>
      </c>
      <c r="AF222" s="30">
        <f t="shared" si="275"/>
        <v>4.1009745028856948</v>
      </c>
      <c r="AG222" s="30">
        <f t="shared" si="275"/>
        <v>4.1266500839949272</v>
      </c>
      <c r="AH222" s="30">
        <f t="shared" si="275"/>
        <v>4.625795757196026</v>
      </c>
      <c r="AI222" s="30">
        <f t="shared" si="275"/>
        <v>6.9088881393163701</v>
      </c>
      <c r="AJ222" s="30">
        <f t="shared" si="275"/>
        <v>5.7656739052663459</v>
      </c>
      <c r="AK222" s="30">
        <f t="shared" si="275"/>
        <v>4.5455792902488623</v>
      </c>
      <c r="AL222" s="810">
        <f t="shared" si="265"/>
        <v>55.994297425494523</v>
      </c>
      <c r="AM222" s="30">
        <f t="shared" ref="AM222:AW222" si="276">AM83*AM11</f>
        <v>58.736209835812559</v>
      </c>
      <c r="AN222" s="30">
        <f t="shared" si="276"/>
        <v>57.872900048375776</v>
      </c>
      <c r="AO222" s="30">
        <f t="shared" si="276"/>
        <v>59.135910536332723</v>
      </c>
      <c r="AP222" s="30">
        <f t="shared" si="276"/>
        <v>64.595536280598083</v>
      </c>
      <c r="AQ222" s="30">
        <f t="shared" si="276"/>
        <v>231.54893638856259</v>
      </c>
      <c r="AR222" s="30">
        <f t="shared" si="276"/>
        <v>324.33297923495741</v>
      </c>
      <c r="AS222" s="30">
        <f t="shared" si="276"/>
        <v>348.02709461864919</v>
      </c>
      <c r="AT222" s="30">
        <f t="shared" si="276"/>
        <v>373.92693574530119</v>
      </c>
      <c r="AU222" s="30">
        <f t="shared" si="276"/>
        <v>349.96812270278002</v>
      </c>
      <c r="AV222" s="30">
        <f t="shared" si="276"/>
        <v>361.8305305149529</v>
      </c>
      <c r="AW222" s="30">
        <f t="shared" si="276"/>
        <v>352.51002671368315</v>
      </c>
      <c r="AX222" s="229"/>
      <c r="AY222" s="229"/>
    </row>
    <row r="223" spans="1:51">
      <c r="A223" s="29"/>
      <c r="B223" s="13" t="s">
        <v>364</v>
      </c>
      <c r="D223" s="30"/>
      <c r="E223" s="30"/>
      <c r="F223" s="30"/>
      <c r="G223" s="30"/>
      <c r="H223" s="30"/>
      <c r="I223" s="30"/>
      <c r="J223" s="30"/>
      <c r="K223" s="30"/>
      <c r="L223" s="356"/>
      <c r="M223" s="30">
        <f t="shared" ref="M223:X223" si="277">M92</f>
        <v>0</v>
      </c>
      <c r="N223" s="30">
        <f t="shared" si="277"/>
        <v>0</v>
      </c>
      <c r="O223" s="30">
        <f t="shared" si="277"/>
        <v>0</v>
      </c>
      <c r="P223" s="30">
        <f t="shared" si="277"/>
        <v>0</v>
      </c>
      <c r="Q223" s="30">
        <f t="shared" si="277"/>
        <v>0</v>
      </c>
      <c r="R223" s="30">
        <f t="shared" si="277"/>
        <v>0</v>
      </c>
      <c r="S223" s="30">
        <f t="shared" si="277"/>
        <v>0</v>
      </c>
      <c r="T223" s="30">
        <f t="shared" si="277"/>
        <v>0</v>
      </c>
      <c r="U223" s="30">
        <f t="shared" si="277"/>
        <v>0</v>
      </c>
      <c r="V223" s="30">
        <f t="shared" si="277"/>
        <v>0</v>
      </c>
      <c r="W223" s="30">
        <f t="shared" si="277"/>
        <v>0</v>
      </c>
      <c r="X223" s="30">
        <f t="shared" si="277"/>
        <v>0</v>
      </c>
      <c r="Y223" s="810">
        <f t="shared" si="268"/>
        <v>0</v>
      </c>
      <c r="Z223" s="30">
        <f t="shared" ref="Z223:AK223" si="278">Z92</f>
        <v>0</v>
      </c>
      <c r="AA223" s="30">
        <f t="shared" si="278"/>
        <v>0</v>
      </c>
      <c r="AB223" s="30">
        <f t="shared" si="278"/>
        <v>0</v>
      </c>
      <c r="AC223" s="30">
        <f t="shared" si="278"/>
        <v>0</v>
      </c>
      <c r="AD223" s="30">
        <f t="shared" si="278"/>
        <v>0</v>
      </c>
      <c r="AE223" s="30">
        <f t="shared" si="278"/>
        <v>0</v>
      </c>
      <c r="AF223" s="30">
        <f t="shared" si="278"/>
        <v>0</v>
      </c>
      <c r="AG223" s="30">
        <f t="shared" si="278"/>
        <v>0</v>
      </c>
      <c r="AH223" s="30">
        <f t="shared" si="278"/>
        <v>0</v>
      </c>
      <c r="AI223" s="30">
        <f t="shared" si="278"/>
        <v>0</v>
      </c>
      <c r="AJ223" s="30">
        <f t="shared" si="278"/>
        <v>0</v>
      </c>
      <c r="AK223" s="30">
        <f t="shared" si="278"/>
        <v>0</v>
      </c>
      <c r="AL223" s="810">
        <f t="shared" si="265"/>
        <v>0</v>
      </c>
      <c r="AM223" s="30">
        <f t="shared" ref="AM223:AW223" si="279">AM92</f>
        <v>0</v>
      </c>
      <c r="AN223" s="30">
        <f t="shared" si="279"/>
        <v>0</v>
      </c>
      <c r="AO223" s="30">
        <f t="shared" si="279"/>
        <v>0</v>
      </c>
      <c r="AP223" s="30">
        <f t="shared" si="279"/>
        <v>0</v>
      </c>
      <c r="AQ223" s="30">
        <f t="shared" si="279"/>
        <v>0</v>
      </c>
      <c r="AR223" s="30">
        <f t="shared" si="279"/>
        <v>0</v>
      </c>
      <c r="AS223" s="30">
        <f t="shared" si="279"/>
        <v>0</v>
      </c>
      <c r="AT223" s="30">
        <f t="shared" si="279"/>
        <v>0</v>
      </c>
      <c r="AU223" s="30">
        <f t="shared" si="279"/>
        <v>0</v>
      </c>
      <c r="AV223" s="30">
        <f t="shared" si="279"/>
        <v>0</v>
      </c>
      <c r="AW223" s="30">
        <f t="shared" si="279"/>
        <v>0</v>
      </c>
      <c r="AX223" s="229"/>
      <c r="AY223" s="229"/>
    </row>
    <row r="224" spans="1:51">
      <c r="A224" s="29"/>
      <c r="B224" s="13" t="s">
        <v>55</v>
      </c>
      <c r="D224" s="30"/>
      <c r="E224" s="30"/>
      <c r="F224" s="30"/>
      <c r="G224" s="30"/>
      <c r="H224" s="30"/>
      <c r="I224" s="30"/>
      <c r="J224" s="30"/>
      <c r="K224" s="30"/>
      <c r="L224" s="356"/>
      <c r="M224" s="30">
        <f t="shared" ref="M224:AW224" si="280">M93</f>
        <v>0.31216700000000003</v>
      </c>
      <c r="N224" s="30">
        <f t="shared" si="280"/>
        <v>0.30766700000000002</v>
      </c>
      <c r="O224" s="30">
        <f t="shared" si="280"/>
        <v>0.30766700000000002</v>
      </c>
      <c r="P224" s="30">
        <f t="shared" si="280"/>
        <v>0.30766700000000002</v>
      </c>
      <c r="Q224" s="30">
        <f t="shared" si="280"/>
        <v>0.30766700000000002</v>
      </c>
      <c r="R224" s="30">
        <f t="shared" si="280"/>
        <v>0.30766700000000002</v>
      </c>
      <c r="S224" s="30">
        <f t="shared" si="280"/>
        <v>0.30766700000000002</v>
      </c>
      <c r="T224" s="30">
        <f t="shared" si="280"/>
        <v>0.30766700000000002</v>
      </c>
      <c r="U224" s="30">
        <f t="shared" si="280"/>
        <v>0.30766700000000002</v>
      </c>
      <c r="V224" s="30">
        <f t="shared" si="280"/>
        <v>0.30766700000000002</v>
      </c>
      <c r="W224" s="30">
        <f t="shared" si="280"/>
        <v>0.30766700000000002</v>
      </c>
      <c r="X224" s="30">
        <f t="shared" si="280"/>
        <v>0.30766300000000002</v>
      </c>
      <c r="Y224" s="810">
        <f t="shared" si="268"/>
        <v>3.6964999999999995</v>
      </c>
      <c r="Z224" s="30">
        <f t="shared" si="280"/>
        <v>0.31216700000000003</v>
      </c>
      <c r="AA224" s="30">
        <f t="shared" si="280"/>
        <v>0.30766700000000002</v>
      </c>
      <c r="AB224" s="30">
        <f t="shared" si="280"/>
        <v>0.30766700000000002</v>
      </c>
      <c r="AC224" s="30">
        <f t="shared" si="280"/>
        <v>0.30766700000000002</v>
      </c>
      <c r="AD224" s="30">
        <f t="shared" si="280"/>
        <v>0.30766700000000002</v>
      </c>
      <c r="AE224" s="30">
        <f t="shared" si="280"/>
        <v>0.30766700000000002</v>
      </c>
      <c r="AF224" s="30">
        <f t="shared" si="280"/>
        <v>0.30766700000000002</v>
      </c>
      <c r="AG224" s="30">
        <f t="shared" si="280"/>
        <v>0.30766700000000002</v>
      </c>
      <c r="AH224" s="30">
        <f t="shared" si="280"/>
        <v>0.30766700000000002</v>
      </c>
      <c r="AI224" s="30">
        <f t="shared" si="280"/>
        <v>0.30766700000000002</v>
      </c>
      <c r="AJ224" s="30">
        <f t="shared" si="280"/>
        <v>0.30766700000000002</v>
      </c>
      <c r="AK224" s="30">
        <f t="shared" si="280"/>
        <v>0.30766300000000002</v>
      </c>
      <c r="AL224" s="810">
        <f t="shared" si="265"/>
        <v>3.6964999999999995</v>
      </c>
      <c r="AM224" s="30">
        <f t="shared" si="280"/>
        <v>3.6964999999999999</v>
      </c>
      <c r="AN224" s="30">
        <f t="shared" si="280"/>
        <v>3.6964999999999999</v>
      </c>
      <c r="AO224" s="30">
        <f t="shared" si="280"/>
        <v>3.6971750000000001</v>
      </c>
      <c r="AP224" s="30">
        <f t="shared" si="280"/>
        <v>3.6978702499999998</v>
      </c>
      <c r="AQ224" s="30">
        <f t="shared" si="280"/>
        <v>3.6985863575</v>
      </c>
      <c r="AR224" s="30">
        <f t="shared" si="280"/>
        <v>3.699323948225</v>
      </c>
      <c r="AS224" s="30">
        <f t="shared" si="280"/>
        <v>3.70008366667175</v>
      </c>
      <c r="AT224" s="30">
        <f t="shared" si="280"/>
        <v>3.7008661766719024</v>
      </c>
      <c r="AU224" s="30">
        <f t="shared" si="280"/>
        <v>3.7016721619720596</v>
      </c>
      <c r="AV224" s="30">
        <f t="shared" si="280"/>
        <v>3.7025023268312212</v>
      </c>
      <c r="AW224" s="30">
        <f t="shared" si="280"/>
        <v>3.7033573966361577</v>
      </c>
      <c r="AX224" s="229"/>
      <c r="AY224" s="229"/>
    </row>
    <row r="225" spans="1:51">
      <c r="A225" s="29"/>
      <c r="B225" s="13" t="s">
        <v>129</v>
      </c>
      <c r="D225" s="30"/>
      <c r="E225" s="30"/>
      <c r="F225" s="30"/>
      <c r="G225" s="30"/>
      <c r="H225" s="30"/>
      <c r="I225" s="30"/>
      <c r="J225" s="30"/>
      <c r="K225" s="30"/>
      <c r="L225" s="356"/>
      <c r="M225" s="30">
        <f>M94</f>
        <v>0.17073353166899355</v>
      </c>
      <c r="N225" s="30">
        <f>N94</f>
        <v>0.17009169511140093</v>
      </c>
      <c r="O225" s="30">
        <f t="shared" ref="O225:X225" si="281">O94</f>
        <v>0.16977814021572091</v>
      </c>
      <c r="P225" s="30">
        <f t="shared" si="281"/>
        <v>0.16947336528656909</v>
      </c>
      <c r="Q225" s="30">
        <f t="shared" si="281"/>
        <v>0.16879698315529648</v>
      </c>
      <c r="R225" s="30">
        <f t="shared" si="281"/>
        <v>0.16792666529029654</v>
      </c>
      <c r="S225" s="30">
        <f t="shared" si="281"/>
        <v>0.16806924121043876</v>
      </c>
      <c r="T225" s="30">
        <f t="shared" si="281"/>
        <v>0.16779094943149278</v>
      </c>
      <c r="U225" s="30">
        <f t="shared" si="281"/>
        <v>0.16794803245991258</v>
      </c>
      <c r="V225" s="30">
        <f t="shared" si="281"/>
        <v>0.16753659061636295</v>
      </c>
      <c r="W225" s="30">
        <f t="shared" si="281"/>
        <v>0.16636562886447287</v>
      </c>
      <c r="X225" s="30">
        <f t="shared" si="281"/>
        <v>0.16445705037247971</v>
      </c>
      <c r="Y225" s="810">
        <f t="shared" si="268"/>
        <v>2.0189678736834371</v>
      </c>
      <c r="Z225" s="30">
        <f t="shared" ref="Z225:AW225" si="282">Z94</f>
        <v>0.16584148914560665</v>
      </c>
      <c r="AA225" s="30">
        <f t="shared" si="282"/>
        <v>0.16511526944357627</v>
      </c>
      <c r="AB225" s="30">
        <f t="shared" si="282"/>
        <v>0.16595804788047308</v>
      </c>
      <c r="AC225" s="30">
        <f t="shared" si="282"/>
        <v>0.16448790320242462</v>
      </c>
      <c r="AD225" s="30">
        <f t="shared" si="282"/>
        <v>0.16310366962968792</v>
      </c>
      <c r="AE225" s="30">
        <f t="shared" si="282"/>
        <v>0.16092508332300048</v>
      </c>
      <c r="AF225" s="30">
        <f t="shared" si="282"/>
        <v>0.16155922303300657</v>
      </c>
      <c r="AG225" s="30">
        <f t="shared" si="282"/>
        <v>0.16152578419709135</v>
      </c>
      <c r="AH225" s="30">
        <f t="shared" si="282"/>
        <v>0.1603252534848548</v>
      </c>
      <c r="AI225" s="30">
        <f t="shared" si="282"/>
        <v>0.16089467170513985</v>
      </c>
      <c r="AJ225" s="30">
        <f t="shared" si="282"/>
        <v>0.1606482265119179</v>
      </c>
      <c r="AK225" s="30">
        <f t="shared" si="282"/>
        <v>0.15938429104598745</v>
      </c>
      <c r="AL225" s="810">
        <f t="shared" si="265"/>
        <v>1.9497689126027669</v>
      </c>
      <c r="AM225" s="30">
        <f t="shared" si="282"/>
        <v>1.8777426026243624</v>
      </c>
      <c r="AN225" s="30">
        <f t="shared" si="282"/>
        <v>1.8170941780643934</v>
      </c>
      <c r="AO225" s="30">
        <f t="shared" si="282"/>
        <v>1.7597520542275795</v>
      </c>
      <c r="AP225" s="30">
        <f t="shared" si="282"/>
        <v>1.6931378141532183</v>
      </c>
      <c r="AQ225" s="30">
        <f t="shared" si="282"/>
        <v>1.6224381246517554</v>
      </c>
      <c r="AR225" s="30">
        <f t="shared" si="282"/>
        <v>1.5332517745948551</v>
      </c>
      <c r="AS225" s="30">
        <f t="shared" si="282"/>
        <v>1.4275314885653088</v>
      </c>
      <c r="AT225" s="30">
        <f t="shared" si="282"/>
        <v>1.3116743086316032</v>
      </c>
      <c r="AU225" s="30">
        <f t="shared" si="282"/>
        <v>1.2108962867926953</v>
      </c>
      <c r="AV225" s="30">
        <f t="shared" si="282"/>
        <v>1.2855074427264881</v>
      </c>
      <c r="AW225" s="30">
        <f t="shared" si="282"/>
        <v>1.1480391437867417</v>
      </c>
      <c r="AX225" s="229"/>
      <c r="AY225" s="229"/>
    </row>
    <row r="226" spans="1:51">
      <c r="A226" s="29"/>
      <c r="B226" s="13" t="s">
        <v>196</v>
      </c>
      <c r="D226" s="30"/>
      <c r="E226" s="30"/>
      <c r="F226" s="30"/>
      <c r="G226" s="30"/>
      <c r="H226" s="30"/>
      <c r="I226" s="30"/>
      <c r="J226" s="30"/>
      <c r="K226" s="30"/>
      <c r="L226" s="356"/>
      <c r="M226" s="30">
        <f>-M145-M155</f>
        <v>2.4699945129857181</v>
      </c>
      <c r="N226" s="30">
        <f t="shared" ref="N226:AW226" si="283">-N145-N155</f>
        <v>2.0949932083090541</v>
      </c>
      <c r="O226" s="30">
        <f t="shared" si="283"/>
        <v>1.8596657159334395</v>
      </c>
      <c r="P226" s="30">
        <f t="shared" si="283"/>
        <v>1.3610819513848305</v>
      </c>
      <c r="Q226" s="30">
        <f t="shared" si="283"/>
        <v>1.5818625277299339</v>
      </c>
      <c r="R226" s="30">
        <f t="shared" si="283"/>
        <v>2.2110620220058941</v>
      </c>
      <c r="S226" s="30">
        <f t="shared" si="283"/>
        <v>2.3647545740138276</v>
      </c>
      <c r="T226" s="30">
        <f t="shared" si="283"/>
        <v>2.5465591956331171</v>
      </c>
      <c r="U226" s="30">
        <f t="shared" si="283"/>
        <v>2.5658031676906958</v>
      </c>
      <c r="V226" s="30">
        <f t="shared" si="283"/>
        <v>2.1819560403726403</v>
      </c>
      <c r="W226" s="30">
        <f t="shared" si="283"/>
        <v>2.4091938715863592</v>
      </c>
      <c r="X226" s="30">
        <f t="shared" si="283"/>
        <v>3.1161688562500967</v>
      </c>
      <c r="Y226" s="810">
        <f t="shared" si="268"/>
        <v>26.76309564389561</v>
      </c>
      <c r="Z226" s="30">
        <f t="shared" si="283"/>
        <v>3.3714407925663492</v>
      </c>
      <c r="AA226" s="30">
        <f t="shared" si="283"/>
        <v>2.9405788179600707</v>
      </c>
      <c r="AB226" s="30">
        <f t="shared" si="283"/>
        <v>2.711067198951377</v>
      </c>
      <c r="AC226" s="30">
        <f t="shared" si="283"/>
        <v>2.2961607223027198</v>
      </c>
      <c r="AD226" s="30">
        <f t="shared" si="283"/>
        <v>2.5387070538267951</v>
      </c>
      <c r="AE226" s="30">
        <f t="shared" si="283"/>
        <v>3.230415731739968</v>
      </c>
      <c r="AF226" s="30">
        <f t="shared" si="283"/>
        <v>2.9324366828028516</v>
      </c>
      <c r="AG226" s="30">
        <f t="shared" si="283"/>
        <v>3.0836775499325859</v>
      </c>
      <c r="AH226" s="30">
        <f t="shared" si="283"/>
        <v>2.6044289762755088</v>
      </c>
      <c r="AI226" s="30">
        <f t="shared" si="283"/>
        <v>2.1683456050416248</v>
      </c>
      <c r="AJ226" s="30">
        <f t="shared" si="283"/>
        <v>2.3680188189964824</v>
      </c>
      <c r="AK226" s="30">
        <f t="shared" si="283"/>
        <v>3.012908818777456</v>
      </c>
      <c r="AL226" s="810">
        <f t="shared" si="265"/>
        <v>33.25818676917379</v>
      </c>
      <c r="AM226" s="30">
        <f t="shared" si="283"/>
        <v>33.500549766015254</v>
      </c>
      <c r="AN226" s="30">
        <f t="shared" si="283"/>
        <v>30.046419186305851</v>
      </c>
      <c r="AO226" s="30">
        <f t="shared" si="283"/>
        <v>27.005266833066308</v>
      </c>
      <c r="AP226" s="30">
        <f t="shared" si="283"/>
        <v>0</v>
      </c>
      <c r="AQ226" s="30">
        <f t="shared" si="283"/>
        <v>0</v>
      </c>
      <c r="AR226" s="30">
        <f t="shared" si="283"/>
        <v>0</v>
      </c>
      <c r="AS226" s="30">
        <f t="shared" si="283"/>
        <v>0</v>
      </c>
      <c r="AT226" s="30">
        <f t="shared" si="283"/>
        <v>0</v>
      </c>
      <c r="AU226" s="30">
        <f t="shared" si="283"/>
        <v>0</v>
      </c>
      <c r="AV226" s="30">
        <f t="shared" si="283"/>
        <v>0</v>
      </c>
      <c r="AW226" s="30">
        <f t="shared" si="283"/>
        <v>0</v>
      </c>
      <c r="AX226" s="229"/>
      <c r="AY226" s="229"/>
    </row>
    <row r="227" spans="1:51">
      <c r="A227" s="29"/>
      <c r="B227" s="13" t="s">
        <v>170</v>
      </c>
      <c r="D227" s="30"/>
      <c r="E227" s="30"/>
      <c r="F227" s="30"/>
      <c r="G227" s="30"/>
      <c r="H227" s="30"/>
      <c r="I227" s="30"/>
      <c r="J227" s="30"/>
      <c r="K227" s="30"/>
      <c r="L227" s="356"/>
      <c r="M227" s="30">
        <f t="shared" ref="M227:X227" si="284">SUM(M219:M226)</f>
        <v>51.942082113902352</v>
      </c>
      <c r="N227" s="30">
        <f t="shared" si="284"/>
        <v>46.834007703809895</v>
      </c>
      <c r="O227" s="30">
        <f t="shared" si="284"/>
        <v>49.209500023906187</v>
      </c>
      <c r="P227" s="30">
        <f t="shared" si="284"/>
        <v>44.286148099704391</v>
      </c>
      <c r="Q227" s="30">
        <f t="shared" si="284"/>
        <v>45.952718663876951</v>
      </c>
      <c r="R227" s="30">
        <f t="shared" si="284"/>
        <v>47.817864322572973</v>
      </c>
      <c r="S227" s="30">
        <f t="shared" si="284"/>
        <v>51.66075051505247</v>
      </c>
      <c r="T227" s="30">
        <f t="shared" si="284"/>
        <v>50.48381725521935</v>
      </c>
      <c r="U227" s="30">
        <f t="shared" si="284"/>
        <v>38.664791233071945</v>
      </c>
      <c r="V227" s="30">
        <f t="shared" si="284"/>
        <v>39.016991403813861</v>
      </c>
      <c r="W227" s="30">
        <f t="shared" si="284"/>
        <v>38.899440347181233</v>
      </c>
      <c r="X227" s="30">
        <f t="shared" si="284"/>
        <v>42.75445559619893</v>
      </c>
      <c r="Y227" s="810">
        <f>SUM(M227:X227)</f>
        <v>547.52256727831059</v>
      </c>
      <c r="Z227" s="30">
        <f t="shared" ref="Z227:AK227" si="285">SUM(Z219:Z226)</f>
        <v>45.307249644854672</v>
      </c>
      <c r="AA227" s="30">
        <f t="shared" si="285"/>
        <v>40.715205483787237</v>
      </c>
      <c r="AB227" s="30">
        <f t="shared" si="285"/>
        <v>39.0841866064481</v>
      </c>
      <c r="AC227" s="30">
        <f t="shared" si="285"/>
        <v>35.324810696010701</v>
      </c>
      <c r="AD227" s="30">
        <f t="shared" si="285"/>
        <v>37.108565727846091</v>
      </c>
      <c r="AE227" s="30">
        <f t="shared" si="285"/>
        <v>41.139050904350121</v>
      </c>
      <c r="AF227" s="30">
        <f t="shared" si="285"/>
        <v>43.256215681748358</v>
      </c>
      <c r="AG227" s="30">
        <f t="shared" si="285"/>
        <v>43.97586468388355</v>
      </c>
      <c r="AH227" s="30">
        <f t="shared" si="285"/>
        <v>39.911478012732758</v>
      </c>
      <c r="AI227" s="30">
        <f t="shared" si="285"/>
        <v>40.159640032580562</v>
      </c>
      <c r="AJ227" s="30">
        <f t="shared" si="285"/>
        <v>40.013098388275665</v>
      </c>
      <c r="AK227" s="30">
        <f t="shared" si="285"/>
        <v>43.870711133372282</v>
      </c>
      <c r="AL227" s="810">
        <f t="shared" si="265"/>
        <v>489.86607699589013</v>
      </c>
      <c r="AM227" s="30">
        <f t="shared" ref="AM227:AW227" si="286">SUM(AM219:AM226)</f>
        <v>510.97180067407356</v>
      </c>
      <c r="AN227" s="30">
        <f t="shared" si="286"/>
        <v>526.57061824545974</v>
      </c>
      <c r="AO227" s="30">
        <f t="shared" si="286"/>
        <v>538.87253503837155</v>
      </c>
      <c r="AP227" s="30">
        <f t="shared" si="286"/>
        <v>555.22077289685285</v>
      </c>
      <c r="AQ227" s="30">
        <f t="shared" si="286"/>
        <v>713.62176616826412</v>
      </c>
      <c r="AR227" s="30">
        <f t="shared" si="286"/>
        <v>763.23806217939091</v>
      </c>
      <c r="AS227" s="30">
        <f t="shared" si="286"/>
        <v>772.47975046221507</v>
      </c>
      <c r="AT227" s="30">
        <f t="shared" si="286"/>
        <v>807.2076084133289</v>
      </c>
      <c r="AU227" s="30">
        <f t="shared" si="286"/>
        <v>818.6189404704586</v>
      </c>
      <c r="AV227" s="30">
        <f t="shared" si="286"/>
        <v>857.81651725728977</v>
      </c>
      <c r="AW227" s="30">
        <f t="shared" si="286"/>
        <v>886.80721843153026</v>
      </c>
      <c r="AX227" s="229"/>
      <c r="AY227" s="229"/>
    </row>
    <row r="228" spans="1:51">
      <c r="A228" s="29"/>
      <c r="D228" s="229"/>
      <c r="E228" s="229"/>
      <c r="F228" s="229"/>
      <c r="G228" s="229"/>
      <c r="H228" s="229"/>
      <c r="I228" s="229"/>
      <c r="J228" s="229"/>
      <c r="K228" s="229"/>
      <c r="L228" s="357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811"/>
      <c r="Z228" s="229"/>
      <c r="AA228" s="229"/>
      <c r="AB228" s="229"/>
      <c r="AC228" s="229"/>
      <c r="AD228" s="229"/>
      <c r="AE228" s="229"/>
      <c r="AF228" s="229"/>
      <c r="AG228" s="229"/>
      <c r="AH228" s="229"/>
      <c r="AI228" s="229"/>
      <c r="AJ228" s="229"/>
      <c r="AK228" s="229"/>
      <c r="AL228" s="811"/>
      <c r="AM228" s="229"/>
      <c r="AN228" s="229"/>
      <c r="AO228" s="229"/>
      <c r="AP228" s="229"/>
      <c r="AQ228" s="229"/>
      <c r="AR228" s="229"/>
      <c r="AS228" s="229"/>
      <c r="AT228" s="229"/>
      <c r="AU228" s="229"/>
      <c r="AV228" s="229"/>
      <c r="AW228" s="229"/>
      <c r="AX228" s="229"/>
      <c r="AY228" s="229"/>
    </row>
    <row r="229" spans="1:51">
      <c r="A229" s="29"/>
      <c r="B229" s="13" t="s">
        <v>169</v>
      </c>
      <c r="D229" s="30"/>
      <c r="E229" s="30"/>
      <c r="F229" s="30"/>
      <c r="G229" s="30"/>
      <c r="H229" s="30"/>
      <c r="I229" s="30"/>
      <c r="J229" s="30"/>
      <c r="K229" s="30"/>
      <c r="L229" s="356"/>
      <c r="M229" s="30">
        <f>M99</f>
        <v>48.035740544490679</v>
      </c>
      <c r="N229" s="30">
        <f>N99</f>
        <v>45.049735253451914</v>
      </c>
      <c r="O229" s="30">
        <f t="shared" ref="O229:W229" si="287">O99</f>
        <v>49.99029367457161</v>
      </c>
      <c r="P229" s="30">
        <f t="shared" si="287"/>
        <v>47.711001211814953</v>
      </c>
      <c r="Q229" s="30">
        <f t="shared" si="287"/>
        <v>51.810087374057119</v>
      </c>
      <c r="R229" s="30">
        <f t="shared" si="287"/>
        <v>46.952660319551768</v>
      </c>
      <c r="S229" s="30">
        <f t="shared" si="287"/>
        <v>48.912198040771898</v>
      </c>
      <c r="T229" s="30">
        <f t="shared" si="287"/>
        <v>47.749129733751971</v>
      </c>
      <c r="U229" s="30">
        <f t="shared" si="287"/>
        <v>38.808994132243491</v>
      </c>
      <c r="V229" s="30">
        <f t="shared" si="287"/>
        <v>41.514029296113257</v>
      </c>
      <c r="W229" s="30">
        <f t="shared" si="287"/>
        <v>38.514456708005788</v>
      </c>
      <c r="X229" s="30">
        <f>X99</f>
        <v>38.789224549692896</v>
      </c>
      <c r="Y229" s="810">
        <f>SUM(M229:X229)</f>
        <v>543.83755083851736</v>
      </c>
      <c r="Z229" s="30">
        <f t="shared" ref="Z229:AW229" si="288">Z99</f>
        <v>40.153032164051702</v>
      </c>
      <c r="AA229" s="30">
        <f t="shared" si="288"/>
        <v>37.167984378344052</v>
      </c>
      <c r="AB229" s="30">
        <f t="shared" si="288"/>
        <v>41.147053544219958</v>
      </c>
      <c r="AC229" s="30">
        <f t="shared" si="288"/>
        <v>41.975299259550695</v>
      </c>
      <c r="AD229" s="30">
        <f t="shared" si="288"/>
        <v>41.328599894001051</v>
      </c>
      <c r="AE229" s="30">
        <f t="shared" si="288"/>
        <v>39.230245885718489</v>
      </c>
      <c r="AF229" s="30">
        <f t="shared" si="288"/>
        <v>39.531693694327338</v>
      </c>
      <c r="AG229" s="30">
        <f t="shared" si="288"/>
        <v>40.369617912147959</v>
      </c>
      <c r="AH229" s="30">
        <f t="shared" si="288"/>
        <v>39.326364286316284</v>
      </c>
      <c r="AI229" s="30">
        <f t="shared" si="288"/>
        <v>41.937268523571639</v>
      </c>
      <c r="AJ229" s="30">
        <f t="shared" si="288"/>
        <v>38.922970004592386</v>
      </c>
      <c r="AK229" s="30">
        <f>AK99</f>
        <v>40.057816119216618</v>
      </c>
      <c r="AL229" s="810">
        <f>SUM(Z229:AK229)</f>
        <v>481.14794566605815</v>
      </c>
      <c r="AM229" s="30">
        <f t="shared" si="288"/>
        <v>502.18977355841832</v>
      </c>
      <c r="AN229" s="30">
        <f t="shared" si="288"/>
        <v>520.61162991848846</v>
      </c>
      <c r="AO229" s="30">
        <f t="shared" si="288"/>
        <v>534.76913285659668</v>
      </c>
      <c r="AP229" s="30">
        <f t="shared" si="288"/>
        <v>550.40865368285404</v>
      </c>
      <c r="AQ229" s="30">
        <f t="shared" si="288"/>
        <v>704.94887989577421</v>
      </c>
      <c r="AR229" s="30">
        <f t="shared" si="288"/>
        <v>754.99250676062172</v>
      </c>
      <c r="AS229" s="30">
        <f t="shared" si="288"/>
        <v>764.75665746002619</v>
      </c>
      <c r="AT229" s="30">
        <f t="shared" si="288"/>
        <v>799.77069847713642</v>
      </c>
      <c r="AU229" s="30">
        <f t="shared" si="288"/>
        <v>811.22723792845022</v>
      </c>
      <c r="AV229" s="30">
        <f t="shared" si="288"/>
        <v>847.53833424367713</v>
      </c>
      <c r="AW229" s="30">
        <f t="shared" si="288"/>
        <v>876.79280527173239</v>
      </c>
      <c r="AX229" s="229"/>
      <c r="AY229" s="229"/>
    </row>
    <row r="230" spans="1:51">
      <c r="A230" s="29"/>
      <c r="B230" s="108" t="s">
        <v>533</v>
      </c>
      <c r="D230" s="228"/>
      <c r="E230" s="228"/>
      <c r="F230" s="228"/>
      <c r="G230" s="228"/>
      <c r="H230" s="228"/>
      <c r="I230" s="228"/>
      <c r="J230" s="228"/>
      <c r="K230" s="228"/>
      <c r="L230" s="358"/>
      <c r="M230" s="228">
        <f>M100</f>
        <v>0</v>
      </c>
      <c r="N230" s="228">
        <f>N100</f>
        <v>0</v>
      </c>
      <c r="O230" s="228">
        <f t="shared" ref="O230:X230" si="289">O100</f>
        <v>1.23832464783125</v>
      </c>
      <c r="P230" s="228">
        <f t="shared" si="289"/>
        <v>2.5000000000000001E-2</v>
      </c>
      <c r="Q230" s="228">
        <f t="shared" si="289"/>
        <v>0</v>
      </c>
      <c r="R230" s="228">
        <f t="shared" si="289"/>
        <v>0</v>
      </c>
      <c r="S230" s="228">
        <f t="shared" si="289"/>
        <v>0</v>
      </c>
      <c r="T230" s="228">
        <f t="shared" si="289"/>
        <v>8.0000000000000002E-3</v>
      </c>
      <c r="U230" s="228">
        <f t="shared" si="289"/>
        <v>0</v>
      </c>
      <c r="V230" s="228">
        <f t="shared" si="289"/>
        <v>0</v>
      </c>
      <c r="W230" s="228">
        <f t="shared" si="289"/>
        <v>0</v>
      </c>
      <c r="X230" s="228">
        <f t="shared" si="289"/>
        <v>0</v>
      </c>
      <c r="Y230" s="812">
        <f>SUM(M230:X230)</f>
        <v>1.2713246478312499</v>
      </c>
      <c r="Z230" s="228">
        <f t="shared" ref="Z230:AW230" si="290">Z100</f>
        <v>0</v>
      </c>
      <c r="AA230" s="228">
        <f t="shared" si="290"/>
        <v>0</v>
      </c>
      <c r="AB230" s="228">
        <f t="shared" si="290"/>
        <v>2.7064475505600001</v>
      </c>
      <c r="AC230" s="228">
        <f t="shared" si="290"/>
        <v>0</v>
      </c>
      <c r="AD230" s="228">
        <f t="shared" si="290"/>
        <v>0</v>
      </c>
      <c r="AE230" s="228">
        <f t="shared" si="290"/>
        <v>0</v>
      </c>
      <c r="AF230" s="228">
        <f t="shared" si="290"/>
        <v>0</v>
      </c>
      <c r="AG230" s="228">
        <f t="shared" si="290"/>
        <v>0</v>
      </c>
      <c r="AH230" s="228">
        <f t="shared" si="290"/>
        <v>0</v>
      </c>
      <c r="AI230" s="228">
        <f t="shared" si="290"/>
        <v>0</v>
      </c>
      <c r="AJ230" s="228">
        <f t="shared" si="290"/>
        <v>0</v>
      </c>
      <c r="AK230" s="228">
        <f t="shared" si="290"/>
        <v>0</v>
      </c>
      <c r="AL230" s="812">
        <f>SUM(Z230:AK230)</f>
        <v>2.7064475505600001</v>
      </c>
      <c r="AM230" s="228">
        <f t="shared" si="290"/>
        <v>2.6243469322674997</v>
      </c>
      <c r="AN230" s="228">
        <f t="shared" si="290"/>
        <v>2.538535059075</v>
      </c>
      <c r="AO230" s="228">
        <f t="shared" si="290"/>
        <v>2.4486009990137503</v>
      </c>
      <c r="AP230" s="228">
        <f t="shared" si="290"/>
        <v>2.3536433920412501</v>
      </c>
      <c r="AQ230" s="228">
        <f t="shared" si="290"/>
        <v>2.2531521443862501</v>
      </c>
      <c r="AR230" s="228">
        <f t="shared" si="290"/>
        <v>2.1462980837550001</v>
      </c>
      <c r="AS230" s="228">
        <f t="shared" si="290"/>
        <v>2.0327081350387504</v>
      </c>
      <c r="AT230" s="228">
        <f t="shared" si="290"/>
        <v>1.9124854773837496</v>
      </c>
      <c r="AU230" s="228">
        <f t="shared" si="290"/>
        <v>1.7849191323025004</v>
      </c>
      <c r="AV230" s="228">
        <f t="shared" si="290"/>
        <v>1.6498390890600008</v>
      </c>
      <c r="AW230" s="228">
        <f t="shared" si="290"/>
        <v>1.5076748853300002</v>
      </c>
      <c r="AX230" s="229"/>
      <c r="AY230" s="229"/>
    </row>
    <row r="231" spans="1:51">
      <c r="A231" s="29"/>
      <c r="B231" s="13" t="s">
        <v>171</v>
      </c>
      <c r="D231" s="30"/>
      <c r="E231" s="30"/>
      <c r="F231" s="30"/>
      <c r="G231" s="30"/>
      <c r="H231" s="30"/>
      <c r="I231" s="30"/>
      <c r="J231" s="30"/>
      <c r="K231" s="30"/>
      <c r="L231" s="356"/>
      <c r="M231" s="30">
        <f t="shared" ref="M231:Y231" si="291">M227-M229+M230</f>
        <v>3.9063415694116728</v>
      </c>
      <c r="N231" s="30">
        <f t="shared" si="291"/>
        <v>1.7842724503579817</v>
      </c>
      <c r="O231" s="30">
        <f t="shared" si="291"/>
        <v>0.45753099716582701</v>
      </c>
      <c r="P231" s="30">
        <f t="shared" si="291"/>
        <v>-3.3998531121105615</v>
      </c>
      <c r="Q231" s="30">
        <f t="shared" si="291"/>
        <v>-5.8573687101801681</v>
      </c>
      <c r="R231" s="30">
        <f t="shared" si="291"/>
        <v>0.86520400302120493</v>
      </c>
      <c r="S231" s="30">
        <f t="shared" si="291"/>
        <v>2.7485524742805723</v>
      </c>
      <c r="T231" s="30">
        <f t="shared" si="291"/>
        <v>2.7426875214673787</v>
      </c>
      <c r="U231" s="30">
        <f t="shared" si="291"/>
        <v>-0.14420289917154605</v>
      </c>
      <c r="V231" s="30">
        <f t="shared" si="291"/>
        <v>-2.4970378922993959</v>
      </c>
      <c r="W231" s="30">
        <f t="shared" si="291"/>
        <v>0.38498363917544509</v>
      </c>
      <c r="X231" s="30">
        <f t="shared" si="291"/>
        <v>3.9652310465060339</v>
      </c>
      <c r="Y231" s="810">
        <f t="shared" si="291"/>
        <v>4.9563410876244802</v>
      </c>
      <c r="Z231" s="30">
        <f t="shared" ref="Z231:AL231" si="292">Z227-Z229+Z230</f>
        <v>5.1542174808029699</v>
      </c>
      <c r="AA231" s="30">
        <f t="shared" si="292"/>
        <v>3.5472211054431853</v>
      </c>
      <c r="AB231" s="30">
        <f t="shared" si="292"/>
        <v>0.64358061278814205</v>
      </c>
      <c r="AC231" s="30">
        <f t="shared" si="292"/>
        <v>-6.6504885635399944</v>
      </c>
      <c r="AD231" s="30">
        <f t="shared" si="292"/>
        <v>-4.2200341661549601</v>
      </c>
      <c r="AE231" s="30">
        <f t="shared" si="292"/>
        <v>1.9088050186316323</v>
      </c>
      <c r="AF231" s="30">
        <f t="shared" si="292"/>
        <v>3.7245219874210207</v>
      </c>
      <c r="AG231" s="30">
        <f t="shared" si="292"/>
        <v>3.6062467717355915</v>
      </c>
      <c r="AH231" s="30">
        <f t="shared" si="292"/>
        <v>0.58511372641647341</v>
      </c>
      <c r="AI231" s="30">
        <f t="shared" si="292"/>
        <v>-1.7776284909910771</v>
      </c>
      <c r="AJ231" s="30">
        <f t="shared" si="292"/>
        <v>1.0901283836832789</v>
      </c>
      <c r="AK231" s="30">
        <f t="shared" si="292"/>
        <v>3.8128950141556643</v>
      </c>
      <c r="AL231" s="810">
        <f t="shared" si="292"/>
        <v>11.424578880391977</v>
      </c>
      <c r="AM231" s="30">
        <f t="shared" ref="AM231:AW231" si="293">AM227-AM229+AM230</f>
        <v>11.406374047922739</v>
      </c>
      <c r="AN231" s="30">
        <f t="shared" si="293"/>
        <v>8.4975233860462804</v>
      </c>
      <c r="AO231" s="30">
        <f t="shared" si="293"/>
        <v>6.5520031807886188</v>
      </c>
      <c r="AP231" s="30">
        <f>AP227-AP229+AP230</f>
        <v>7.1657626060400625</v>
      </c>
      <c r="AQ231" s="30">
        <f t="shared" si="293"/>
        <v>10.926038416876155</v>
      </c>
      <c r="AR231" s="30">
        <f t="shared" si="293"/>
        <v>10.391853502524185</v>
      </c>
      <c r="AS231" s="30">
        <f t="shared" si="293"/>
        <v>9.7558011372276248</v>
      </c>
      <c r="AT231" s="30">
        <f t="shared" si="293"/>
        <v>9.3493954135762287</v>
      </c>
      <c r="AU231" s="30">
        <f t="shared" si="293"/>
        <v>9.1766216743108746</v>
      </c>
      <c r="AV231" s="30">
        <f t="shared" si="293"/>
        <v>11.928022102672648</v>
      </c>
      <c r="AW231" s="30">
        <f t="shared" si="293"/>
        <v>11.52208804512787</v>
      </c>
      <c r="AX231" s="229"/>
      <c r="AY231" s="229"/>
    </row>
    <row r="232" spans="1:51">
      <c r="A232" s="29"/>
      <c r="B232" s="13"/>
      <c r="D232" s="30"/>
      <c r="E232" s="30"/>
      <c r="F232" s="30"/>
      <c r="G232" s="30"/>
      <c r="H232" s="30"/>
      <c r="I232" s="30"/>
      <c r="J232" s="30"/>
      <c r="K232" s="30"/>
      <c r="L232" s="356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81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81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229"/>
      <c r="AY232" s="229"/>
    </row>
    <row r="233" spans="1:51">
      <c r="A233" s="29"/>
      <c r="B233" s="13" t="s">
        <v>172</v>
      </c>
      <c r="D233" s="30"/>
      <c r="E233" s="30"/>
      <c r="F233" s="30"/>
      <c r="G233" s="30"/>
      <c r="H233" s="30"/>
      <c r="I233" s="30"/>
      <c r="J233" s="30"/>
      <c r="K233" s="30"/>
      <c r="L233" s="356"/>
      <c r="M233" s="30">
        <f>M103</f>
        <v>3.801779070814082</v>
      </c>
      <c r="N233" s="30">
        <f>N103</f>
        <v>3.4943951115753671</v>
      </c>
      <c r="O233" s="30">
        <f t="shared" ref="O233:X233" si="294">O103</f>
        <v>3.9287821486613619</v>
      </c>
      <c r="P233" s="30">
        <f t="shared" si="294"/>
        <v>3.83665864991969</v>
      </c>
      <c r="Q233" s="30">
        <f t="shared" si="294"/>
        <v>3.9440452341408143</v>
      </c>
      <c r="R233" s="30">
        <f t="shared" si="294"/>
        <v>3.8024176742278777</v>
      </c>
      <c r="S233" s="30">
        <f t="shared" si="294"/>
        <v>3.9362067521730828</v>
      </c>
      <c r="T233" s="30">
        <f t="shared" si="294"/>
        <v>3.9362085321730831</v>
      </c>
      <c r="U233" s="30">
        <f t="shared" si="294"/>
        <v>3.8212760943723696</v>
      </c>
      <c r="V233" s="30">
        <f t="shared" si="294"/>
        <v>3.9734602275230535</v>
      </c>
      <c r="W233" s="30">
        <f t="shared" si="294"/>
        <v>3.8654261019066158</v>
      </c>
      <c r="X233" s="30">
        <f t="shared" si="294"/>
        <v>3.9650209604738875</v>
      </c>
      <c r="Y233" s="810">
        <f>SUM(M233:X233)</f>
        <v>46.305676557961284</v>
      </c>
      <c r="Z233" s="30">
        <f t="shared" ref="Z233:AW233" si="295">Z103</f>
        <v>3.9097754603369017</v>
      </c>
      <c r="AA233" s="30">
        <f t="shared" si="295"/>
        <v>3.6642238723916956</v>
      </c>
      <c r="AB233" s="30">
        <f t="shared" si="295"/>
        <v>3.9823145892786194</v>
      </c>
      <c r="AC233" s="30">
        <f t="shared" si="295"/>
        <v>3.8982678284567012</v>
      </c>
      <c r="AD233" s="30">
        <f t="shared" si="295"/>
        <v>4.0079655861279342</v>
      </c>
      <c r="AE233" s="30">
        <f t="shared" si="295"/>
        <v>3.8807800374799095</v>
      </c>
      <c r="AF233" s="30">
        <f t="shared" si="295"/>
        <v>4.0073893833703202</v>
      </c>
      <c r="AG233" s="30">
        <f t="shared" si="295"/>
        <v>4.0073912733703203</v>
      </c>
      <c r="AH233" s="30">
        <f t="shared" si="295"/>
        <v>3.8897148599820222</v>
      </c>
      <c r="AI233" s="30">
        <f t="shared" si="295"/>
        <v>4.0110692558724326</v>
      </c>
      <c r="AJ233" s="30">
        <f t="shared" si="295"/>
        <v>3.9016498424477755</v>
      </c>
      <c r="AK233" s="30">
        <f t="shared" si="295"/>
        <v>4.0023426518211815</v>
      </c>
      <c r="AL233" s="810">
        <f>SUM(Z233:AK233)</f>
        <v>47.162884640935815</v>
      </c>
      <c r="AM233" s="30">
        <f t="shared" si="295"/>
        <v>47.086316568922427</v>
      </c>
      <c r="AN233" s="30">
        <f t="shared" si="295"/>
        <v>46.728476173825342</v>
      </c>
      <c r="AO233" s="30">
        <f t="shared" si="295"/>
        <v>46.187527526229218</v>
      </c>
      <c r="AP233" s="30">
        <f t="shared" si="295"/>
        <v>45.672031402321018</v>
      </c>
      <c r="AQ233" s="30">
        <f t="shared" si="295"/>
        <v>45.079611382012061</v>
      </c>
      <c r="AR233" s="30">
        <f t="shared" si="295"/>
        <v>42.852504259480142</v>
      </c>
      <c r="AS233" s="30">
        <f t="shared" si="295"/>
        <v>40.200945414741241</v>
      </c>
      <c r="AT233" s="30">
        <f t="shared" si="295"/>
        <v>38.506243554889551</v>
      </c>
      <c r="AU233" s="30">
        <f t="shared" si="295"/>
        <v>37.78500426261197</v>
      </c>
      <c r="AV233" s="30">
        <f t="shared" si="295"/>
        <v>49.247819955978557</v>
      </c>
      <c r="AW233" s="30">
        <f t="shared" si="295"/>
        <v>47.555071233125901</v>
      </c>
      <c r="AX233" s="229"/>
      <c r="AY233" s="229"/>
    </row>
    <row r="234" spans="1:51">
      <c r="A234" s="29"/>
      <c r="B234" s="13" t="s">
        <v>181</v>
      </c>
      <c r="D234" s="30"/>
      <c r="E234" s="30"/>
      <c r="F234" s="30"/>
      <c r="G234" s="30"/>
      <c r="H234" s="30"/>
      <c r="I234" s="30"/>
      <c r="J234" s="30"/>
      <c r="K234" s="30"/>
      <c r="L234" s="356"/>
      <c r="M234" s="30">
        <f>M104</f>
        <v>0</v>
      </c>
      <c r="N234" s="30">
        <f>N104</f>
        <v>0</v>
      </c>
      <c r="O234" s="30">
        <f t="shared" ref="O234:X234" si="296">O104</f>
        <v>0</v>
      </c>
      <c r="P234" s="30">
        <f t="shared" si="296"/>
        <v>0</v>
      </c>
      <c r="Q234" s="30">
        <f t="shared" si="296"/>
        <v>0</v>
      </c>
      <c r="R234" s="30">
        <f t="shared" si="296"/>
        <v>0</v>
      </c>
      <c r="S234" s="30">
        <f t="shared" si="296"/>
        <v>0</v>
      </c>
      <c r="T234" s="30">
        <f t="shared" si="296"/>
        <v>0</v>
      </c>
      <c r="U234" s="30">
        <f t="shared" si="296"/>
        <v>0</v>
      </c>
      <c r="V234" s="30">
        <f t="shared" si="296"/>
        <v>0</v>
      </c>
      <c r="W234" s="30">
        <f t="shared" si="296"/>
        <v>0</v>
      </c>
      <c r="X234" s="30">
        <f t="shared" si="296"/>
        <v>0</v>
      </c>
      <c r="Y234" s="810">
        <f>SUM(M234:X234)</f>
        <v>0</v>
      </c>
      <c r="Z234" s="30">
        <f t="shared" ref="Z234:AW234" si="297">Z104</f>
        <v>0</v>
      </c>
      <c r="AA234" s="30">
        <f t="shared" si="297"/>
        <v>0</v>
      </c>
      <c r="AB234" s="30">
        <f t="shared" si="297"/>
        <v>0</v>
      </c>
      <c r="AC234" s="30">
        <f t="shared" si="297"/>
        <v>0</v>
      </c>
      <c r="AD234" s="30">
        <f t="shared" si="297"/>
        <v>0</v>
      </c>
      <c r="AE234" s="30">
        <f t="shared" si="297"/>
        <v>0</v>
      </c>
      <c r="AF234" s="30">
        <f t="shared" si="297"/>
        <v>0</v>
      </c>
      <c r="AG234" s="30">
        <f t="shared" si="297"/>
        <v>0</v>
      </c>
      <c r="AH234" s="30">
        <f t="shared" si="297"/>
        <v>0</v>
      </c>
      <c r="AI234" s="30">
        <f t="shared" si="297"/>
        <v>0</v>
      </c>
      <c r="AJ234" s="30">
        <f t="shared" si="297"/>
        <v>0</v>
      </c>
      <c r="AK234" s="30">
        <f t="shared" si="297"/>
        <v>0</v>
      </c>
      <c r="AL234" s="810">
        <f>SUM(Z234:AK234)</f>
        <v>0</v>
      </c>
      <c r="AM234" s="30">
        <f t="shared" si="297"/>
        <v>0</v>
      </c>
      <c r="AN234" s="30">
        <f t="shared" si="297"/>
        <v>0</v>
      </c>
      <c r="AO234" s="30">
        <f t="shared" si="297"/>
        <v>0</v>
      </c>
      <c r="AP234" s="30">
        <f t="shared" si="297"/>
        <v>0</v>
      </c>
      <c r="AQ234" s="30">
        <f t="shared" si="297"/>
        <v>0</v>
      </c>
      <c r="AR234" s="30">
        <f t="shared" si="297"/>
        <v>0</v>
      </c>
      <c r="AS234" s="30">
        <f t="shared" si="297"/>
        <v>0</v>
      </c>
      <c r="AT234" s="30">
        <f t="shared" si="297"/>
        <v>0</v>
      </c>
      <c r="AU234" s="30">
        <f t="shared" si="297"/>
        <v>0</v>
      </c>
      <c r="AV234" s="30">
        <f t="shared" si="297"/>
        <v>0</v>
      </c>
      <c r="AW234" s="30">
        <f t="shared" si="297"/>
        <v>0</v>
      </c>
      <c r="AX234" s="229"/>
      <c r="AY234" s="229"/>
    </row>
    <row r="235" spans="1:51">
      <c r="L235" s="356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81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81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229"/>
      <c r="AY235" s="229"/>
    </row>
    <row r="236" spans="1:51">
      <c r="B236" s="17" t="s">
        <v>173</v>
      </c>
      <c r="L236" s="356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81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81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229"/>
      <c r="AY236" s="229"/>
    </row>
    <row r="237" spans="1:51">
      <c r="B237" s="18" t="s">
        <v>174</v>
      </c>
      <c r="D237" s="16"/>
      <c r="E237" s="16"/>
      <c r="F237" s="16"/>
      <c r="G237" s="16"/>
      <c r="H237" s="16"/>
      <c r="I237" s="16"/>
      <c r="J237" s="16"/>
      <c r="K237" s="16"/>
      <c r="L237" s="356"/>
      <c r="M237" s="30">
        <f>M231-M234</f>
        <v>3.9063415694116728</v>
      </c>
      <c r="N237" s="30">
        <f t="shared" ref="N237:AW237" si="298">N231-N234</f>
        <v>1.7842724503579817</v>
      </c>
      <c r="O237" s="30">
        <f t="shared" si="298"/>
        <v>0.45753099716582701</v>
      </c>
      <c r="P237" s="30">
        <f t="shared" si="298"/>
        <v>-3.3998531121105615</v>
      </c>
      <c r="Q237" s="30">
        <f t="shared" si="298"/>
        <v>-5.8573687101801681</v>
      </c>
      <c r="R237" s="30">
        <f t="shared" si="298"/>
        <v>0.86520400302120493</v>
      </c>
      <c r="S237" s="30">
        <f t="shared" si="298"/>
        <v>2.7485524742805723</v>
      </c>
      <c r="T237" s="30">
        <f t="shared" si="298"/>
        <v>2.7426875214673787</v>
      </c>
      <c r="U237" s="30">
        <f t="shared" si="298"/>
        <v>-0.14420289917154605</v>
      </c>
      <c r="V237" s="30">
        <f t="shared" si="298"/>
        <v>-2.4970378922993959</v>
      </c>
      <c r="W237" s="30">
        <f t="shared" si="298"/>
        <v>0.38498363917544509</v>
      </c>
      <c r="X237" s="30">
        <f t="shared" si="298"/>
        <v>3.9652310465060339</v>
      </c>
      <c r="Y237" s="227">
        <f t="shared" si="298"/>
        <v>4.9563410876244802</v>
      </c>
      <c r="Z237" s="30">
        <f t="shared" si="298"/>
        <v>5.1542174808029699</v>
      </c>
      <c r="AA237" s="30">
        <f t="shared" si="298"/>
        <v>3.5472211054431853</v>
      </c>
      <c r="AB237" s="30">
        <f t="shared" si="298"/>
        <v>0.64358061278814205</v>
      </c>
      <c r="AC237" s="30">
        <f t="shared" si="298"/>
        <v>-6.6504885635399944</v>
      </c>
      <c r="AD237" s="30">
        <f t="shared" si="298"/>
        <v>-4.2200341661549601</v>
      </c>
      <c r="AE237" s="30">
        <f t="shared" si="298"/>
        <v>1.9088050186316323</v>
      </c>
      <c r="AF237" s="30">
        <f t="shared" si="298"/>
        <v>3.7245219874210207</v>
      </c>
      <c r="AG237" s="30">
        <f t="shared" si="298"/>
        <v>3.6062467717355915</v>
      </c>
      <c r="AH237" s="30">
        <f t="shared" si="298"/>
        <v>0.58511372641647341</v>
      </c>
      <c r="AI237" s="30">
        <f t="shared" si="298"/>
        <v>-1.7776284909910771</v>
      </c>
      <c r="AJ237" s="30">
        <f t="shared" si="298"/>
        <v>1.0901283836832789</v>
      </c>
      <c r="AK237" s="30">
        <f t="shared" si="298"/>
        <v>3.8128950141556643</v>
      </c>
      <c r="AL237" s="227">
        <f t="shared" si="298"/>
        <v>11.424578880391977</v>
      </c>
      <c r="AM237" s="30">
        <f t="shared" si="298"/>
        <v>11.406374047922739</v>
      </c>
      <c r="AN237" s="30">
        <f t="shared" si="298"/>
        <v>8.4975233860462804</v>
      </c>
      <c r="AO237" s="30">
        <f t="shared" si="298"/>
        <v>6.5520031807886188</v>
      </c>
      <c r="AP237" s="30">
        <f t="shared" si="298"/>
        <v>7.1657626060400625</v>
      </c>
      <c r="AQ237" s="30">
        <f t="shared" si="298"/>
        <v>10.926038416876155</v>
      </c>
      <c r="AR237" s="30">
        <f t="shared" si="298"/>
        <v>10.391853502524185</v>
      </c>
      <c r="AS237" s="30">
        <f t="shared" si="298"/>
        <v>9.7558011372276248</v>
      </c>
      <c r="AT237" s="30">
        <f t="shared" si="298"/>
        <v>9.3493954135762287</v>
      </c>
      <c r="AU237" s="30">
        <f t="shared" si="298"/>
        <v>9.1766216743108746</v>
      </c>
      <c r="AV237" s="30">
        <f t="shared" si="298"/>
        <v>11.928022102672648</v>
      </c>
      <c r="AW237" s="30">
        <f t="shared" si="298"/>
        <v>11.52208804512787</v>
      </c>
      <c r="AX237" s="229"/>
      <c r="AY237" s="229"/>
    </row>
    <row r="238" spans="1:51">
      <c r="B238" s="19" t="s">
        <v>175</v>
      </c>
      <c r="D238" s="16"/>
      <c r="E238" s="16"/>
      <c r="F238" s="16"/>
      <c r="G238" s="16"/>
      <c r="H238" s="16"/>
      <c r="I238" s="16"/>
      <c r="J238" s="16"/>
      <c r="K238" s="16"/>
      <c r="L238" s="356"/>
      <c r="M238" s="30">
        <f>+M233+M234</f>
        <v>3.801779070814082</v>
      </c>
      <c r="N238" s="30">
        <f>+N233+N234</f>
        <v>3.4943951115753671</v>
      </c>
      <c r="O238" s="30">
        <f t="shared" ref="O238:W238" si="299">+O233+O234</f>
        <v>3.9287821486613619</v>
      </c>
      <c r="P238" s="30">
        <f t="shared" si="299"/>
        <v>3.83665864991969</v>
      </c>
      <c r="Q238" s="30">
        <f t="shared" si="299"/>
        <v>3.9440452341408143</v>
      </c>
      <c r="R238" s="30">
        <f t="shared" si="299"/>
        <v>3.8024176742278777</v>
      </c>
      <c r="S238" s="30">
        <f t="shared" si="299"/>
        <v>3.9362067521730828</v>
      </c>
      <c r="T238" s="30">
        <f t="shared" si="299"/>
        <v>3.9362085321730831</v>
      </c>
      <c r="U238" s="30">
        <f t="shared" si="299"/>
        <v>3.8212760943723696</v>
      </c>
      <c r="V238" s="30">
        <f t="shared" si="299"/>
        <v>3.9734602275230535</v>
      </c>
      <c r="W238" s="30">
        <f t="shared" si="299"/>
        <v>3.8654261019066158</v>
      </c>
      <c r="X238" s="30">
        <f>+X233+X234</f>
        <v>3.9650209604738875</v>
      </c>
      <c r="Y238" s="810">
        <f>+Y233+Y234</f>
        <v>46.305676557961284</v>
      </c>
      <c r="Z238" s="30">
        <f t="shared" ref="Z238:AW238" si="300">+Z233+Z234</f>
        <v>3.9097754603369017</v>
      </c>
      <c r="AA238" s="30">
        <f t="shared" si="300"/>
        <v>3.6642238723916956</v>
      </c>
      <c r="AB238" s="30">
        <f t="shared" si="300"/>
        <v>3.9823145892786194</v>
      </c>
      <c r="AC238" s="30">
        <f t="shared" si="300"/>
        <v>3.8982678284567012</v>
      </c>
      <c r="AD238" s="30">
        <f t="shared" si="300"/>
        <v>4.0079655861279342</v>
      </c>
      <c r="AE238" s="30">
        <f t="shared" si="300"/>
        <v>3.8807800374799095</v>
      </c>
      <c r="AF238" s="30">
        <f t="shared" si="300"/>
        <v>4.0073893833703202</v>
      </c>
      <c r="AG238" s="30">
        <f t="shared" si="300"/>
        <v>4.0073912733703203</v>
      </c>
      <c r="AH238" s="30">
        <f t="shared" si="300"/>
        <v>3.8897148599820222</v>
      </c>
      <c r="AI238" s="30">
        <f t="shared" si="300"/>
        <v>4.0110692558724326</v>
      </c>
      <c r="AJ238" s="30">
        <f t="shared" si="300"/>
        <v>3.9016498424477755</v>
      </c>
      <c r="AK238" s="30">
        <f>+AK233+AK234</f>
        <v>4.0023426518211815</v>
      </c>
      <c r="AL238" s="810">
        <f>+AL233+AL234</f>
        <v>47.162884640935815</v>
      </c>
      <c r="AM238" s="30">
        <f>+AM233+AM234</f>
        <v>47.086316568922427</v>
      </c>
      <c r="AN238" s="30">
        <f t="shared" si="300"/>
        <v>46.728476173825342</v>
      </c>
      <c r="AO238" s="30">
        <f t="shared" si="300"/>
        <v>46.187527526229218</v>
      </c>
      <c r="AP238" s="30">
        <f t="shared" si="300"/>
        <v>45.672031402321018</v>
      </c>
      <c r="AQ238" s="30">
        <f t="shared" si="300"/>
        <v>45.079611382012061</v>
      </c>
      <c r="AR238" s="30">
        <f t="shared" si="300"/>
        <v>42.852504259480142</v>
      </c>
      <c r="AS238" s="30">
        <f t="shared" si="300"/>
        <v>40.200945414741241</v>
      </c>
      <c r="AT238" s="30">
        <f t="shared" si="300"/>
        <v>38.506243554889551</v>
      </c>
      <c r="AU238" s="30">
        <f t="shared" si="300"/>
        <v>37.78500426261197</v>
      </c>
      <c r="AV238" s="30">
        <f t="shared" si="300"/>
        <v>49.247819955978557</v>
      </c>
      <c r="AW238" s="30">
        <f t="shared" si="300"/>
        <v>47.555071233125901</v>
      </c>
      <c r="AX238" s="229"/>
      <c r="AY238" s="229"/>
    </row>
    <row r="239" spans="1:51">
      <c r="B239" s="19" t="s">
        <v>273</v>
      </c>
      <c r="D239" s="16"/>
      <c r="E239" s="16"/>
      <c r="F239" s="16"/>
      <c r="G239" s="16"/>
      <c r="H239" s="16"/>
      <c r="I239" s="16"/>
      <c r="J239" s="16"/>
      <c r="K239" s="16"/>
      <c r="L239" s="356"/>
      <c r="M239" s="30">
        <f>M109</f>
        <v>0</v>
      </c>
      <c r="N239" s="30">
        <f>N109</f>
        <v>0</v>
      </c>
      <c r="O239" s="30">
        <f t="shared" ref="O239:W239" si="301">O109</f>
        <v>0</v>
      </c>
      <c r="P239" s="30">
        <f t="shared" si="301"/>
        <v>0</v>
      </c>
      <c r="Q239" s="30">
        <f t="shared" si="301"/>
        <v>0</v>
      </c>
      <c r="R239" s="30">
        <f t="shared" si="301"/>
        <v>0</v>
      </c>
      <c r="S239" s="30">
        <f t="shared" si="301"/>
        <v>0</v>
      </c>
      <c r="T239" s="30">
        <f t="shared" si="301"/>
        <v>0</v>
      </c>
      <c r="U239" s="30">
        <f t="shared" si="301"/>
        <v>0</v>
      </c>
      <c r="V239" s="30">
        <f t="shared" si="301"/>
        <v>0</v>
      </c>
      <c r="W239" s="30">
        <f t="shared" si="301"/>
        <v>0</v>
      </c>
      <c r="X239" s="30">
        <f>X109</f>
        <v>0</v>
      </c>
      <c r="Y239" s="810">
        <f>Y109</f>
        <v>0</v>
      </c>
      <c r="Z239" s="30">
        <f t="shared" ref="Z239:AW239" si="302">Z109</f>
        <v>0</v>
      </c>
      <c r="AA239" s="30">
        <f t="shared" si="302"/>
        <v>0</v>
      </c>
      <c r="AB239" s="30">
        <f t="shared" si="302"/>
        <v>0</v>
      </c>
      <c r="AC239" s="30">
        <f t="shared" si="302"/>
        <v>0</v>
      </c>
      <c r="AD239" s="30">
        <f t="shared" si="302"/>
        <v>0</v>
      </c>
      <c r="AE239" s="30">
        <f t="shared" si="302"/>
        <v>0</v>
      </c>
      <c r="AF239" s="30">
        <f t="shared" si="302"/>
        <v>0</v>
      </c>
      <c r="AG239" s="30">
        <f t="shared" si="302"/>
        <v>0</v>
      </c>
      <c r="AH239" s="30">
        <f t="shared" si="302"/>
        <v>0</v>
      </c>
      <c r="AI239" s="30">
        <f t="shared" si="302"/>
        <v>0</v>
      </c>
      <c r="AJ239" s="30">
        <f t="shared" si="302"/>
        <v>0</v>
      </c>
      <c r="AK239" s="30">
        <f>AK109</f>
        <v>0</v>
      </c>
      <c r="AL239" s="810">
        <f>AL109</f>
        <v>0</v>
      </c>
      <c r="AM239" s="30">
        <f t="shared" si="302"/>
        <v>0</v>
      </c>
      <c r="AN239" s="30">
        <f t="shared" si="302"/>
        <v>0</v>
      </c>
      <c r="AO239" s="30">
        <f t="shared" si="302"/>
        <v>0</v>
      </c>
      <c r="AP239" s="30">
        <f t="shared" si="302"/>
        <v>0</v>
      </c>
      <c r="AQ239" s="30">
        <f t="shared" si="302"/>
        <v>0</v>
      </c>
      <c r="AR239" s="30">
        <f t="shared" si="302"/>
        <v>0</v>
      </c>
      <c r="AS239" s="30">
        <f t="shared" si="302"/>
        <v>0</v>
      </c>
      <c r="AT239" s="30">
        <f t="shared" si="302"/>
        <v>0</v>
      </c>
      <c r="AU239" s="30">
        <f t="shared" si="302"/>
        <v>0</v>
      </c>
      <c r="AV239" s="30">
        <f t="shared" si="302"/>
        <v>0</v>
      </c>
      <c r="AW239" s="30">
        <f t="shared" si="302"/>
        <v>0</v>
      </c>
      <c r="AX239" s="229"/>
      <c r="AY239" s="229"/>
    </row>
    <row r="240" spans="1:51">
      <c r="B240" s="19"/>
      <c r="D240" s="16"/>
      <c r="E240" s="16"/>
      <c r="F240" s="16"/>
      <c r="G240" s="16"/>
      <c r="H240" s="16"/>
      <c r="I240" s="16"/>
      <c r="J240" s="16"/>
      <c r="K240" s="16"/>
      <c r="L240" s="356"/>
      <c r="M240" s="30">
        <f>IF($Y$125&gt;0,-M239,0)</f>
        <v>0</v>
      </c>
      <c r="N240" s="30">
        <f t="shared" ref="N240:X240" si="303">IF($Y$125&gt;0,-N239,0)</f>
        <v>0</v>
      </c>
      <c r="O240" s="30">
        <f t="shared" si="303"/>
        <v>0</v>
      </c>
      <c r="P240" s="30">
        <f t="shared" si="303"/>
        <v>0</v>
      </c>
      <c r="Q240" s="30">
        <f t="shared" si="303"/>
        <v>0</v>
      </c>
      <c r="R240" s="30">
        <f t="shared" si="303"/>
        <v>0</v>
      </c>
      <c r="S240" s="30">
        <f t="shared" si="303"/>
        <v>0</v>
      </c>
      <c r="T240" s="30">
        <f t="shared" si="303"/>
        <v>0</v>
      </c>
      <c r="U240" s="30">
        <f t="shared" si="303"/>
        <v>0</v>
      </c>
      <c r="V240" s="30">
        <f t="shared" si="303"/>
        <v>0</v>
      </c>
      <c r="W240" s="30">
        <f t="shared" si="303"/>
        <v>0</v>
      </c>
      <c r="X240" s="30">
        <f t="shared" si="303"/>
        <v>0</v>
      </c>
      <c r="Y240" s="810">
        <f>SUM(M240:X240)</f>
        <v>0</v>
      </c>
      <c r="Z240" s="30">
        <f>IF($AL$125&gt;0,-Z239,0)</f>
        <v>0</v>
      </c>
      <c r="AA240" s="30">
        <f t="shared" ref="AA240:AK240" si="304">IF($AL$125&gt;0,-AA239,0)</f>
        <v>0</v>
      </c>
      <c r="AB240" s="30">
        <f t="shared" si="304"/>
        <v>0</v>
      </c>
      <c r="AC240" s="30">
        <f t="shared" si="304"/>
        <v>0</v>
      </c>
      <c r="AD240" s="30">
        <f t="shared" si="304"/>
        <v>0</v>
      </c>
      <c r="AE240" s="30">
        <f t="shared" si="304"/>
        <v>0</v>
      </c>
      <c r="AF240" s="30">
        <f t="shared" si="304"/>
        <v>0</v>
      </c>
      <c r="AG240" s="30">
        <f t="shared" si="304"/>
        <v>0</v>
      </c>
      <c r="AH240" s="30">
        <f t="shared" si="304"/>
        <v>0</v>
      </c>
      <c r="AI240" s="30">
        <f t="shared" si="304"/>
        <v>0</v>
      </c>
      <c r="AJ240" s="30">
        <f t="shared" si="304"/>
        <v>0</v>
      </c>
      <c r="AK240" s="30">
        <f t="shared" si="304"/>
        <v>0</v>
      </c>
      <c r="AL240" s="810">
        <f>SUM(Z240:AK240)</f>
        <v>0</v>
      </c>
      <c r="AM240" s="30">
        <f t="shared" ref="AM240:AW240" si="305">IF(AM125&gt;0,-AM239,0)</f>
        <v>0</v>
      </c>
      <c r="AN240" s="30">
        <f t="shared" si="305"/>
        <v>0</v>
      </c>
      <c r="AO240" s="30">
        <f t="shared" si="305"/>
        <v>0</v>
      </c>
      <c r="AP240" s="30">
        <f t="shared" si="305"/>
        <v>0</v>
      </c>
      <c r="AQ240" s="30">
        <f t="shared" si="305"/>
        <v>0</v>
      </c>
      <c r="AR240" s="30">
        <f t="shared" si="305"/>
        <v>0</v>
      </c>
      <c r="AS240" s="30">
        <f t="shared" si="305"/>
        <v>0</v>
      </c>
      <c r="AT240" s="30">
        <f t="shared" si="305"/>
        <v>0</v>
      </c>
      <c r="AU240" s="30">
        <f t="shared" si="305"/>
        <v>0</v>
      </c>
      <c r="AV240" s="30">
        <f t="shared" si="305"/>
        <v>0</v>
      </c>
      <c r="AW240" s="30">
        <f t="shared" si="305"/>
        <v>0</v>
      </c>
      <c r="AX240" s="229"/>
      <c r="AY240" s="229"/>
    </row>
    <row r="241" spans="2:51">
      <c r="B241" s="19" t="s">
        <v>176</v>
      </c>
      <c r="D241" s="22"/>
      <c r="E241" s="22"/>
      <c r="F241" s="22"/>
      <c r="G241" s="22"/>
      <c r="H241" s="22"/>
      <c r="I241" s="22"/>
      <c r="J241" s="22"/>
      <c r="K241" s="22"/>
      <c r="L241" s="356"/>
      <c r="M241" s="228">
        <f>M110</f>
        <v>-8.9200249162191773E-3</v>
      </c>
      <c r="N241" s="228">
        <f>N110</f>
        <v>-8.0588495261724995E-3</v>
      </c>
      <c r="O241" s="228">
        <f t="shared" ref="O241:W241" si="306">O110</f>
        <v>-8.924351040392171E-3</v>
      </c>
      <c r="P241" s="228">
        <f t="shared" si="306"/>
        <v>-8.6386692736806873E-3</v>
      </c>
      <c r="Q241" s="228">
        <f t="shared" si="306"/>
        <v>-8.9288260017324692E-3</v>
      </c>
      <c r="R241" s="228">
        <f t="shared" si="306"/>
        <v>-8.6430009848444886E-3</v>
      </c>
      <c r="S241" s="228">
        <f t="shared" si="306"/>
        <v>-8.9333032069646677E-3</v>
      </c>
      <c r="T241" s="228">
        <f t="shared" si="306"/>
        <v>-8.9355793636721938E-3</v>
      </c>
      <c r="U241" s="228">
        <f t="shared" si="306"/>
        <v>-8.6495381616115939E-3</v>
      </c>
      <c r="V241" s="228">
        <f t="shared" si="306"/>
        <v>-8.940059955260829E-3</v>
      </c>
      <c r="W241" s="228">
        <f t="shared" si="306"/>
        <v>-8.653875322791096E-3</v>
      </c>
      <c r="X241" s="228">
        <f>X110</f>
        <v>-8.9445427935645524E-3</v>
      </c>
      <c r="Y241" s="812">
        <f>Y110</f>
        <v>-0.10517062054690642</v>
      </c>
      <c r="Z241" s="228">
        <f t="shared" ref="Z241:AW241" si="307">Z110</f>
        <v>-8.9468218140571591E-3</v>
      </c>
      <c r="AA241" s="228">
        <f t="shared" si="307"/>
        <v>-8.0830593427899233E-3</v>
      </c>
      <c r="AB241" s="228">
        <f t="shared" si="307"/>
        <v>-8.9511609344615044E-3</v>
      </c>
      <c r="AC241" s="228">
        <f t="shared" si="307"/>
        <v>-8.6646209431162722E-3</v>
      </c>
      <c r="AD241" s="228">
        <f t="shared" si="307"/>
        <v>-8.9556493391590806E-3</v>
      </c>
      <c r="AE241" s="228">
        <f t="shared" si="307"/>
        <v>-8.6689656672954644E-3</v>
      </c>
      <c r="AF241" s="228">
        <f t="shared" si="307"/>
        <v>-8.9601399944894897E-3</v>
      </c>
      <c r="AG241" s="228">
        <f t="shared" si="307"/>
        <v>-8.9624229890634313E-3</v>
      </c>
      <c r="AH241" s="228">
        <f t="shared" si="307"/>
        <v>-8.675522482579235E-3</v>
      </c>
      <c r="AI241" s="228">
        <f t="shared" si="307"/>
        <v>-8.9669170409233286E-3</v>
      </c>
      <c r="AJ241" s="228">
        <f t="shared" si="307"/>
        <v>-8.679872673146672E-3</v>
      </c>
      <c r="AK241" s="228">
        <f>AK110</f>
        <v>-8.9714133462477346E-3</v>
      </c>
      <c r="AL241" s="812">
        <f>AL110</f>
        <v>-0.10548656656732928</v>
      </c>
      <c r="AM241" s="228">
        <f t="shared" si="307"/>
        <v>-0.10565807138134271</v>
      </c>
      <c r="AN241" s="228">
        <f t="shared" si="307"/>
        <v>-0.10597504559548673</v>
      </c>
      <c r="AO241" s="228">
        <f t="shared" si="307"/>
        <v>-0.10629297073227319</v>
      </c>
      <c r="AP241" s="228">
        <f t="shared" si="307"/>
        <v>-0.10661184964447003</v>
      </c>
      <c r="AQ241" s="228">
        <f t="shared" si="307"/>
        <v>-0.10693168519340344</v>
      </c>
      <c r="AR241" s="228">
        <f t="shared" si="307"/>
        <v>-0.10725248024898365</v>
      </c>
      <c r="AS241" s="228">
        <f t="shared" si="307"/>
        <v>-0.1075742376897306</v>
      </c>
      <c r="AT241" s="228">
        <f t="shared" si="307"/>
        <v>-0.10789696040279979</v>
      </c>
      <c r="AU241" s="228">
        <f t="shared" si="307"/>
        <v>-0.10822065128400818</v>
      </c>
      <c r="AV241" s="228">
        <f t="shared" si="307"/>
        <v>-0.10854531323786021</v>
      </c>
      <c r="AW241" s="228">
        <f t="shared" si="307"/>
        <v>-0.10887094917757378</v>
      </c>
      <c r="AX241" s="229"/>
      <c r="AY241" s="229"/>
    </row>
    <row r="242" spans="2:51">
      <c r="B242" s="18" t="s">
        <v>131</v>
      </c>
      <c r="D242" s="16"/>
      <c r="E242" s="16"/>
      <c r="F242" s="16"/>
      <c r="G242" s="16"/>
      <c r="H242" s="16"/>
      <c r="I242" s="16"/>
      <c r="J242" s="16"/>
      <c r="K242" s="16"/>
      <c r="L242" s="356"/>
      <c r="M242" s="30">
        <f>+M237+M238+M239+M240+M241</f>
        <v>7.6992006153095351</v>
      </c>
      <c r="N242" s="30">
        <f t="shared" ref="N242:X242" si="308">+N237+N238+N239+N240+N241</f>
        <v>5.2706087124071761</v>
      </c>
      <c r="O242" s="30">
        <f t="shared" si="308"/>
        <v>4.3773887947867971</v>
      </c>
      <c r="P242" s="30">
        <f t="shared" si="308"/>
        <v>0.42816686853544778</v>
      </c>
      <c r="Q242" s="30">
        <f t="shared" si="308"/>
        <v>-1.9222523020410862</v>
      </c>
      <c r="R242" s="30">
        <f t="shared" si="308"/>
        <v>4.6589786762642378</v>
      </c>
      <c r="S242" s="30">
        <f t="shared" si="308"/>
        <v>6.6758259232466912</v>
      </c>
      <c r="T242" s="30">
        <f t="shared" si="308"/>
        <v>6.66996047427679</v>
      </c>
      <c r="U242" s="30">
        <f t="shared" si="308"/>
        <v>3.6684236570392121</v>
      </c>
      <c r="V242" s="30">
        <f t="shared" si="308"/>
        <v>1.4674822752683967</v>
      </c>
      <c r="W242" s="30">
        <f t="shared" si="308"/>
        <v>4.24175586575927</v>
      </c>
      <c r="X242" s="30">
        <f t="shared" si="308"/>
        <v>7.9213074641863574</v>
      </c>
      <c r="Y242" s="810">
        <f>+Y237+Y238+Y239+Y240+Y241</f>
        <v>51.156847025038857</v>
      </c>
      <c r="Z242" s="30">
        <f>+Z237+Z238+Z239+Z240+Z241</f>
        <v>9.0550461193258158</v>
      </c>
      <c r="AA242" s="30">
        <f t="shared" ref="AA242:AK242" si="309">+AA237+AA238+AA239+AA240+AA241</f>
        <v>7.2033619184920905</v>
      </c>
      <c r="AB242" s="30">
        <f t="shared" si="309"/>
        <v>4.6169440411322995</v>
      </c>
      <c r="AC242" s="30">
        <f t="shared" si="309"/>
        <v>-2.7608853560264097</v>
      </c>
      <c r="AD242" s="30">
        <f t="shared" si="309"/>
        <v>-0.22102422936618496</v>
      </c>
      <c r="AE242" s="30">
        <f t="shared" si="309"/>
        <v>5.7809160904442463</v>
      </c>
      <c r="AF242" s="30">
        <f t="shared" si="309"/>
        <v>7.7229512307968511</v>
      </c>
      <c r="AG242" s="30">
        <f t="shared" si="309"/>
        <v>7.6046756221168481</v>
      </c>
      <c r="AH242" s="30">
        <f t="shared" si="309"/>
        <v>4.4661530639159164</v>
      </c>
      <c r="AI242" s="30">
        <f t="shared" si="309"/>
        <v>2.2244738478404322</v>
      </c>
      <c r="AJ242" s="30">
        <f t="shared" si="309"/>
        <v>4.9830983534579074</v>
      </c>
      <c r="AK242" s="30">
        <f t="shared" si="309"/>
        <v>7.8062662526305981</v>
      </c>
      <c r="AL242" s="810">
        <f>+AL237+AL238+AL239+AL240+AL241</f>
        <v>58.481976954760462</v>
      </c>
      <c r="AM242" s="30">
        <f>+AM237+AM238+AM239+AM240+AM241</f>
        <v>58.387032545463825</v>
      </c>
      <c r="AN242" s="30">
        <f t="shared" ref="AN242:AW242" si="310">+AN237+AN238+AN239+AN240+AN241</f>
        <v>55.120024514276139</v>
      </c>
      <c r="AO242" s="30">
        <f t="shared" si="310"/>
        <v>52.633237736285558</v>
      </c>
      <c r="AP242" s="30">
        <f t="shared" si="310"/>
        <v>52.731182158716607</v>
      </c>
      <c r="AQ242" s="30">
        <f t="shared" si="310"/>
        <v>55.898718113694812</v>
      </c>
      <c r="AR242" s="30">
        <f t="shared" si="310"/>
        <v>53.137105281755346</v>
      </c>
      <c r="AS242" s="30">
        <f t="shared" si="310"/>
        <v>49.84917231427913</v>
      </c>
      <c r="AT242" s="30">
        <f t="shared" si="310"/>
        <v>47.747742008062986</v>
      </c>
      <c r="AU242" s="30">
        <f t="shared" si="310"/>
        <v>46.853405285638836</v>
      </c>
      <c r="AV242" s="30">
        <f t="shared" si="310"/>
        <v>61.067296745413344</v>
      </c>
      <c r="AW242" s="30">
        <f t="shared" si="310"/>
        <v>58.968288329076202</v>
      </c>
      <c r="AX242" s="229"/>
      <c r="AY242" s="229"/>
    </row>
    <row r="243" spans="2:51">
      <c r="B243" s="18" t="s">
        <v>177</v>
      </c>
      <c r="D243" s="22"/>
      <c r="E243" s="22"/>
      <c r="F243" s="22"/>
      <c r="G243" s="22"/>
      <c r="H243" s="22"/>
      <c r="I243" s="22"/>
      <c r="J243" s="22"/>
      <c r="K243" s="22"/>
      <c r="L243" s="358"/>
      <c r="M243" s="228">
        <f>M112</f>
        <v>0</v>
      </c>
      <c r="N243" s="228">
        <f>N112</f>
        <v>0</v>
      </c>
      <c r="O243" s="228">
        <f t="shared" ref="O243:W243" si="311">O112</f>
        <v>0</v>
      </c>
      <c r="P243" s="228">
        <f t="shared" si="311"/>
        <v>0</v>
      </c>
      <c r="Q243" s="228">
        <f t="shared" si="311"/>
        <v>0</v>
      </c>
      <c r="R243" s="228">
        <f t="shared" si="311"/>
        <v>0</v>
      </c>
      <c r="S243" s="228">
        <f t="shared" si="311"/>
        <v>0</v>
      </c>
      <c r="T243" s="228">
        <f t="shared" si="311"/>
        <v>0</v>
      </c>
      <c r="U243" s="228">
        <f t="shared" si="311"/>
        <v>0</v>
      </c>
      <c r="V243" s="228">
        <f t="shared" si="311"/>
        <v>0</v>
      </c>
      <c r="W243" s="228">
        <f t="shared" si="311"/>
        <v>0</v>
      </c>
      <c r="X243" s="228">
        <f>X112</f>
        <v>0</v>
      </c>
      <c r="Y243" s="812">
        <f>Y112</f>
        <v>0</v>
      </c>
      <c r="Z243" s="228">
        <f t="shared" ref="Z243:AW243" si="312">Z112</f>
        <v>0</v>
      </c>
      <c r="AA243" s="228">
        <f t="shared" si="312"/>
        <v>0</v>
      </c>
      <c r="AB243" s="228">
        <f t="shared" si="312"/>
        <v>0</v>
      </c>
      <c r="AC243" s="228">
        <f t="shared" si="312"/>
        <v>0</v>
      </c>
      <c r="AD243" s="228">
        <f t="shared" si="312"/>
        <v>0</v>
      </c>
      <c r="AE243" s="228">
        <f t="shared" si="312"/>
        <v>0</v>
      </c>
      <c r="AF243" s="228">
        <f t="shared" si="312"/>
        <v>0</v>
      </c>
      <c r="AG243" s="228">
        <f t="shared" si="312"/>
        <v>0</v>
      </c>
      <c r="AH243" s="228">
        <f t="shared" si="312"/>
        <v>0</v>
      </c>
      <c r="AI243" s="228">
        <f t="shared" si="312"/>
        <v>0</v>
      </c>
      <c r="AJ243" s="228">
        <f t="shared" si="312"/>
        <v>0</v>
      </c>
      <c r="AK243" s="228">
        <f>AK112</f>
        <v>0</v>
      </c>
      <c r="AL243" s="812">
        <f>AL112</f>
        <v>0</v>
      </c>
      <c r="AM243" s="228">
        <f t="shared" si="312"/>
        <v>0</v>
      </c>
      <c r="AN243" s="228">
        <f t="shared" si="312"/>
        <v>0</v>
      </c>
      <c r="AO243" s="228">
        <f t="shared" si="312"/>
        <v>0</v>
      </c>
      <c r="AP243" s="228">
        <f t="shared" si="312"/>
        <v>0</v>
      </c>
      <c r="AQ243" s="228">
        <f t="shared" si="312"/>
        <v>0</v>
      </c>
      <c r="AR243" s="228">
        <f t="shared" si="312"/>
        <v>0</v>
      </c>
      <c r="AS243" s="228">
        <f t="shared" si="312"/>
        <v>0</v>
      </c>
      <c r="AT243" s="228">
        <f t="shared" si="312"/>
        <v>0</v>
      </c>
      <c r="AU243" s="228">
        <f t="shared" si="312"/>
        <v>0</v>
      </c>
      <c r="AV243" s="228">
        <f t="shared" si="312"/>
        <v>0</v>
      </c>
      <c r="AW243" s="228">
        <f t="shared" si="312"/>
        <v>0</v>
      </c>
      <c r="AX243" s="229"/>
      <c r="AY243" s="229"/>
    </row>
    <row r="244" spans="2:51">
      <c r="B244" s="20" t="s">
        <v>131</v>
      </c>
      <c r="D244" s="16"/>
      <c r="E244" s="16"/>
      <c r="F244" s="16"/>
      <c r="G244" s="16"/>
      <c r="H244" s="16"/>
      <c r="I244" s="16"/>
      <c r="J244" s="16"/>
      <c r="K244" s="16"/>
      <c r="L244" s="356"/>
      <c r="M244" s="30">
        <f>+M242+M243</f>
        <v>7.6992006153095351</v>
      </c>
      <c r="N244" s="30">
        <f>+N242+N243</f>
        <v>5.2706087124071761</v>
      </c>
      <c r="O244" s="30">
        <f t="shared" ref="O244:Y244" si="313">+O242+O243</f>
        <v>4.3773887947867971</v>
      </c>
      <c r="P244" s="30">
        <f t="shared" si="313"/>
        <v>0.42816686853544778</v>
      </c>
      <c r="Q244" s="30">
        <f t="shared" si="313"/>
        <v>-1.9222523020410862</v>
      </c>
      <c r="R244" s="30">
        <f t="shared" si="313"/>
        <v>4.6589786762642378</v>
      </c>
      <c r="S244" s="30">
        <f t="shared" si="313"/>
        <v>6.6758259232466912</v>
      </c>
      <c r="T244" s="30">
        <f t="shared" si="313"/>
        <v>6.66996047427679</v>
      </c>
      <c r="U244" s="30">
        <f t="shared" si="313"/>
        <v>3.6684236570392121</v>
      </c>
      <c r="V244" s="30">
        <f t="shared" si="313"/>
        <v>1.4674822752683967</v>
      </c>
      <c r="W244" s="30">
        <f t="shared" si="313"/>
        <v>4.24175586575927</v>
      </c>
      <c r="X244" s="30">
        <f t="shared" si="313"/>
        <v>7.9213074641863574</v>
      </c>
      <c r="Y244" s="810">
        <f t="shared" si="313"/>
        <v>51.156847025038857</v>
      </c>
      <c r="Z244" s="30">
        <f t="shared" ref="Z244:AL244" si="314">+Z242+Z243</f>
        <v>9.0550461193258158</v>
      </c>
      <c r="AA244" s="30">
        <f t="shared" si="314"/>
        <v>7.2033619184920905</v>
      </c>
      <c r="AB244" s="30">
        <f t="shared" si="314"/>
        <v>4.6169440411322995</v>
      </c>
      <c r="AC244" s="30">
        <f t="shared" si="314"/>
        <v>-2.7608853560264097</v>
      </c>
      <c r="AD244" s="30">
        <f t="shared" si="314"/>
        <v>-0.22102422936618496</v>
      </c>
      <c r="AE244" s="30">
        <f t="shared" si="314"/>
        <v>5.7809160904442463</v>
      </c>
      <c r="AF244" s="30">
        <f t="shared" si="314"/>
        <v>7.7229512307968511</v>
      </c>
      <c r="AG244" s="30">
        <f t="shared" si="314"/>
        <v>7.6046756221168481</v>
      </c>
      <c r="AH244" s="30">
        <f t="shared" si="314"/>
        <v>4.4661530639159164</v>
      </c>
      <c r="AI244" s="30">
        <f t="shared" si="314"/>
        <v>2.2244738478404322</v>
      </c>
      <c r="AJ244" s="30">
        <f t="shared" si="314"/>
        <v>4.9830983534579074</v>
      </c>
      <c r="AK244" s="30">
        <f t="shared" si="314"/>
        <v>7.8062662526305981</v>
      </c>
      <c r="AL244" s="810">
        <f t="shared" si="314"/>
        <v>58.481976954760462</v>
      </c>
      <c r="AM244" s="30">
        <f t="shared" ref="AM244:AW244" si="315">+AM242+AM243</f>
        <v>58.387032545463825</v>
      </c>
      <c r="AN244" s="30">
        <f t="shared" si="315"/>
        <v>55.120024514276139</v>
      </c>
      <c r="AO244" s="30">
        <f t="shared" si="315"/>
        <v>52.633237736285558</v>
      </c>
      <c r="AP244" s="30">
        <f t="shared" si="315"/>
        <v>52.731182158716607</v>
      </c>
      <c r="AQ244" s="30">
        <f t="shared" si="315"/>
        <v>55.898718113694812</v>
      </c>
      <c r="AR244" s="30">
        <f t="shared" si="315"/>
        <v>53.137105281755346</v>
      </c>
      <c r="AS244" s="30">
        <f t="shared" si="315"/>
        <v>49.84917231427913</v>
      </c>
      <c r="AT244" s="30">
        <f t="shared" si="315"/>
        <v>47.747742008062986</v>
      </c>
      <c r="AU244" s="30">
        <f t="shared" si="315"/>
        <v>46.853405285638836</v>
      </c>
      <c r="AV244" s="30">
        <f t="shared" si="315"/>
        <v>61.067296745413344</v>
      </c>
      <c r="AW244" s="30">
        <f t="shared" si="315"/>
        <v>58.968288329076202</v>
      </c>
      <c r="AX244" s="229"/>
      <c r="AY244" s="229"/>
    </row>
    <row r="245" spans="2:51">
      <c r="B245" s="21" t="s">
        <v>178</v>
      </c>
      <c r="L245" s="356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81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81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229"/>
      <c r="AY245" s="229"/>
    </row>
    <row r="246" spans="2:51">
      <c r="B246" s="19" t="s">
        <v>179</v>
      </c>
      <c r="D246" s="16"/>
      <c r="E246" s="16"/>
      <c r="F246" s="16"/>
      <c r="G246" s="16"/>
      <c r="H246" s="16"/>
      <c r="I246" s="16"/>
      <c r="J246" s="16"/>
      <c r="K246" s="16"/>
      <c r="L246" s="356"/>
      <c r="M246" s="30">
        <f>+M233+M234</f>
        <v>3.801779070814082</v>
      </c>
      <c r="N246" s="30">
        <f>+N233+N234</f>
        <v>3.4943951115753671</v>
      </c>
      <c r="O246" s="30">
        <f t="shared" ref="O246:X246" si="316">+O233+O234</f>
        <v>3.9287821486613619</v>
      </c>
      <c r="P246" s="30">
        <f t="shared" si="316"/>
        <v>3.83665864991969</v>
      </c>
      <c r="Q246" s="30">
        <f t="shared" si="316"/>
        <v>3.9440452341408143</v>
      </c>
      <c r="R246" s="30">
        <f t="shared" si="316"/>
        <v>3.8024176742278777</v>
      </c>
      <c r="S246" s="30">
        <f t="shared" si="316"/>
        <v>3.9362067521730828</v>
      </c>
      <c r="T246" s="30">
        <f t="shared" si="316"/>
        <v>3.9362085321730831</v>
      </c>
      <c r="U246" s="30">
        <f t="shared" si="316"/>
        <v>3.8212760943723696</v>
      </c>
      <c r="V246" s="30">
        <f t="shared" si="316"/>
        <v>3.9734602275230535</v>
      </c>
      <c r="W246" s="30">
        <f t="shared" si="316"/>
        <v>3.8654261019066158</v>
      </c>
      <c r="X246" s="30">
        <f t="shared" si="316"/>
        <v>3.9650209604738875</v>
      </c>
      <c r="Y246" s="810">
        <f>+Y233+Y234</f>
        <v>46.305676557961284</v>
      </c>
      <c r="Z246" s="30">
        <f t="shared" ref="Z246:AW246" si="317">+Z233+Z234</f>
        <v>3.9097754603369017</v>
      </c>
      <c r="AA246" s="30">
        <f t="shared" si="317"/>
        <v>3.6642238723916956</v>
      </c>
      <c r="AB246" s="30">
        <f t="shared" si="317"/>
        <v>3.9823145892786194</v>
      </c>
      <c r="AC246" s="30">
        <f t="shared" si="317"/>
        <v>3.8982678284567012</v>
      </c>
      <c r="AD246" s="30">
        <f t="shared" si="317"/>
        <v>4.0079655861279342</v>
      </c>
      <c r="AE246" s="30">
        <f t="shared" si="317"/>
        <v>3.8807800374799095</v>
      </c>
      <c r="AF246" s="30">
        <f t="shared" si="317"/>
        <v>4.0073893833703202</v>
      </c>
      <c r="AG246" s="30">
        <f t="shared" si="317"/>
        <v>4.0073912733703203</v>
      </c>
      <c r="AH246" s="30">
        <f t="shared" si="317"/>
        <v>3.8897148599820222</v>
      </c>
      <c r="AI246" s="30">
        <f t="shared" si="317"/>
        <v>4.0110692558724326</v>
      </c>
      <c r="AJ246" s="30">
        <f t="shared" si="317"/>
        <v>3.9016498424477755</v>
      </c>
      <c r="AK246" s="30">
        <f t="shared" si="317"/>
        <v>4.0023426518211815</v>
      </c>
      <c r="AL246" s="810">
        <f t="shared" si="317"/>
        <v>47.162884640935815</v>
      </c>
      <c r="AM246" s="30">
        <f t="shared" si="317"/>
        <v>47.086316568922427</v>
      </c>
      <c r="AN246" s="30">
        <f t="shared" si="317"/>
        <v>46.728476173825342</v>
      </c>
      <c r="AO246" s="30">
        <f t="shared" si="317"/>
        <v>46.187527526229218</v>
      </c>
      <c r="AP246" s="30">
        <f t="shared" si="317"/>
        <v>45.672031402321018</v>
      </c>
      <c r="AQ246" s="30">
        <f t="shared" si="317"/>
        <v>45.079611382012061</v>
      </c>
      <c r="AR246" s="30">
        <f t="shared" si="317"/>
        <v>42.852504259480142</v>
      </c>
      <c r="AS246" s="30">
        <f t="shared" si="317"/>
        <v>40.200945414741241</v>
      </c>
      <c r="AT246" s="30">
        <f t="shared" si="317"/>
        <v>38.506243554889551</v>
      </c>
      <c r="AU246" s="30">
        <f t="shared" si="317"/>
        <v>37.78500426261197</v>
      </c>
      <c r="AV246" s="30">
        <f t="shared" si="317"/>
        <v>49.247819955978557</v>
      </c>
      <c r="AW246" s="30">
        <f t="shared" si="317"/>
        <v>47.555071233125901</v>
      </c>
      <c r="AX246" s="229"/>
      <c r="AY246" s="229"/>
    </row>
    <row r="247" spans="2:51">
      <c r="B247" s="18" t="s">
        <v>177</v>
      </c>
      <c r="D247" s="22"/>
      <c r="E247" s="22"/>
      <c r="F247" s="22"/>
      <c r="G247" s="22"/>
      <c r="H247" s="22"/>
      <c r="I247" s="22"/>
      <c r="J247" s="22"/>
      <c r="K247" s="22"/>
      <c r="L247" s="358"/>
      <c r="M247" s="228">
        <f>M116</f>
        <v>0</v>
      </c>
      <c r="N247" s="228">
        <f>N116</f>
        <v>0</v>
      </c>
      <c r="O247" s="228">
        <f t="shared" ref="O247:X247" si="318">O116</f>
        <v>0</v>
      </c>
      <c r="P247" s="228">
        <f t="shared" si="318"/>
        <v>0</v>
      </c>
      <c r="Q247" s="228">
        <f t="shared" si="318"/>
        <v>0</v>
      </c>
      <c r="R247" s="228">
        <f t="shared" si="318"/>
        <v>0</v>
      </c>
      <c r="S247" s="228">
        <f t="shared" si="318"/>
        <v>0</v>
      </c>
      <c r="T247" s="228">
        <f t="shared" si="318"/>
        <v>0</v>
      </c>
      <c r="U247" s="228">
        <f t="shared" si="318"/>
        <v>0</v>
      </c>
      <c r="V247" s="228">
        <f t="shared" si="318"/>
        <v>0</v>
      </c>
      <c r="W247" s="228">
        <f t="shared" si="318"/>
        <v>0</v>
      </c>
      <c r="X247" s="228">
        <f t="shared" si="318"/>
        <v>0</v>
      </c>
      <c r="Y247" s="812">
        <f>Y116</f>
        <v>0</v>
      </c>
      <c r="Z247" s="228">
        <f t="shared" ref="Z247:AL247" si="319">Z116</f>
        <v>0</v>
      </c>
      <c r="AA247" s="228">
        <f t="shared" si="319"/>
        <v>0</v>
      </c>
      <c r="AB247" s="228">
        <f t="shared" si="319"/>
        <v>0</v>
      </c>
      <c r="AC247" s="228">
        <f t="shared" si="319"/>
        <v>0</v>
      </c>
      <c r="AD247" s="228">
        <f t="shared" si="319"/>
        <v>0</v>
      </c>
      <c r="AE247" s="228">
        <f t="shared" si="319"/>
        <v>0</v>
      </c>
      <c r="AF247" s="228">
        <f t="shared" si="319"/>
        <v>0</v>
      </c>
      <c r="AG247" s="228">
        <f t="shared" si="319"/>
        <v>0</v>
      </c>
      <c r="AH247" s="228">
        <f t="shared" si="319"/>
        <v>0</v>
      </c>
      <c r="AI247" s="228">
        <f t="shared" si="319"/>
        <v>0</v>
      </c>
      <c r="AJ247" s="228">
        <f t="shared" si="319"/>
        <v>0</v>
      </c>
      <c r="AK247" s="228">
        <f t="shared" si="319"/>
        <v>0</v>
      </c>
      <c r="AL247" s="812">
        <f t="shared" si="319"/>
        <v>0</v>
      </c>
      <c r="AM247" s="228">
        <f t="shared" ref="AM247:AW247" si="320">AM116</f>
        <v>0</v>
      </c>
      <c r="AN247" s="228">
        <f t="shared" si="320"/>
        <v>0</v>
      </c>
      <c r="AO247" s="228">
        <f t="shared" si="320"/>
        <v>0</v>
      </c>
      <c r="AP247" s="228">
        <f t="shared" si="320"/>
        <v>0</v>
      </c>
      <c r="AQ247" s="228">
        <f t="shared" si="320"/>
        <v>0</v>
      </c>
      <c r="AR247" s="228">
        <f t="shared" si="320"/>
        <v>0</v>
      </c>
      <c r="AS247" s="228">
        <f t="shared" si="320"/>
        <v>0</v>
      </c>
      <c r="AT247" s="228">
        <f t="shared" si="320"/>
        <v>0</v>
      </c>
      <c r="AU247" s="228">
        <f t="shared" si="320"/>
        <v>0</v>
      </c>
      <c r="AV247" s="228">
        <f t="shared" si="320"/>
        <v>0</v>
      </c>
      <c r="AW247" s="228">
        <f t="shared" si="320"/>
        <v>0</v>
      </c>
      <c r="AX247" s="229"/>
      <c r="AY247" s="229"/>
    </row>
    <row r="248" spans="2:51">
      <c r="B248" s="20" t="s">
        <v>131</v>
      </c>
      <c r="D248" s="16"/>
      <c r="E248" s="16"/>
      <c r="F248" s="16"/>
      <c r="G248" s="16"/>
      <c r="H248" s="16"/>
      <c r="I248" s="16"/>
      <c r="J248" s="16"/>
      <c r="K248" s="16"/>
      <c r="L248" s="356"/>
      <c r="M248" s="30">
        <f>SUM(M246:M247)</f>
        <v>3.801779070814082</v>
      </c>
      <c r="N248" s="30">
        <f>SUM(N246:N247)</f>
        <v>3.4943951115753671</v>
      </c>
      <c r="O248" s="30">
        <f t="shared" ref="O248:Y248" si="321">SUM(O246:O247)</f>
        <v>3.9287821486613619</v>
      </c>
      <c r="P248" s="30">
        <f t="shared" si="321"/>
        <v>3.83665864991969</v>
      </c>
      <c r="Q248" s="30">
        <f t="shared" si="321"/>
        <v>3.9440452341408143</v>
      </c>
      <c r="R248" s="30">
        <f t="shared" si="321"/>
        <v>3.8024176742278777</v>
      </c>
      <c r="S248" s="30">
        <f t="shared" si="321"/>
        <v>3.9362067521730828</v>
      </c>
      <c r="T248" s="30">
        <f t="shared" si="321"/>
        <v>3.9362085321730831</v>
      </c>
      <c r="U248" s="30">
        <f t="shared" si="321"/>
        <v>3.8212760943723696</v>
      </c>
      <c r="V248" s="30">
        <f t="shared" si="321"/>
        <v>3.9734602275230535</v>
      </c>
      <c r="W248" s="30">
        <f t="shared" si="321"/>
        <v>3.8654261019066158</v>
      </c>
      <c r="X248" s="30">
        <f t="shared" si="321"/>
        <v>3.9650209604738875</v>
      </c>
      <c r="Y248" s="810">
        <f t="shared" si="321"/>
        <v>46.305676557961284</v>
      </c>
      <c r="Z248" s="30">
        <f t="shared" ref="Z248:AL248" si="322">SUM(Z246:Z247)</f>
        <v>3.9097754603369017</v>
      </c>
      <c r="AA248" s="30">
        <f t="shared" si="322"/>
        <v>3.6642238723916956</v>
      </c>
      <c r="AB248" s="30">
        <f t="shared" si="322"/>
        <v>3.9823145892786194</v>
      </c>
      <c r="AC248" s="30">
        <f t="shared" si="322"/>
        <v>3.8982678284567012</v>
      </c>
      <c r="AD248" s="30">
        <f t="shared" si="322"/>
        <v>4.0079655861279342</v>
      </c>
      <c r="AE248" s="30">
        <f t="shared" si="322"/>
        <v>3.8807800374799095</v>
      </c>
      <c r="AF248" s="30">
        <f t="shared" si="322"/>
        <v>4.0073893833703202</v>
      </c>
      <c r="AG248" s="30">
        <f t="shared" si="322"/>
        <v>4.0073912733703203</v>
      </c>
      <c r="AH248" s="30">
        <f t="shared" si="322"/>
        <v>3.8897148599820222</v>
      </c>
      <c r="AI248" s="30">
        <f t="shared" si="322"/>
        <v>4.0110692558724326</v>
      </c>
      <c r="AJ248" s="30">
        <f t="shared" si="322"/>
        <v>3.9016498424477755</v>
      </c>
      <c r="AK248" s="30">
        <f t="shared" si="322"/>
        <v>4.0023426518211815</v>
      </c>
      <c r="AL248" s="810">
        <f t="shared" si="322"/>
        <v>47.162884640935815</v>
      </c>
      <c r="AM248" s="30">
        <f t="shared" ref="AM248:AW248" si="323">SUM(AM246:AM247)</f>
        <v>47.086316568922427</v>
      </c>
      <c r="AN248" s="30">
        <f t="shared" si="323"/>
        <v>46.728476173825342</v>
      </c>
      <c r="AO248" s="30">
        <f t="shared" si="323"/>
        <v>46.187527526229218</v>
      </c>
      <c r="AP248" s="30">
        <f t="shared" si="323"/>
        <v>45.672031402321018</v>
      </c>
      <c r="AQ248" s="30">
        <f t="shared" si="323"/>
        <v>45.079611382012061</v>
      </c>
      <c r="AR248" s="30">
        <f t="shared" si="323"/>
        <v>42.852504259480142</v>
      </c>
      <c r="AS248" s="30">
        <f t="shared" si="323"/>
        <v>40.200945414741241</v>
      </c>
      <c r="AT248" s="30">
        <f t="shared" si="323"/>
        <v>38.506243554889551</v>
      </c>
      <c r="AU248" s="30">
        <f t="shared" si="323"/>
        <v>37.78500426261197</v>
      </c>
      <c r="AV248" s="30">
        <f t="shared" si="323"/>
        <v>49.247819955978557</v>
      </c>
      <c r="AW248" s="30">
        <f t="shared" si="323"/>
        <v>47.555071233125901</v>
      </c>
      <c r="AX248" s="229"/>
      <c r="AY248" s="229"/>
    </row>
    <row r="249" spans="2:51">
      <c r="L249" s="356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81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81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229"/>
      <c r="AY249" s="229"/>
    </row>
    <row r="250" spans="2:51">
      <c r="B250" t="s">
        <v>173</v>
      </c>
      <c r="L250" s="359"/>
      <c r="M250" s="30">
        <f>M244/M248</f>
        <v>2.0251572939668194</v>
      </c>
      <c r="N250" s="30">
        <f>N244/N248</f>
        <v>1.5083035959351043</v>
      </c>
      <c r="O250" s="30">
        <f t="shared" ref="O250:X250" si="324">O244/O248</f>
        <v>1.1141846580315702</v>
      </c>
      <c r="P250" s="30">
        <f t="shared" si="324"/>
        <v>0.11159889570692204</v>
      </c>
      <c r="Q250" s="30">
        <f t="shared" si="324"/>
        <v>-0.48738089649720684</v>
      </c>
      <c r="R250" s="30">
        <f t="shared" si="324"/>
        <v>1.2252674680748463</v>
      </c>
      <c r="S250" s="30">
        <f t="shared" si="324"/>
        <v>1.6960048959727871</v>
      </c>
      <c r="T250" s="30">
        <f t="shared" si="324"/>
        <v>1.6945140024363674</v>
      </c>
      <c r="U250" s="30">
        <f t="shared" si="324"/>
        <v>0.95999963531599697</v>
      </c>
      <c r="V250" s="30">
        <f t="shared" si="324"/>
        <v>0.36932099259571172</v>
      </c>
      <c r="W250" s="30">
        <f t="shared" si="324"/>
        <v>1.0973578989563479</v>
      </c>
      <c r="X250" s="30">
        <f t="shared" si="324"/>
        <v>1.9977971221719912</v>
      </c>
      <c r="Y250" s="810">
        <f>Y244/Y248</f>
        <v>1.1047640554610041</v>
      </c>
      <c r="Z250" s="30">
        <f t="shared" ref="Z250:AW250" si="325">Z244/Z248</f>
        <v>2.3160015737951229</v>
      </c>
      <c r="AA250" s="30">
        <f t="shared" si="325"/>
        <v>1.9658629410626991</v>
      </c>
      <c r="AB250" s="30">
        <f t="shared" si="325"/>
        <v>1.1593619583852719</v>
      </c>
      <c r="AC250" s="30">
        <f t="shared" si="325"/>
        <v>-0.70823388169289181</v>
      </c>
      <c r="AD250" s="30">
        <f t="shared" si="325"/>
        <v>-5.5146239311828729E-2</v>
      </c>
      <c r="AE250" s="30">
        <f t="shared" si="325"/>
        <v>1.4896273518759497</v>
      </c>
      <c r="AF250" s="30">
        <f t="shared" si="325"/>
        <v>1.9271776440904889</v>
      </c>
      <c r="AG250" s="30">
        <f t="shared" si="325"/>
        <v>1.8976623701935444</v>
      </c>
      <c r="AH250" s="30">
        <f t="shared" si="325"/>
        <v>1.1481954911051138</v>
      </c>
      <c r="AI250" s="30">
        <f t="shared" si="325"/>
        <v>0.55458375458954656</v>
      </c>
      <c r="AJ250" s="30">
        <f t="shared" si="325"/>
        <v>1.2771772339087364</v>
      </c>
      <c r="AK250" s="30">
        <f t="shared" si="325"/>
        <v>1.9504242719144802</v>
      </c>
      <c r="AL250" s="810">
        <f t="shared" si="325"/>
        <v>1.2400000000000011</v>
      </c>
      <c r="AM250" s="30">
        <f t="shared" si="325"/>
        <v>1.2400000000000002</v>
      </c>
      <c r="AN250" s="30">
        <f t="shared" si="325"/>
        <v>1.1795810398189546</v>
      </c>
      <c r="AO250" s="30">
        <f t="shared" si="325"/>
        <v>1.1395552123112873</v>
      </c>
      <c r="AP250" s="30">
        <f t="shared" si="325"/>
        <v>1.1545617862759845</v>
      </c>
      <c r="AQ250" s="30">
        <f t="shared" si="325"/>
        <v>1.2399999999999969</v>
      </c>
      <c r="AR250" s="30">
        <f t="shared" si="325"/>
        <v>1.2399999999999993</v>
      </c>
      <c r="AS250" s="30">
        <f t="shared" si="325"/>
        <v>1.2399999999999998</v>
      </c>
      <c r="AT250" s="30">
        <f t="shared" si="325"/>
        <v>1.2399999999999984</v>
      </c>
      <c r="AU250" s="30">
        <f t="shared" si="325"/>
        <v>1.2399999999999998</v>
      </c>
      <c r="AV250" s="30">
        <f t="shared" si="325"/>
        <v>1.2399999999999987</v>
      </c>
      <c r="AW250" s="30">
        <f t="shared" si="325"/>
        <v>1.2400000000000018</v>
      </c>
      <c r="AX250" s="229"/>
      <c r="AY250" s="229"/>
    </row>
    <row r="263" spans="1:51">
      <c r="B263" t="s">
        <v>401</v>
      </c>
    </row>
    <row r="264" spans="1:51">
      <c r="A264" s="542" t="s">
        <v>905</v>
      </c>
      <c r="B264" s="13" t="s">
        <v>1014</v>
      </c>
      <c r="M264" s="78">
        <f>-(M185-M183-M182)*M7</f>
        <v>-13.057759881768906</v>
      </c>
      <c r="N264" s="78">
        <f t="shared" ref="N264:X264" si="326">-(N185-N183-N182)*N7</f>
        <v>-11.175042451467311</v>
      </c>
      <c r="O264" s="78">
        <f t="shared" si="326"/>
        <v>-9.8436198424196828</v>
      </c>
      <c r="P264" s="78">
        <f t="shared" si="326"/>
        <v>-7.6062418737210011</v>
      </c>
      <c r="Q264" s="78">
        <f t="shared" si="326"/>
        <v>-8.6463657578305728</v>
      </c>
      <c r="R264" s="78">
        <f t="shared" si="326"/>
        <v>-11.379588048505315</v>
      </c>
      <c r="S264" s="78">
        <f t="shared" si="326"/>
        <v>-12.595806293087865</v>
      </c>
      <c r="T264" s="78">
        <f t="shared" si="326"/>
        <v>-14.320490409342494</v>
      </c>
      <c r="U264" s="78">
        <f t="shared" si="326"/>
        <v>-13.575183558776084</v>
      </c>
      <c r="V264" s="78">
        <f t="shared" si="326"/>
        <v>-11.210098365531115</v>
      </c>
      <c r="W264" s="78">
        <f t="shared" si="326"/>
        <v>-12.796036684434087</v>
      </c>
      <c r="X264" s="78">
        <f t="shared" si="326"/>
        <v>-17.184114542725979</v>
      </c>
      <c r="Y264" s="211">
        <f>SUM(M264:X264)</f>
        <v>-143.39034770961041</v>
      </c>
      <c r="Z264" s="78">
        <f>-(Z185-Z183-Z182)*Z7</f>
        <v>-18.52227309742544</v>
      </c>
      <c r="AA264" s="78">
        <f t="shared" ref="AA264:AK264" si="327">-(AA185-AA183-AA182)*AA7</f>
        <v>-16.037562194444828</v>
      </c>
      <c r="AB264" s="78">
        <f t="shared" si="327"/>
        <v>-14.140275886598475</v>
      </c>
      <c r="AC264" s="78">
        <f t="shared" si="327"/>
        <v>-11.130457932869406</v>
      </c>
      <c r="AD264" s="78">
        <f t="shared" si="327"/>
        <v>-12.597977387842212</v>
      </c>
      <c r="AE264" s="78">
        <f t="shared" si="327"/>
        <v>-16.310171316367253</v>
      </c>
      <c r="AF264" s="78">
        <f t="shared" si="327"/>
        <v>-17.673143064161607</v>
      </c>
      <c r="AG264" s="78">
        <f t="shared" si="327"/>
        <v>-18.218871953312593</v>
      </c>
      <c r="AH264" s="78">
        <f t="shared" si="327"/>
        <v>-14.233134902161908</v>
      </c>
      <c r="AI264" s="78">
        <f t="shared" si="327"/>
        <v>-11.73810866521929</v>
      </c>
      <c r="AJ264" s="78">
        <f t="shared" si="327"/>
        <v>-13.390758116000324</v>
      </c>
      <c r="AK264" s="78">
        <f t="shared" si="327"/>
        <v>-17.946481138107945</v>
      </c>
      <c r="AL264" s="211">
        <f>SUM(Z264:AK264)</f>
        <v>-181.93921565451126</v>
      </c>
      <c r="AM264" s="78">
        <f t="shared" ref="AM264:AW264" si="328">-(AM185-AM183-AM182)*AM7</f>
        <v>-189.89347165956514</v>
      </c>
      <c r="AN264" s="78">
        <f t="shared" si="328"/>
        <v>-198.2682139182354</v>
      </c>
      <c r="AO264" s="78">
        <f t="shared" si="328"/>
        <v>-203.11127013890291</v>
      </c>
      <c r="AP264" s="78">
        <f t="shared" si="328"/>
        <v>-207.43817543667325</v>
      </c>
      <c r="AQ264" s="78">
        <f t="shared" si="328"/>
        <v>-210.65208338810805</v>
      </c>
      <c r="AR264" s="78">
        <f t="shared" si="328"/>
        <v>-193.79617455155244</v>
      </c>
      <c r="AS264" s="78">
        <f t="shared" si="328"/>
        <v>-188.94261744053009</v>
      </c>
      <c r="AT264" s="78">
        <f t="shared" si="328"/>
        <v>-194.10868370843573</v>
      </c>
      <c r="AU264" s="78">
        <f t="shared" si="328"/>
        <v>-210.45088404306804</v>
      </c>
      <c r="AV264" s="78">
        <f t="shared" si="328"/>
        <v>-223.35483015620756</v>
      </c>
      <c r="AW264" s="78">
        <f t="shared" si="328"/>
        <v>-241.4216848094035</v>
      </c>
      <c r="AX264" s="780"/>
      <c r="AY264" s="780"/>
    </row>
    <row r="265" spans="1:51">
      <c r="A265" s="542" t="s">
        <v>908</v>
      </c>
      <c r="B265" s="13" t="s">
        <v>1015</v>
      </c>
      <c r="M265" s="78">
        <f>-(M204-M202)*M8</f>
        <v>-3.5156708117266082</v>
      </c>
      <c r="N265" s="78">
        <f t="shared" ref="N265:X265" si="329">-(N204-N202)*N8</f>
        <v>-3.4033689747513738</v>
      </c>
      <c r="O265" s="78">
        <f t="shared" si="329"/>
        <v>-3.5129445159502044</v>
      </c>
      <c r="P265" s="78">
        <f t="shared" si="329"/>
        <v>-3.3720315088678103</v>
      </c>
      <c r="Q265" s="78">
        <f t="shared" si="329"/>
        <v>-3.4356144519971603</v>
      </c>
      <c r="R265" s="78">
        <f t="shared" si="329"/>
        <v>-3.4656185323219688</v>
      </c>
      <c r="S265" s="78">
        <f t="shared" si="329"/>
        <v>-3.7365293099158259</v>
      </c>
      <c r="T265" s="78">
        <f t="shared" si="329"/>
        <v>-4.0224768624321152</v>
      </c>
      <c r="U265" s="78">
        <f t="shared" si="329"/>
        <v>-4.4137970250501155</v>
      </c>
      <c r="V265" s="78">
        <f t="shared" si="329"/>
        <v>-4.4703096575328285</v>
      </c>
      <c r="W265" s="78">
        <f t="shared" si="329"/>
        <v>-4.4113650515772358</v>
      </c>
      <c r="X265" s="78">
        <f t="shared" si="329"/>
        <v>-4.5032100310039089</v>
      </c>
      <c r="Y265" s="211">
        <f t="shared" ref="Y265:Y266" si="330">SUM(M265:X265)</f>
        <v>-46.262936733127162</v>
      </c>
      <c r="Z265" s="78">
        <f>-(Z204-Z202)*Z8</f>
        <v>-4.5684992865942293</v>
      </c>
      <c r="AA265" s="78">
        <f t="shared" ref="AA265:AK265" si="331">-(AA204-AA202)*AA8</f>
        <v>-4.3948709341666641</v>
      </c>
      <c r="AB265" s="78">
        <f t="shared" si="331"/>
        <v>-4.582523157911143</v>
      </c>
      <c r="AC265" s="78">
        <f t="shared" si="331"/>
        <v>-4.4827602478703108</v>
      </c>
      <c r="AD265" s="78">
        <f t="shared" si="331"/>
        <v>-4.5452862325675349</v>
      </c>
      <c r="AE265" s="78">
        <f t="shared" si="331"/>
        <v>-4.5170051157388471</v>
      </c>
      <c r="AF265" s="78">
        <f t="shared" si="331"/>
        <v>-4.8029290686384574</v>
      </c>
      <c r="AG265" s="78">
        <f t="shared" si="331"/>
        <v>-4.8186512045844889</v>
      </c>
      <c r="AH265" s="78">
        <f t="shared" si="331"/>
        <v>-4.5861307351288163</v>
      </c>
      <c r="AI265" s="78">
        <f t="shared" si="331"/>
        <v>-4.6339626090187576</v>
      </c>
      <c r="AJ265" s="78">
        <f t="shared" si="331"/>
        <v>-4.5636585178902402</v>
      </c>
      <c r="AK265" s="78">
        <f t="shared" si="331"/>
        <v>-4.6476502876021213</v>
      </c>
      <c r="AL265" s="211">
        <f t="shared" ref="AL265:AL266" si="332">SUM(Z265:AK265)</f>
        <v>-55.143927397711614</v>
      </c>
      <c r="AM265" s="78">
        <f t="shared" ref="AM265:AW265" si="333">-(AM204-AM202)*AM8</f>
        <v>-57.144739171792679</v>
      </c>
      <c r="AN265" s="78">
        <f t="shared" si="333"/>
        <v>-59.162952822158921</v>
      </c>
      <c r="AO265" s="78">
        <f t="shared" si="333"/>
        <v>-59.890869717075248</v>
      </c>
      <c r="AP265" s="78">
        <f t="shared" si="333"/>
        <v>-60.69398597714008</v>
      </c>
      <c r="AQ265" s="78">
        <f t="shared" si="333"/>
        <v>-61.147352412660872</v>
      </c>
      <c r="AR265" s="78">
        <f t="shared" si="333"/>
        <v>-56.089233531818763</v>
      </c>
      <c r="AS265" s="78">
        <f t="shared" si="333"/>
        <v>-54.372507865623305</v>
      </c>
      <c r="AT265" s="78">
        <f t="shared" si="333"/>
        <v>-55.400544007877741</v>
      </c>
      <c r="AU265" s="78">
        <f t="shared" si="333"/>
        <v>-59.438620546533173</v>
      </c>
      <c r="AV265" s="78">
        <f t="shared" si="333"/>
        <v>-62.271683167563715</v>
      </c>
      <c r="AW265" s="78">
        <f t="shared" si="333"/>
        <v>-66.879771144022044</v>
      </c>
      <c r="AX265" s="780"/>
      <c r="AY265" s="780"/>
    </row>
    <row r="266" spans="1:51">
      <c r="A266" s="542" t="s">
        <v>910</v>
      </c>
      <c r="B266" s="13" t="s">
        <v>1016</v>
      </c>
      <c r="M266" s="78">
        <f>-M215*(M9+M10)</f>
        <v>-31.302548635353432</v>
      </c>
      <c r="N266" s="78">
        <f t="shared" ref="N266:X266" si="334">-N215*(N9+N10)</f>
        <v>-28.406341977898503</v>
      </c>
      <c r="O266" s="78">
        <f t="shared" si="334"/>
        <v>-31.430770641146662</v>
      </c>
      <c r="P266" s="78">
        <f t="shared" si="334"/>
        <v>-30.369137372917596</v>
      </c>
      <c r="Q266" s="78">
        <f t="shared" si="334"/>
        <v>-31.420061519813377</v>
      </c>
      <c r="R266" s="78">
        <f t="shared" si="334"/>
        <v>-30.513083821220032</v>
      </c>
      <c r="S266" s="78">
        <f t="shared" si="334"/>
        <v>-31.435465171242569</v>
      </c>
      <c r="T266" s="78">
        <f t="shared" si="334"/>
        <v>-25.124410387725945</v>
      </c>
      <c r="U266" s="78">
        <f t="shared" si="334"/>
        <v>-15.526997651414833</v>
      </c>
      <c r="V266" s="78">
        <f t="shared" si="334"/>
        <v>-15.967745180173109</v>
      </c>
      <c r="W266" s="78">
        <f t="shared" si="334"/>
        <v>-15.423111034530711</v>
      </c>
      <c r="X266" s="78">
        <f t="shared" si="334"/>
        <v>-15.886075512189516</v>
      </c>
      <c r="Y266" s="211">
        <f t="shared" si="330"/>
        <v>-302.80574890562627</v>
      </c>
      <c r="Z266" s="78">
        <f>-Z215*(Z9+Z10)</f>
        <v>-15.981769773553385</v>
      </c>
      <c r="AA266" s="78">
        <f t="shared" ref="AA266:AK266" si="335">-AA215*(AA9+AA10)</f>
        <v>-14.513285808720671</v>
      </c>
      <c r="AB266" s="78">
        <f t="shared" si="335"/>
        <v>-16.060667574088264</v>
      </c>
      <c r="AC266" s="78">
        <f t="shared" si="335"/>
        <v>-15.656326123772493</v>
      </c>
      <c r="AD266" s="78">
        <f t="shared" si="335"/>
        <v>-16.176813809708246</v>
      </c>
      <c r="AE266" s="78">
        <f t="shared" si="335"/>
        <v>-15.703873973846431</v>
      </c>
      <c r="AF266" s="78">
        <f t="shared" si="335"/>
        <v>-16.209942823029593</v>
      </c>
      <c r="AG266" s="78">
        <f t="shared" si="335"/>
        <v>-16.342498657794454</v>
      </c>
      <c r="AH266" s="78">
        <f t="shared" si="335"/>
        <v>-15.998424364761151</v>
      </c>
      <c r="AI266" s="78">
        <f t="shared" si="335"/>
        <v>-16.41011894732101</v>
      </c>
      <c r="AJ266" s="78">
        <f t="shared" si="335"/>
        <v>-15.824692622606834</v>
      </c>
      <c r="AK266" s="78">
        <f t="shared" si="335"/>
        <v>-16.263953126367372</v>
      </c>
      <c r="AL266" s="211">
        <f t="shared" si="332"/>
        <v>-191.14236760556992</v>
      </c>
      <c r="AM266" s="78">
        <f t="shared" ref="AM266:AW266" si="336">-AM215*(AM9+AM10)</f>
        <v>-199.62313740427879</v>
      </c>
      <c r="AN266" s="78">
        <f t="shared" si="336"/>
        <v>-205.7529572786253</v>
      </c>
      <c r="AO266" s="78">
        <f t="shared" si="336"/>
        <v>-211.2775575918331</v>
      </c>
      <c r="AP266" s="78">
        <f t="shared" si="336"/>
        <v>-217.10206713828808</v>
      </c>
      <c r="AQ266" s="78">
        <f t="shared" si="336"/>
        <v>-204.9523694967809</v>
      </c>
      <c r="AR266" s="78">
        <f t="shared" si="336"/>
        <v>-183.78709913824244</v>
      </c>
      <c r="AS266" s="78">
        <f t="shared" si="336"/>
        <v>-176.00991538217545</v>
      </c>
      <c r="AT266" s="78">
        <f t="shared" si="336"/>
        <v>-178.75890446641077</v>
      </c>
      <c r="AU266" s="78">
        <f t="shared" si="336"/>
        <v>-193.84874472931259</v>
      </c>
      <c r="AV266" s="78">
        <f t="shared" si="336"/>
        <v>-205.37146364900789</v>
      </c>
      <c r="AW266" s="78">
        <f t="shared" si="336"/>
        <v>-221.14433922399863</v>
      </c>
      <c r="AX266" s="780"/>
      <c r="AY266" s="780"/>
    </row>
    <row r="267" spans="1:51">
      <c r="A267" s="542"/>
      <c r="B267" s="13"/>
    </row>
    <row r="268" spans="1:51">
      <c r="A268" s="542"/>
      <c r="B268" s="13"/>
    </row>
    <row r="432" spans="1:2" ht="18">
      <c r="A432" s="267" t="s">
        <v>817</v>
      </c>
      <c r="B432" s="13"/>
    </row>
    <row r="433" spans="1:38">
      <c r="A433" s="854" t="s">
        <v>607</v>
      </c>
      <c r="B433" s="851" t="s">
        <v>1026</v>
      </c>
      <c r="Y433" s="88">
        <f>SUM(M433:X433)</f>
        <v>0</v>
      </c>
      <c r="AL433" s="88">
        <f>SUM(Z433:AK433)</f>
        <v>0</v>
      </c>
    </row>
    <row r="434" spans="1:38">
      <c r="A434" s="854" t="s">
        <v>818</v>
      </c>
      <c r="B434" s="851" t="s">
        <v>1027</v>
      </c>
      <c r="Y434" s="88">
        <f t="shared" ref="Y434:Y497" si="337">SUM(M434:X434)</f>
        <v>0</v>
      </c>
      <c r="AL434" s="88">
        <f t="shared" ref="AL434:AL497" si="338">SUM(Z434:AK434)</f>
        <v>0</v>
      </c>
    </row>
    <row r="435" spans="1:38">
      <c r="A435" s="854" t="s">
        <v>607</v>
      </c>
      <c r="B435" s="851" t="s">
        <v>1026</v>
      </c>
      <c r="Y435" s="88">
        <f t="shared" si="337"/>
        <v>0</v>
      </c>
      <c r="AL435" s="88">
        <f t="shared" si="338"/>
        <v>0</v>
      </c>
    </row>
    <row r="436" spans="1:38">
      <c r="A436" s="854" t="s">
        <v>818</v>
      </c>
      <c r="B436" s="851" t="s">
        <v>1028</v>
      </c>
      <c r="Y436" s="88">
        <f t="shared" si="337"/>
        <v>0</v>
      </c>
      <c r="AL436" s="88">
        <f t="shared" si="338"/>
        <v>0</v>
      </c>
    </row>
    <row r="437" spans="1:38">
      <c r="A437" s="854" t="s">
        <v>607</v>
      </c>
      <c r="B437" s="851" t="s">
        <v>1026</v>
      </c>
      <c r="Y437" s="88">
        <f t="shared" si="337"/>
        <v>0</v>
      </c>
      <c r="AL437" s="88">
        <f t="shared" si="338"/>
        <v>0</v>
      </c>
    </row>
    <row r="438" spans="1:38">
      <c r="A438" s="854" t="s">
        <v>818</v>
      </c>
      <c r="B438" s="851" t="s">
        <v>1028</v>
      </c>
      <c r="Y438" s="88">
        <f t="shared" si="337"/>
        <v>0</v>
      </c>
      <c r="AL438" s="88">
        <f t="shared" si="338"/>
        <v>0</v>
      </c>
    </row>
    <row r="439" spans="1:38">
      <c r="A439" s="854" t="s">
        <v>607</v>
      </c>
      <c r="B439" s="851" t="s">
        <v>1026</v>
      </c>
      <c r="Y439" s="88">
        <f t="shared" si="337"/>
        <v>0</v>
      </c>
      <c r="AL439" s="88">
        <f t="shared" si="338"/>
        <v>0</v>
      </c>
    </row>
    <row r="440" spans="1:38">
      <c r="A440" s="854" t="s">
        <v>818</v>
      </c>
      <c r="B440" s="851" t="s">
        <v>1027</v>
      </c>
      <c r="Y440" s="88">
        <f t="shared" si="337"/>
        <v>0</v>
      </c>
      <c r="AL440" s="88">
        <f t="shared" si="338"/>
        <v>0</v>
      </c>
    </row>
    <row r="441" spans="1:38">
      <c r="A441" s="854" t="s">
        <v>612</v>
      </c>
      <c r="B441" s="851" t="s">
        <v>819</v>
      </c>
      <c r="Y441" s="88">
        <f t="shared" si="337"/>
        <v>0</v>
      </c>
      <c r="AL441" s="88">
        <f t="shared" si="338"/>
        <v>0</v>
      </c>
    </row>
    <row r="442" spans="1:38">
      <c r="A442" s="854">
        <v>403.5</v>
      </c>
      <c r="B442" s="851" t="s">
        <v>820</v>
      </c>
      <c r="Y442" s="88">
        <f t="shared" si="337"/>
        <v>0</v>
      </c>
      <c r="AL442" s="88">
        <f t="shared" si="338"/>
        <v>0</v>
      </c>
    </row>
    <row r="443" spans="1:38">
      <c r="A443" s="854">
        <v>403.5</v>
      </c>
      <c r="B443" s="851" t="s">
        <v>821</v>
      </c>
      <c r="Y443" s="88">
        <f t="shared" si="337"/>
        <v>0</v>
      </c>
      <c r="AL443" s="88">
        <f t="shared" si="338"/>
        <v>0</v>
      </c>
    </row>
    <row r="444" spans="1:38">
      <c r="A444" s="854" t="s">
        <v>586</v>
      </c>
      <c r="B444" s="851" t="s">
        <v>822</v>
      </c>
      <c r="Y444" s="88">
        <f t="shared" si="337"/>
        <v>0</v>
      </c>
      <c r="AL444" s="88">
        <f t="shared" si="338"/>
        <v>0</v>
      </c>
    </row>
    <row r="445" spans="1:38">
      <c r="A445" s="854">
        <v>404.11</v>
      </c>
      <c r="B445" s="851" t="s">
        <v>1001</v>
      </c>
      <c r="Y445" s="88">
        <f t="shared" si="337"/>
        <v>0</v>
      </c>
      <c r="AL445" s="88">
        <f t="shared" si="338"/>
        <v>0</v>
      </c>
    </row>
    <row r="446" spans="1:38">
      <c r="A446" s="854" t="s">
        <v>823</v>
      </c>
      <c r="B446" s="851" t="s">
        <v>824</v>
      </c>
      <c r="Y446" s="88">
        <f t="shared" si="337"/>
        <v>0</v>
      </c>
      <c r="AL446" s="88">
        <f t="shared" si="338"/>
        <v>0</v>
      </c>
    </row>
    <row r="447" spans="1:38">
      <c r="A447" s="854" t="s">
        <v>825</v>
      </c>
      <c r="B447" s="851" t="s">
        <v>826</v>
      </c>
      <c r="Y447" s="88">
        <f t="shared" si="337"/>
        <v>0</v>
      </c>
      <c r="AL447" s="88">
        <f t="shared" si="338"/>
        <v>0</v>
      </c>
    </row>
    <row r="448" spans="1:38">
      <c r="A448" s="854" t="s">
        <v>827</v>
      </c>
      <c r="B448" s="851" t="s">
        <v>828</v>
      </c>
      <c r="Y448" s="88">
        <f t="shared" si="337"/>
        <v>0</v>
      </c>
      <c r="AL448" s="88">
        <f t="shared" si="338"/>
        <v>0</v>
      </c>
    </row>
    <row r="449" spans="1:51">
      <c r="A449" s="854" t="s">
        <v>830</v>
      </c>
      <c r="B449" s="851" t="s">
        <v>831</v>
      </c>
      <c r="Y449" s="88">
        <f t="shared" si="337"/>
        <v>0</v>
      </c>
      <c r="AL449" s="88">
        <f t="shared" si="338"/>
        <v>0</v>
      </c>
    </row>
    <row r="450" spans="1:51">
      <c r="A450" s="854" t="s">
        <v>859</v>
      </c>
      <c r="B450" s="851" t="s">
        <v>860</v>
      </c>
      <c r="Y450" s="88">
        <f t="shared" si="337"/>
        <v>0</v>
      </c>
      <c r="AL450" s="88">
        <f t="shared" si="338"/>
        <v>0</v>
      </c>
    </row>
    <row r="451" spans="1:51">
      <c r="A451" s="854" t="s">
        <v>861</v>
      </c>
      <c r="B451" s="851" t="s">
        <v>862</v>
      </c>
      <c r="Y451" s="88">
        <f t="shared" si="337"/>
        <v>0</v>
      </c>
      <c r="AL451" s="88">
        <f t="shared" si="338"/>
        <v>0</v>
      </c>
    </row>
    <row r="452" spans="1:51">
      <c r="A452" s="854" t="s">
        <v>863</v>
      </c>
      <c r="B452" s="851" t="s">
        <v>864</v>
      </c>
      <c r="Y452" s="88">
        <f t="shared" si="337"/>
        <v>0</v>
      </c>
      <c r="AL452" s="88">
        <f t="shared" si="338"/>
        <v>0</v>
      </c>
    </row>
    <row r="453" spans="1:51">
      <c r="A453" s="854">
        <v>426.1</v>
      </c>
      <c r="B453" s="851" t="s">
        <v>880</v>
      </c>
      <c r="Y453" s="88">
        <f t="shared" si="337"/>
        <v>0</v>
      </c>
      <c r="AL453" s="88">
        <f t="shared" si="338"/>
        <v>0</v>
      </c>
    </row>
    <row r="454" spans="1:51">
      <c r="A454" s="854" t="s">
        <v>881</v>
      </c>
      <c r="B454" s="851" t="s">
        <v>882</v>
      </c>
      <c r="Y454" s="88">
        <f t="shared" si="337"/>
        <v>0</v>
      </c>
      <c r="AL454" s="88">
        <f t="shared" si="338"/>
        <v>0</v>
      </c>
    </row>
    <row r="455" spans="1:51">
      <c r="A455" s="854">
        <v>426.4</v>
      </c>
      <c r="B455" s="851" t="s">
        <v>883</v>
      </c>
      <c r="Y455" s="88">
        <f t="shared" si="337"/>
        <v>0</v>
      </c>
      <c r="AL455" s="88">
        <f t="shared" si="338"/>
        <v>0</v>
      </c>
    </row>
    <row r="456" spans="1:51">
      <c r="A456" s="854" t="s">
        <v>884</v>
      </c>
      <c r="B456" s="851" t="s">
        <v>885</v>
      </c>
      <c r="Y456" s="88">
        <f t="shared" si="337"/>
        <v>0</v>
      </c>
      <c r="AL456" s="88">
        <f t="shared" si="338"/>
        <v>0</v>
      </c>
    </row>
    <row r="457" spans="1:51">
      <c r="A457" s="854">
        <v>427.1</v>
      </c>
      <c r="B457" s="851" t="s">
        <v>970</v>
      </c>
      <c r="Y457" s="88">
        <f t="shared" si="337"/>
        <v>0</v>
      </c>
      <c r="AL457" s="88">
        <f t="shared" si="338"/>
        <v>0</v>
      </c>
    </row>
    <row r="458" spans="1:51">
      <c r="A458" s="854" t="s">
        <v>886</v>
      </c>
      <c r="B458" s="851" t="s">
        <v>971</v>
      </c>
      <c r="Y458" s="88">
        <f t="shared" si="337"/>
        <v>0</v>
      </c>
      <c r="AL458" s="88">
        <f t="shared" si="338"/>
        <v>0</v>
      </c>
    </row>
    <row r="459" spans="1:51">
      <c r="A459" s="854" t="s">
        <v>895</v>
      </c>
      <c r="B459" s="851" t="s">
        <v>896</v>
      </c>
      <c r="Y459" s="88">
        <f t="shared" si="337"/>
        <v>0</v>
      </c>
      <c r="AL459" s="88">
        <f t="shared" si="338"/>
        <v>0</v>
      </c>
    </row>
    <row r="460" spans="1:51">
      <c r="A460" s="854" t="s">
        <v>897</v>
      </c>
      <c r="B460" s="851" t="s">
        <v>898</v>
      </c>
      <c r="Y460" s="88">
        <f t="shared" si="337"/>
        <v>0</v>
      </c>
      <c r="AL460" s="88">
        <f t="shared" si="338"/>
        <v>0</v>
      </c>
    </row>
    <row r="461" spans="1:51">
      <c r="A461" s="854" t="s">
        <v>899</v>
      </c>
      <c r="B461" s="851" t="s">
        <v>900</v>
      </c>
      <c r="Y461" s="88">
        <f t="shared" si="337"/>
        <v>0</v>
      </c>
      <c r="AL461" s="88">
        <f t="shared" si="338"/>
        <v>0</v>
      </c>
    </row>
    <row r="462" spans="1:51">
      <c r="A462" s="854" t="s">
        <v>901</v>
      </c>
      <c r="B462" s="851" t="s">
        <v>902</v>
      </c>
      <c r="Y462" s="88">
        <f t="shared" si="337"/>
        <v>0</v>
      </c>
      <c r="AL462" s="88">
        <f t="shared" si="338"/>
        <v>0</v>
      </c>
    </row>
    <row r="463" spans="1:51">
      <c r="A463" s="854" t="s">
        <v>903</v>
      </c>
      <c r="B463" s="851" t="s">
        <v>904</v>
      </c>
      <c r="Y463" s="88">
        <f t="shared" si="337"/>
        <v>0</v>
      </c>
      <c r="AL463" s="88">
        <f t="shared" si="338"/>
        <v>0</v>
      </c>
    </row>
    <row r="464" spans="1:51">
      <c r="A464" s="854" t="s">
        <v>905</v>
      </c>
      <c r="B464" s="851" t="s">
        <v>1014</v>
      </c>
      <c r="M464" s="78">
        <f>M264</f>
        <v>-13.057759881768906</v>
      </c>
      <c r="N464" s="78">
        <f t="shared" ref="N464:X464" si="339">N264</f>
        <v>-11.175042451467311</v>
      </c>
      <c r="O464" s="78">
        <f t="shared" si="339"/>
        <v>-9.8436198424196828</v>
      </c>
      <c r="P464" s="78">
        <f t="shared" si="339"/>
        <v>-7.6062418737210011</v>
      </c>
      <c r="Q464" s="78">
        <f t="shared" si="339"/>
        <v>-8.6463657578305728</v>
      </c>
      <c r="R464" s="78">
        <f t="shared" si="339"/>
        <v>-11.379588048505315</v>
      </c>
      <c r="S464" s="78">
        <f t="shared" si="339"/>
        <v>-12.595806293087865</v>
      </c>
      <c r="T464" s="78">
        <f t="shared" si="339"/>
        <v>-14.320490409342494</v>
      </c>
      <c r="U464" s="78">
        <f t="shared" si="339"/>
        <v>-13.575183558776084</v>
      </c>
      <c r="V464" s="78">
        <f t="shared" si="339"/>
        <v>-11.210098365531115</v>
      </c>
      <c r="W464" s="78">
        <f t="shared" si="339"/>
        <v>-12.796036684434087</v>
      </c>
      <c r="X464" s="78">
        <f t="shared" si="339"/>
        <v>-17.184114542725979</v>
      </c>
      <c r="Y464" s="88">
        <f t="shared" si="337"/>
        <v>-143.39034770961041</v>
      </c>
      <c r="Z464" s="78">
        <f>Z264</f>
        <v>-18.52227309742544</v>
      </c>
      <c r="AA464" s="78">
        <f t="shared" ref="AA464:AK464" si="340">AA264</f>
        <v>-16.037562194444828</v>
      </c>
      <c r="AB464" s="78">
        <f t="shared" si="340"/>
        <v>-14.140275886598475</v>
      </c>
      <c r="AC464" s="78">
        <f t="shared" si="340"/>
        <v>-11.130457932869406</v>
      </c>
      <c r="AD464" s="78">
        <f t="shared" si="340"/>
        <v>-12.597977387842212</v>
      </c>
      <c r="AE464" s="78">
        <f t="shared" si="340"/>
        <v>-16.310171316367253</v>
      </c>
      <c r="AF464" s="78">
        <f t="shared" si="340"/>
        <v>-17.673143064161607</v>
      </c>
      <c r="AG464" s="78">
        <f t="shared" si="340"/>
        <v>-18.218871953312593</v>
      </c>
      <c r="AH464" s="78">
        <f t="shared" si="340"/>
        <v>-14.233134902161908</v>
      </c>
      <c r="AI464" s="78">
        <f t="shared" si="340"/>
        <v>-11.73810866521929</v>
      </c>
      <c r="AJ464" s="78">
        <f t="shared" si="340"/>
        <v>-13.390758116000324</v>
      </c>
      <c r="AK464" s="78">
        <f t="shared" si="340"/>
        <v>-17.946481138107945</v>
      </c>
      <c r="AL464" s="88">
        <f t="shared" si="338"/>
        <v>-181.93921565451126</v>
      </c>
      <c r="AM464" s="78">
        <f t="shared" ref="AM464:AW464" si="341">AM264</f>
        <v>-189.89347165956514</v>
      </c>
      <c r="AN464" s="78">
        <f t="shared" si="341"/>
        <v>-198.2682139182354</v>
      </c>
      <c r="AO464" s="78">
        <f t="shared" si="341"/>
        <v>-203.11127013890291</v>
      </c>
      <c r="AP464" s="78">
        <f t="shared" si="341"/>
        <v>-207.43817543667325</v>
      </c>
      <c r="AQ464" s="78">
        <f t="shared" si="341"/>
        <v>-210.65208338810805</v>
      </c>
      <c r="AR464" s="78">
        <f t="shared" si="341"/>
        <v>-193.79617455155244</v>
      </c>
      <c r="AS464" s="78">
        <f t="shared" si="341"/>
        <v>-188.94261744053009</v>
      </c>
      <c r="AT464" s="78">
        <f t="shared" si="341"/>
        <v>-194.10868370843573</v>
      </c>
      <c r="AU464" s="78">
        <f t="shared" si="341"/>
        <v>-210.45088404306804</v>
      </c>
      <c r="AV464" s="78">
        <f t="shared" si="341"/>
        <v>-223.35483015620756</v>
      </c>
      <c r="AW464" s="78">
        <f t="shared" si="341"/>
        <v>-241.4216848094035</v>
      </c>
      <c r="AX464" s="780"/>
      <c r="AY464" s="780"/>
    </row>
    <row r="465" spans="1:51">
      <c r="A465" s="854" t="s">
        <v>908</v>
      </c>
      <c r="B465" s="851" t="s">
        <v>1015</v>
      </c>
      <c r="M465" s="78">
        <f t="shared" ref="M465:X466" si="342">M265</f>
        <v>-3.5156708117266082</v>
      </c>
      <c r="N465" s="78">
        <f t="shared" si="342"/>
        <v>-3.4033689747513738</v>
      </c>
      <c r="O465" s="78">
        <f t="shared" si="342"/>
        <v>-3.5129445159502044</v>
      </c>
      <c r="P465" s="78">
        <f t="shared" si="342"/>
        <v>-3.3720315088678103</v>
      </c>
      <c r="Q465" s="78">
        <f t="shared" si="342"/>
        <v>-3.4356144519971603</v>
      </c>
      <c r="R465" s="78">
        <f t="shared" si="342"/>
        <v>-3.4656185323219688</v>
      </c>
      <c r="S465" s="78">
        <f t="shared" si="342"/>
        <v>-3.7365293099158259</v>
      </c>
      <c r="T465" s="78">
        <f t="shared" si="342"/>
        <v>-4.0224768624321152</v>
      </c>
      <c r="U465" s="78">
        <f t="shared" si="342"/>
        <v>-4.4137970250501155</v>
      </c>
      <c r="V465" s="78">
        <f t="shared" si="342"/>
        <v>-4.4703096575328285</v>
      </c>
      <c r="W465" s="78">
        <f t="shared" si="342"/>
        <v>-4.4113650515772358</v>
      </c>
      <c r="X465" s="78">
        <f t="shared" si="342"/>
        <v>-4.5032100310039089</v>
      </c>
      <c r="Y465" s="88">
        <f t="shared" si="337"/>
        <v>-46.262936733127162</v>
      </c>
      <c r="Z465" s="78">
        <f t="shared" ref="Z465:AK465" si="343">Z265</f>
        <v>-4.5684992865942293</v>
      </c>
      <c r="AA465" s="78">
        <f t="shared" si="343"/>
        <v>-4.3948709341666641</v>
      </c>
      <c r="AB465" s="78">
        <f t="shared" si="343"/>
        <v>-4.582523157911143</v>
      </c>
      <c r="AC465" s="78">
        <f t="shared" si="343"/>
        <v>-4.4827602478703108</v>
      </c>
      <c r="AD465" s="78">
        <f t="shared" si="343"/>
        <v>-4.5452862325675349</v>
      </c>
      <c r="AE465" s="78">
        <f t="shared" si="343"/>
        <v>-4.5170051157388471</v>
      </c>
      <c r="AF465" s="78">
        <f t="shared" si="343"/>
        <v>-4.8029290686384574</v>
      </c>
      <c r="AG465" s="78">
        <f t="shared" si="343"/>
        <v>-4.8186512045844889</v>
      </c>
      <c r="AH465" s="78">
        <f t="shared" si="343"/>
        <v>-4.5861307351288163</v>
      </c>
      <c r="AI465" s="78">
        <f t="shared" si="343"/>
        <v>-4.6339626090187576</v>
      </c>
      <c r="AJ465" s="78">
        <f t="shared" si="343"/>
        <v>-4.5636585178902402</v>
      </c>
      <c r="AK465" s="78">
        <f t="shared" si="343"/>
        <v>-4.6476502876021213</v>
      </c>
      <c r="AL465" s="88">
        <f t="shared" si="338"/>
        <v>-55.143927397711614</v>
      </c>
      <c r="AM465" s="78">
        <f t="shared" ref="AM465:AW465" si="344">AM265</f>
        <v>-57.144739171792679</v>
      </c>
      <c r="AN465" s="78">
        <f t="shared" si="344"/>
        <v>-59.162952822158921</v>
      </c>
      <c r="AO465" s="78">
        <f t="shared" si="344"/>
        <v>-59.890869717075248</v>
      </c>
      <c r="AP465" s="78">
        <f t="shared" si="344"/>
        <v>-60.69398597714008</v>
      </c>
      <c r="AQ465" s="78">
        <f t="shared" si="344"/>
        <v>-61.147352412660872</v>
      </c>
      <c r="AR465" s="78">
        <f t="shared" si="344"/>
        <v>-56.089233531818763</v>
      </c>
      <c r="AS465" s="78">
        <f t="shared" si="344"/>
        <v>-54.372507865623305</v>
      </c>
      <c r="AT465" s="78">
        <f t="shared" si="344"/>
        <v>-55.400544007877741</v>
      </c>
      <c r="AU465" s="78">
        <f t="shared" si="344"/>
        <v>-59.438620546533173</v>
      </c>
      <c r="AV465" s="78">
        <f t="shared" si="344"/>
        <v>-62.271683167563715</v>
      </c>
      <c r="AW465" s="78">
        <f t="shared" si="344"/>
        <v>-66.879771144022044</v>
      </c>
      <c r="AX465" s="780"/>
      <c r="AY465" s="780"/>
    </row>
    <row r="466" spans="1:51">
      <c r="A466" s="854" t="s">
        <v>910</v>
      </c>
      <c r="B466" s="851" t="s">
        <v>1016</v>
      </c>
      <c r="M466" s="78">
        <f t="shared" si="342"/>
        <v>-31.302548635353432</v>
      </c>
      <c r="N466" s="78">
        <f t="shared" si="342"/>
        <v>-28.406341977898503</v>
      </c>
      <c r="O466" s="78">
        <f t="shared" si="342"/>
        <v>-31.430770641146662</v>
      </c>
      <c r="P466" s="78">
        <f t="shared" si="342"/>
        <v>-30.369137372917596</v>
      </c>
      <c r="Q466" s="78">
        <f t="shared" si="342"/>
        <v>-31.420061519813377</v>
      </c>
      <c r="R466" s="78">
        <f t="shared" si="342"/>
        <v>-30.513083821220032</v>
      </c>
      <c r="S466" s="78">
        <f t="shared" si="342"/>
        <v>-31.435465171242569</v>
      </c>
      <c r="T466" s="78">
        <f t="shared" si="342"/>
        <v>-25.124410387725945</v>
      </c>
      <c r="U466" s="78">
        <f t="shared" si="342"/>
        <v>-15.526997651414833</v>
      </c>
      <c r="V466" s="78">
        <f t="shared" si="342"/>
        <v>-15.967745180173109</v>
      </c>
      <c r="W466" s="78">
        <f t="shared" si="342"/>
        <v>-15.423111034530711</v>
      </c>
      <c r="X466" s="78">
        <f t="shared" si="342"/>
        <v>-15.886075512189516</v>
      </c>
      <c r="Y466" s="88">
        <f t="shared" si="337"/>
        <v>-302.80574890562627</v>
      </c>
      <c r="Z466" s="78">
        <f t="shared" ref="Z466:AK466" si="345">Z266</f>
        <v>-15.981769773553385</v>
      </c>
      <c r="AA466" s="78">
        <f t="shared" si="345"/>
        <v>-14.513285808720671</v>
      </c>
      <c r="AB466" s="78">
        <f t="shared" si="345"/>
        <v>-16.060667574088264</v>
      </c>
      <c r="AC466" s="78">
        <f t="shared" si="345"/>
        <v>-15.656326123772493</v>
      </c>
      <c r="AD466" s="78">
        <f t="shared" si="345"/>
        <v>-16.176813809708246</v>
      </c>
      <c r="AE466" s="78">
        <f t="shared" si="345"/>
        <v>-15.703873973846431</v>
      </c>
      <c r="AF466" s="78">
        <f t="shared" si="345"/>
        <v>-16.209942823029593</v>
      </c>
      <c r="AG466" s="78">
        <f t="shared" si="345"/>
        <v>-16.342498657794454</v>
      </c>
      <c r="AH466" s="78">
        <f t="shared" si="345"/>
        <v>-15.998424364761151</v>
      </c>
      <c r="AI466" s="78">
        <f t="shared" si="345"/>
        <v>-16.41011894732101</v>
      </c>
      <c r="AJ466" s="78">
        <f t="shared" si="345"/>
        <v>-15.824692622606834</v>
      </c>
      <c r="AK466" s="78">
        <f t="shared" si="345"/>
        <v>-16.263953126367372</v>
      </c>
      <c r="AL466" s="88">
        <f t="shared" si="338"/>
        <v>-191.14236760556992</v>
      </c>
      <c r="AM466" s="78">
        <f t="shared" ref="AM466:AW466" si="346">AM266</f>
        <v>-199.62313740427879</v>
      </c>
      <c r="AN466" s="78">
        <f t="shared" si="346"/>
        <v>-205.7529572786253</v>
      </c>
      <c r="AO466" s="78">
        <f t="shared" si="346"/>
        <v>-211.2775575918331</v>
      </c>
      <c r="AP466" s="78">
        <f t="shared" si="346"/>
        <v>-217.10206713828808</v>
      </c>
      <c r="AQ466" s="78">
        <f t="shared" si="346"/>
        <v>-204.9523694967809</v>
      </c>
      <c r="AR466" s="78">
        <f t="shared" si="346"/>
        <v>-183.78709913824244</v>
      </c>
      <c r="AS466" s="78">
        <f t="shared" si="346"/>
        <v>-176.00991538217545</v>
      </c>
      <c r="AT466" s="78">
        <f t="shared" si="346"/>
        <v>-178.75890446641077</v>
      </c>
      <c r="AU466" s="78">
        <f t="shared" si="346"/>
        <v>-193.84874472931259</v>
      </c>
      <c r="AV466" s="78">
        <f t="shared" si="346"/>
        <v>-205.37146364900789</v>
      </c>
      <c r="AW466" s="78">
        <f t="shared" si="346"/>
        <v>-221.14433922399863</v>
      </c>
      <c r="AX466" s="780"/>
      <c r="AY466" s="780"/>
    </row>
    <row r="467" spans="1:51">
      <c r="A467" s="854" t="s">
        <v>645</v>
      </c>
      <c r="B467" s="851" t="s">
        <v>911</v>
      </c>
      <c r="Y467" s="88">
        <f t="shared" si="337"/>
        <v>0</v>
      </c>
      <c r="AL467" s="88">
        <f t="shared" si="338"/>
        <v>0</v>
      </c>
    </row>
    <row r="468" spans="1:51">
      <c r="A468" s="854">
        <v>447.24200000000002</v>
      </c>
      <c r="B468" s="851" t="s">
        <v>916</v>
      </c>
      <c r="Y468" s="88">
        <f t="shared" si="337"/>
        <v>0</v>
      </c>
      <c r="AL468" s="88">
        <f t="shared" si="338"/>
        <v>0</v>
      </c>
    </row>
    <row r="469" spans="1:51">
      <c r="A469" s="854" t="s">
        <v>0</v>
      </c>
      <c r="B469" s="851" t="s">
        <v>1</v>
      </c>
      <c r="Y469" s="88">
        <f t="shared" si="337"/>
        <v>0</v>
      </c>
      <c r="AL469" s="88">
        <f t="shared" si="338"/>
        <v>0</v>
      </c>
    </row>
    <row r="470" spans="1:51">
      <c r="A470" s="854" t="s">
        <v>2</v>
      </c>
      <c r="B470" s="851" t="s">
        <v>37</v>
      </c>
      <c r="Y470" s="88">
        <f t="shared" si="337"/>
        <v>0</v>
      </c>
      <c r="AL470" s="88">
        <f t="shared" si="338"/>
        <v>0</v>
      </c>
    </row>
    <row r="471" spans="1:51">
      <c r="A471" s="854" t="s">
        <v>38</v>
      </c>
      <c r="B471" s="851" t="s">
        <v>39</v>
      </c>
      <c r="Y471" s="88">
        <f t="shared" si="337"/>
        <v>0</v>
      </c>
      <c r="AL471" s="88">
        <f t="shared" si="338"/>
        <v>0</v>
      </c>
    </row>
    <row r="472" spans="1:51">
      <c r="A472" s="854" t="s">
        <v>720</v>
      </c>
      <c r="B472" s="851" t="s">
        <v>1004</v>
      </c>
      <c r="Y472" s="88">
        <f t="shared" si="337"/>
        <v>0</v>
      </c>
      <c r="AL472" s="88">
        <f t="shared" si="338"/>
        <v>0</v>
      </c>
    </row>
    <row r="473" spans="1:51">
      <c r="A473" s="854">
        <v>500.1</v>
      </c>
      <c r="B473" s="851" t="s">
        <v>1004</v>
      </c>
      <c r="Y473" s="88">
        <f t="shared" si="337"/>
        <v>0</v>
      </c>
      <c r="AL473" s="88">
        <f t="shared" si="338"/>
        <v>0</v>
      </c>
    </row>
    <row r="474" spans="1:51">
      <c r="A474" s="854">
        <v>501.1</v>
      </c>
      <c r="B474" s="851" t="s">
        <v>46</v>
      </c>
      <c r="Y474" s="88">
        <f t="shared" si="337"/>
        <v>0</v>
      </c>
      <c r="AL474" s="88">
        <f t="shared" si="338"/>
        <v>0</v>
      </c>
    </row>
    <row r="475" spans="1:51">
      <c r="A475" s="854">
        <v>501.2</v>
      </c>
      <c r="B475" s="855" t="s">
        <v>1029</v>
      </c>
      <c r="Y475" s="88">
        <f t="shared" si="337"/>
        <v>0</v>
      </c>
      <c r="AL475" s="88">
        <f t="shared" si="338"/>
        <v>0</v>
      </c>
    </row>
    <row r="476" spans="1:51">
      <c r="A476" s="854">
        <v>501.1</v>
      </c>
      <c r="B476" s="851" t="s">
        <v>48</v>
      </c>
      <c r="Y476" s="88">
        <f t="shared" si="337"/>
        <v>0</v>
      </c>
      <c r="AL476" s="88">
        <f t="shared" si="338"/>
        <v>0</v>
      </c>
    </row>
    <row r="477" spans="1:51">
      <c r="A477" s="854">
        <v>501.1</v>
      </c>
      <c r="B477" s="851" t="s">
        <v>50</v>
      </c>
      <c r="Y477" s="88">
        <f t="shared" si="337"/>
        <v>0</v>
      </c>
      <c r="AL477" s="88">
        <f t="shared" si="338"/>
        <v>0</v>
      </c>
    </row>
    <row r="478" spans="1:51">
      <c r="A478" s="854" t="s">
        <v>722</v>
      </c>
      <c r="B478" s="855" t="s">
        <v>1029</v>
      </c>
      <c r="Y478" s="88">
        <f t="shared" si="337"/>
        <v>0</v>
      </c>
      <c r="AL478" s="88">
        <f t="shared" si="338"/>
        <v>0</v>
      </c>
    </row>
    <row r="479" spans="1:51">
      <c r="A479" s="854">
        <v>501.1</v>
      </c>
      <c r="B479" s="851" t="s">
        <v>52</v>
      </c>
      <c r="Y479" s="88">
        <f t="shared" si="337"/>
        <v>0</v>
      </c>
      <c r="AL479" s="88">
        <f t="shared" si="338"/>
        <v>0</v>
      </c>
    </row>
    <row r="480" spans="1:51">
      <c r="A480" s="854">
        <v>501.2</v>
      </c>
      <c r="B480" s="855" t="s">
        <v>1029</v>
      </c>
      <c r="Y480" s="88">
        <f t="shared" si="337"/>
        <v>0</v>
      </c>
      <c r="AL480" s="88">
        <f t="shared" si="338"/>
        <v>0</v>
      </c>
    </row>
    <row r="481" spans="1:38">
      <c r="A481" s="854">
        <v>501.1</v>
      </c>
      <c r="B481" s="851" t="s">
        <v>54</v>
      </c>
      <c r="Y481" s="88">
        <f t="shared" si="337"/>
        <v>0</v>
      </c>
      <c r="AL481" s="88">
        <f t="shared" si="338"/>
        <v>0</v>
      </c>
    </row>
    <row r="482" spans="1:38">
      <c r="A482" s="854">
        <v>501.1</v>
      </c>
      <c r="B482" s="851" t="s">
        <v>57</v>
      </c>
      <c r="Y482" s="88">
        <f t="shared" si="337"/>
        <v>0</v>
      </c>
      <c r="AL482" s="88">
        <f t="shared" si="338"/>
        <v>0</v>
      </c>
    </row>
    <row r="483" spans="1:38">
      <c r="A483" s="854">
        <v>501.3</v>
      </c>
      <c r="B483" s="855" t="s">
        <v>1030</v>
      </c>
      <c r="Y483" s="88">
        <f t="shared" si="337"/>
        <v>0</v>
      </c>
      <c r="AL483" s="88">
        <f t="shared" si="338"/>
        <v>0</v>
      </c>
    </row>
    <row r="484" spans="1:38">
      <c r="A484" s="854">
        <v>501.1</v>
      </c>
      <c r="B484" s="851" t="s">
        <v>59</v>
      </c>
      <c r="Y484" s="88">
        <f t="shared" si="337"/>
        <v>0</v>
      </c>
      <c r="AL484" s="88">
        <f t="shared" si="338"/>
        <v>0</v>
      </c>
    </row>
    <row r="485" spans="1:38">
      <c r="A485" s="854">
        <v>501.1</v>
      </c>
      <c r="B485" s="851" t="s">
        <v>61</v>
      </c>
      <c r="Y485" s="88">
        <f t="shared" si="337"/>
        <v>0</v>
      </c>
      <c r="AL485" s="88">
        <f t="shared" si="338"/>
        <v>0</v>
      </c>
    </row>
    <row r="486" spans="1:38">
      <c r="A486" s="854">
        <v>501.1</v>
      </c>
      <c r="B486" s="851" t="s">
        <v>63</v>
      </c>
      <c r="Y486" s="88">
        <f t="shared" si="337"/>
        <v>0</v>
      </c>
      <c r="AL486" s="88">
        <f t="shared" si="338"/>
        <v>0</v>
      </c>
    </row>
    <row r="487" spans="1:38">
      <c r="A487" s="854" t="s">
        <v>725</v>
      </c>
      <c r="B487" s="852" t="s">
        <v>1022</v>
      </c>
      <c r="Y487" s="88">
        <f t="shared" si="337"/>
        <v>0</v>
      </c>
      <c r="AL487" s="88">
        <f t="shared" si="338"/>
        <v>0</v>
      </c>
    </row>
    <row r="488" spans="1:38">
      <c r="A488" s="854" t="s">
        <v>537</v>
      </c>
      <c r="B488" s="852" t="s">
        <v>1022</v>
      </c>
      <c r="Y488" s="88">
        <f t="shared" si="337"/>
        <v>0</v>
      </c>
      <c r="AL488" s="88">
        <f t="shared" si="338"/>
        <v>0</v>
      </c>
    </row>
    <row r="489" spans="1:38">
      <c r="A489" s="854">
        <v>502.1</v>
      </c>
      <c r="B489" s="852" t="s">
        <v>1022</v>
      </c>
      <c r="Y489" s="88">
        <f t="shared" si="337"/>
        <v>0</v>
      </c>
      <c r="AL489" s="88">
        <f t="shared" si="338"/>
        <v>0</v>
      </c>
    </row>
    <row r="490" spans="1:38">
      <c r="A490" s="854">
        <v>502.11</v>
      </c>
      <c r="B490" s="852" t="s">
        <v>1022</v>
      </c>
      <c r="Y490" s="88">
        <f t="shared" si="337"/>
        <v>0</v>
      </c>
      <c r="AL490" s="88">
        <f t="shared" si="338"/>
        <v>0</v>
      </c>
    </row>
    <row r="491" spans="1:38">
      <c r="A491" s="854">
        <v>502.11</v>
      </c>
      <c r="B491" s="852" t="s">
        <v>1022</v>
      </c>
      <c r="Y491" s="88">
        <f t="shared" si="337"/>
        <v>0</v>
      </c>
      <c r="AL491" s="88">
        <f t="shared" si="338"/>
        <v>0</v>
      </c>
    </row>
    <row r="492" spans="1:38">
      <c r="A492" s="854" t="s">
        <v>729</v>
      </c>
      <c r="B492" s="852" t="s">
        <v>1022</v>
      </c>
      <c r="Y492" s="88">
        <f t="shared" si="337"/>
        <v>0</v>
      </c>
      <c r="AL492" s="88">
        <f t="shared" si="338"/>
        <v>0</v>
      </c>
    </row>
    <row r="493" spans="1:38">
      <c r="A493" s="854">
        <v>502.1</v>
      </c>
      <c r="B493" s="852" t="s">
        <v>1022</v>
      </c>
      <c r="Y493" s="88">
        <f t="shared" si="337"/>
        <v>0</v>
      </c>
      <c r="AL493" s="88">
        <f t="shared" si="338"/>
        <v>0</v>
      </c>
    </row>
    <row r="494" spans="1:38">
      <c r="A494" s="854" t="s">
        <v>730</v>
      </c>
      <c r="B494" s="851" t="s">
        <v>972</v>
      </c>
      <c r="Y494" s="88">
        <f t="shared" si="337"/>
        <v>0</v>
      </c>
      <c r="AL494" s="88">
        <f t="shared" si="338"/>
        <v>0</v>
      </c>
    </row>
    <row r="495" spans="1:38">
      <c r="A495" s="854" t="s">
        <v>730</v>
      </c>
      <c r="B495" s="851" t="s">
        <v>972</v>
      </c>
      <c r="Y495" s="88">
        <f t="shared" si="337"/>
        <v>0</v>
      </c>
      <c r="AL495" s="88">
        <f t="shared" si="338"/>
        <v>0</v>
      </c>
    </row>
    <row r="496" spans="1:38">
      <c r="A496" s="854" t="s">
        <v>730</v>
      </c>
      <c r="B496" s="851" t="s">
        <v>972</v>
      </c>
      <c r="Y496" s="88">
        <f t="shared" si="337"/>
        <v>0</v>
      </c>
      <c r="AL496" s="88">
        <f t="shared" si="338"/>
        <v>0</v>
      </c>
    </row>
    <row r="497" spans="1:38">
      <c r="A497" s="854" t="s">
        <v>730</v>
      </c>
      <c r="B497" s="851" t="s">
        <v>972</v>
      </c>
      <c r="Y497" s="88">
        <f t="shared" si="337"/>
        <v>0</v>
      </c>
      <c r="AL497" s="88">
        <f t="shared" si="338"/>
        <v>0</v>
      </c>
    </row>
    <row r="498" spans="1:38">
      <c r="A498" s="854" t="s">
        <v>732</v>
      </c>
      <c r="B498" s="851" t="s">
        <v>973</v>
      </c>
      <c r="Y498" s="88">
        <f t="shared" ref="Y498:Y561" si="347">SUM(M498:X498)</f>
        <v>0</v>
      </c>
      <c r="AL498" s="88">
        <f t="shared" ref="AL498:AL561" si="348">SUM(Z498:AK498)</f>
        <v>0</v>
      </c>
    </row>
    <row r="499" spans="1:38">
      <c r="A499" s="854">
        <v>506.1</v>
      </c>
      <c r="B499" s="851" t="s">
        <v>973</v>
      </c>
      <c r="Y499" s="88">
        <f t="shared" si="347"/>
        <v>0</v>
      </c>
      <c r="AL499" s="88">
        <f t="shared" si="348"/>
        <v>0</v>
      </c>
    </row>
    <row r="500" spans="1:38">
      <c r="A500" s="854" t="s">
        <v>734</v>
      </c>
      <c r="B500" s="851" t="s">
        <v>973</v>
      </c>
      <c r="Y500" s="88">
        <f t="shared" si="347"/>
        <v>0</v>
      </c>
      <c r="AL500" s="88">
        <f t="shared" si="348"/>
        <v>0</v>
      </c>
    </row>
    <row r="501" spans="1:38">
      <c r="A501" s="854" t="s">
        <v>70</v>
      </c>
      <c r="B501" s="851" t="s">
        <v>974</v>
      </c>
      <c r="Y501" s="88">
        <f t="shared" si="347"/>
        <v>0</v>
      </c>
      <c r="AL501" s="88">
        <f t="shared" si="348"/>
        <v>0</v>
      </c>
    </row>
    <row r="502" spans="1:38">
      <c r="A502" s="854">
        <v>510</v>
      </c>
      <c r="B502" s="851" t="s">
        <v>975</v>
      </c>
      <c r="Y502" s="88">
        <f t="shared" si="347"/>
        <v>0</v>
      </c>
      <c r="AL502" s="88">
        <f t="shared" si="348"/>
        <v>0</v>
      </c>
    </row>
    <row r="503" spans="1:38">
      <c r="A503" s="854">
        <v>511.1</v>
      </c>
      <c r="B503" s="851" t="s">
        <v>103</v>
      </c>
      <c r="Y503" s="88">
        <f t="shared" si="347"/>
        <v>0</v>
      </c>
      <c r="AL503" s="88">
        <f t="shared" si="348"/>
        <v>0</v>
      </c>
    </row>
    <row r="504" spans="1:38">
      <c r="A504" s="854">
        <v>511.1</v>
      </c>
      <c r="B504" s="851" t="s">
        <v>104</v>
      </c>
      <c r="Y504" s="88">
        <f t="shared" si="347"/>
        <v>0</v>
      </c>
      <c r="AL504" s="88">
        <f t="shared" si="348"/>
        <v>0</v>
      </c>
    </row>
    <row r="505" spans="1:38">
      <c r="A505" s="854" t="s">
        <v>737</v>
      </c>
      <c r="B505" s="851" t="s">
        <v>976</v>
      </c>
      <c r="Y505" s="88">
        <f t="shared" si="347"/>
        <v>0</v>
      </c>
      <c r="AL505" s="88">
        <f t="shared" si="348"/>
        <v>0</v>
      </c>
    </row>
    <row r="506" spans="1:38">
      <c r="A506" s="854" t="s">
        <v>737</v>
      </c>
      <c r="B506" s="851" t="s">
        <v>976</v>
      </c>
      <c r="Y506" s="88">
        <f t="shared" si="347"/>
        <v>0</v>
      </c>
      <c r="AL506" s="88">
        <f t="shared" si="348"/>
        <v>0</v>
      </c>
    </row>
    <row r="507" spans="1:38">
      <c r="A507" s="854" t="s">
        <v>737</v>
      </c>
      <c r="B507" s="851" t="s">
        <v>976</v>
      </c>
      <c r="Y507" s="88">
        <f t="shared" si="347"/>
        <v>0</v>
      </c>
      <c r="AL507" s="88">
        <f t="shared" si="348"/>
        <v>0</v>
      </c>
    </row>
    <row r="508" spans="1:38">
      <c r="A508" s="854">
        <v>512.11</v>
      </c>
      <c r="B508" s="852" t="s">
        <v>976</v>
      </c>
      <c r="Y508" s="88">
        <f t="shared" si="347"/>
        <v>0</v>
      </c>
      <c r="AL508" s="88">
        <f t="shared" si="348"/>
        <v>0</v>
      </c>
    </row>
    <row r="509" spans="1:38">
      <c r="A509" s="854" t="s">
        <v>741</v>
      </c>
      <c r="B509" s="851" t="s">
        <v>977</v>
      </c>
      <c r="Y509" s="88">
        <f t="shared" si="347"/>
        <v>0</v>
      </c>
      <c r="AL509" s="88">
        <f t="shared" si="348"/>
        <v>0</v>
      </c>
    </row>
    <row r="510" spans="1:38">
      <c r="A510" s="854">
        <v>513.1</v>
      </c>
      <c r="B510" s="851" t="s">
        <v>977</v>
      </c>
      <c r="Y510" s="88">
        <f t="shared" si="347"/>
        <v>0</v>
      </c>
      <c r="AL510" s="88">
        <f t="shared" si="348"/>
        <v>0</v>
      </c>
    </row>
    <row r="511" spans="1:38">
      <c r="A511" s="854">
        <v>514.1</v>
      </c>
      <c r="B511" s="851" t="s">
        <v>978</v>
      </c>
      <c r="Y511" s="88">
        <f t="shared" si="347"/>
        <v>0</v>
      </c>
      <c r="AL511" s="88">
        <f t="shared" si="348"/>
        <v>0</v>
      </c>
    </row>
    <row r="512" spans="1:38">
      <c r="A512" s="854">
        <v>514.1</v>
      </c>
      <c r="B512" s="851" t="s">
        <v>978</v>
      </c>
      <c r="Y512" s="88">
        <f t="shared" si="347"/>
        <v>0</v>
      </c>
      <c r="AL512" s="88">
        <f t="shared" si="348"/>
        <v>0</v>
      </c>
    </row>
    <row r="513" spans="1:38">
      <c r="A513" s="854">
        <v>514.1</v>
      </c>
      <c r="B513" s="851" t="s">
        <v>978</v>
      </c>
      <c r="Y513" s="88">
        <f t="shared" si="347"/>
        <v>0</v>
      </c>
      <c r="AL513" s="88">
        <f t="shared" si="348"/>
        <v>0</v>
      </c>
    </row>
    <row r="514" spans="1:38">
      <c r="A514" s="854">
        <v>548.1</v>
      </c>
      <c r="B514" s="851" t="s">
        <v>979</v>
      </c>
      <c r="Y514" s="88">
        <f t="shared" si="347"/>
        <v>0</v>
      </c>
      <c r="AL514" s="88">
        <f t="shared" si="348"/>
        <v>0</v>
      </c>
    </row>
    <row r="515" spans="1:38">
      <c r="A515" s="854" t="s">
        <v>83</v>
      </c>
      <c r="B515" s="851" t="s">
        <v>84</v>
      </c>
      <c r="Y515" s="88">
        <f t="shared" si="347"/>
        <v>0</v>
      </c>
      <c r="AL515" s="88">
        <f t="shared" si="348"/>
        <v>0</v>
      </c>
    </row>
    <row r="516" spans="1:38">
      <c r="A516" s="854" t="s">
        <v>546</v>
      </c>
      <c r="B516" s="851" t="s">
        <v>89</v>
      </c>
      <c r="Y516" s="88">
        <f t="shared" si="347"/>
        <v>0</v>
      </c>
      <c r="AL516" s="88">
        <f t="shared" si="348"/>
        <v>0</v>
      </c>
    </row>
    <row r="517" spans="1:38">
      <c r="A517" s="854" t="s">
        <v>548</v>
      </c>
      <c r="B517" s="851" t="s">
        <v>90</v>
      </c>
      <c r="Y517" s="88">
        <f t="shared" si="347"/>
        <v>0</v>
      </c>
      <c r="AL517" s="88">
        <f t="shared" si="348"/>
        <v>0</v>
      </c>
    </row>
    <row r="518" spans="1:38">
      <c r="A518" s="854" t="s">
        <v>646</v>
      </c>
      <c r="B518" s="851" t="s">
        <v>91</v>
      </c>
      <c r="Y518" s="88">
        <f t="shared" si="347"/>
        <v>0</v>
      </c>
      <c r="AL518" s="88">
        <f t="shared" si="348"/>
        <v>0</v>
      </c>
    </row>
    <row r="519" spans="1:38">
      <c r="A519" s="854" t="s">
        <v>92</v>
      </c>
      <c r="B519" s="851" t="s">
        <v>93</v>
      </c>
      <c r="Y519" s="88">
        <f t="shared" si="347"/>
        <v>0</v>
      </c>
      <c r="AL519" s="88">
        <f t="shared" si="348"/>
        <v>0</v>
      </c>
    </row>
    <row r="520" spans="1:38">
      <c r="A520" s="854" t="s">
        <v>647</v>
      </c>
      <c r="B520" s="851" t="s">
        <v>94</v>
      </c>
      <c r="Y520" s="88">
        <f t="shared" si="347"/>
        <v>0</v>
      </c>
      <c r="AL520" s="88">
        <f t="shared" si="348"/>
        <v>0</v>
      </c>
    </row>
    <row r="521" spans="1:38">
      <c r="A521" s="854">
        <v>557.35</v>
      </c>
      <c r="B521" s="851" t="s">
        <v>1010</v>
      </c>
      <c r="Y521" s="88">
        <f t="shared" si="347"/>
        <v>0</v>
      </c>
      <c r="AL521" s="88">
        <f t="shared" si="348"/>
        <v>0</v>
      </c>
    </row>
    <row r="522" spans="1:38">
      <c r="A522" s="854" t="s">
        <v>744</v>
      </c>
      <c r="B522" s="851" t="s">
        <v>980</v>
      </c>
      <c r="Y522" s="88">
        <f t="shared" si="347"/>
        <v>0</v>
      </c>
      <c r="AL522" s="88">
        <f t="shared" si="348"/>
        <v>0</v>
      </c>
    </row>
    <row r="523" spans="1:38">
      <c r="A523" s="854">
        <v>560.1</v>
      </c>
      <c r="B523" s="851" t="s">
        <v>980</v>
      </c>
      <c r="Y523" s="88">
        <f t="shared" si="347"/>
        <v>0</v>
      </c>
      <c r="AL523" s="88">
        <f t="shared" si="348"/>
        <v>0</v>
      </c>
    </row>
    <row r="524" spans="1:38">
      <c r="A524" s="854" t="s">
        <v>746</v>
      </c>
      <c r="B524" s="851" t="s">
        <v>981</v>
      </c>
      <c r="Y524" s="88">
        <f t="shared" si="347"/>
        <v>0</v>
      </c>
      <c r="AL524" s="88">
        <f t="shared" si="348"/>
        <v>0</v>
      </c>
    </row>
    <row r="525" spans="1:38">
      <c r="A525" s="854" t="s">
        <v>751</v>
      </c>
      <c r="B525" s="851" t="s">
        <v>982</v>
      </c>
      <c r="Y525" s="88">
        <f t="shared" si="347"/>
        <v>0</v>
      </c>
      <c r="AL525" s="88">
        <f t="shared" si="348"/>
        <v>0</v>
      </c>
    </row>
    <row r="526" spans="1:38">
      <c r="A526" s="854">
        <v>561.1</v>
      </c>
      <c r="B526" s="851" t="s">
        <v>982</v>
      </c>
      <c r="Y526" s="88">
        <f t="shared" si="347"/>
        <v>0</v>
      </c>
      <c r="AL526" s="88">
        <f t="shared" si="348"/>
        <v>0</v>
      </c>
    </row>
    <row r="527" spans="1:38">
      <c r="A527" s="854">
        <v>561.4</v>
      </c>
      <c r="B527" s="851" t="s">
        <v>869</v>
      </c>
      <c r="Y527" s="88">
        <f t="shared" si="347"/>
        <v>0</v>
      </c>
      <c r="AL527" s="88">
        <f t="shared" si="348"/>
        <v>0</v>
      </c>
    </row>
    <row r="528" spans="1:38">
      <c r="A528" s="854">
        <v>561.79999999999995</v>
      </c>
      <c r="B528" s="851" t="s">
        <v>869</v>
      </c>
      <c r="Y528" s="88">
        <f t="shared" si="347"/>
        <v>0</v>
      </c>
      <c r="AL528" s="88">
        <f t="shared" si="348"/>
        <v>0</v>
      </c>
    </row>
    <row r="529" spans="1:38">
      <c r="A529" s="854" t="s">
        <v>753</v>
      </c>
      <c r="B529" s="851" t="s">
        <v>983</v>
      </c>
      <c r="Y529" s="88">
        <f t="shared" si="347"/>
        <v>0</v>
      </c>
      <c r="AL529" s="88">
        <f t="shared" si="348"/>
        <v>0</v>
      </c>
    </row>
    <row r="530" spans="1:38">
      <c r="A530" s="854">
        <v>562.1</v>
      </c>
      <c r="B530" s="851" t="s">
        <v>983</v>
      </c>
      <c r="Y530" s="88">
        <f t="shared" si="347"/>
        <v>0</v>
      </c>
      <c r="AL530" s="88">
        <f t="shared" si="348"/>
        <v>0</v>
      </c>
    </row>
    <row r="531" spans="1:38">
      <c r="A531" s="854" t="s">
        <v>755</v>
      </c>
      <c r="B531" s="851" t="s">
        <v>984</v>
      </c>
      <c r="Y531" s="88">
        <f t="shared" si="347"/>
        <v>0</v>
      </c>
      <c r="AL531" s="88">
        <f t="shared" si="348"/>
        <v>0</v>
      </c>
    </row>
    <row r="532" spans="1:38">
      <c r="A532" s="854">
        <v>563.1</v>
      </c>
      <c r="B532" s="851" t="s">
        <v>984</v>
      </c>
      <c r="Y532" s="88">
        <f t="shared" si="347"/>
        <v>0</v>
      </c>
      <c r="AL532" s="88">
        <f t="shared" si="348"/>
        <v>0</v>
      </c>
    </row>
    <row r="533" spans="1:38">
      <c r="A533" s="854" t="s">
        <v>649</v>
      </c>
      <c r="B533" s="851" t="s">
        <v>99</v>
      </c>
      <c r="Y533" s="88">
        <f t="shared" si="347"/>
        <v>0</v>
      </c>
      <c r="AL533" s="88">
        <f t="shared" si="348"/>
        <v>0</v>
      </c>
    </row>
    <row r="534" spans="1:38">
      <c r="A534" s="854" t="s">
        <v>757</v>
      </c>
      <c r="B534" s="851" t="s">
        <v>985</v>
      </c>
      <c r="Y534" s="88">
        <f t="shared" si="347"/>
        <v>0</v>
      </c>
      <c r="AL534" s="88">
        <f t="shared" si="348"/>
        <v>0</v>
      </c>
    </row>
    <row r="535" spans="1:38">
      <c r="A535" s="854">
        <v>566.1</v>
      </c>
      <c r="B535" s="851" t="s">
        <v>985</v>
      </c>
      <c r="Y535" s="88">
        <f t="shared" si="347"/>
        <v>0</v>
      </c>
      <c r="AL535" s="88">
        <f t="shared" si="348"/>
        <v>0</v>
      </c>
    </row>
    <row r="536" spans="1:38">
      <c r="A536" s="854" t="s">
        <v>794</v>
      </c>
      <c r="B536" s="851" t="s">
        <v>986</v>
      </c>
      <c r="Y536" s="88">
        <f t="shared" si="347"/>
        <v>0</v>
      </c>
      <c r="AL536" s="88">
        <f t="shared" si="348"/>
        <v>0</v>
      </c>
    </row>
    <row r="537" spans="1:38">
      <c r="A537" s="854">
        <v>566.20000000000005</v>
      </c>
      <c r="B537" s="851" t="s">
        <v>986</v>
      </c>
      <c r="Y537" s="88">
        <f t="shared" si="347"/>
        <v>0</v>
      </c>
      <c r="AL537" s="88">
        <f t="shared" si="348"/>
        <v>0</v>
      </c>
    </row>
    <row r="538" spans="1:38">
      <c r="A538" s="854" t="s">
        <v>100</v>
      </c>
      <c r="B538" s="851" t="s">
        <v>101</v>
      </c>
      <c r="Y538" s="88">
        <f t="shared" si="347"/>
        <v>0</v>
      </c>
      <c r="AL538" s="88">
        <f t="shared" si="348"/>
        <v>0</v>
      </c>
    </row>
    <row r="539" spans="1:38">
      <c r="A539" s="854" t="s">
        <v>796</v>
      </c>
      <c r="B539" s="851" t="s">
        <v>987</v>
      </c>
      <c r="Y539" s="88">
        <f t="shared" si="347"/>
        <v>0</v>
      </c>
      <c r="AL539" s="88">
        <f t="shared" si="348"/>
        <v>0</v>
      </c>
    </row>
    <row r="540" spans="1:38">
      <c r="A540" s="854">
        <v>568.1</v>
      </c>
      <c r="B540" s="851" t="s">
        <v>987</v>
      </c>
      <c r="Y540" s="88">
        <f t="shared" si="347"/>
        <v>0</v>
      </c>
      <c r="AL540" s="88">
        <f t="shared" si="348"/>
        <v>0</v>
      </c>
    </row>
    <row r="541" spans="1:38">
      <c r="A541" s="854" t="s">
        <v>798</v>
      </c>
      <c r="B541" s="851" t="s">
        <v>988</v>
      </c>
      <c r="Y541" s="88">
        <f t="shared" si="347"/>
        <v>0</v>
      </c>
      <c r="AL541" s="88">
        <f t="shared" si="348"/>
        <v>0</v>
      </c>
    </row>
    <row r="542" spans="1:38">
      <c r="A542" s="854" t="s">
        <v>102</v>
      </c>
      <c r="B542" s="851" t="s">
        <v>989</v>
      </c>
      <c r="Y542" s="88">
        <f t="shared" si="347"/>
        <v>0</v>
      </c>
      <c r="AL542" s="88">
        <f t="shared" si="348"/>
        <v>0</v>
      </c>
    </row>
    <row r="543" spans="1:38">
      <c r="A543" s="854">
        <v>569.1</v>
      </c>
      <c r="B543" s="851" t="s">
        <v>989</v>
      </c>
      <c r="Y543" s="88">
        <f t="shared" si="347"/>
        <v>0</v>
      </c>
      <c r="AL543" s="88">
        <f t="shared" si="348"/>
        <v>0</v>
      </c>
    </row>
    <row r="544" spans="1:38">
      <c r="A544" s="854" t="s">
        <v>800</v>
      </c>
      <c r="B544" s="851" t="s">
        <v>990</v>
      </c>
      <c r="Y544" s="88">
        <f t="shared" si="347"/>
        <v>0</v>
      </c>
      <c r="AL544" s="88">
        <f t="shared" si="348"/>
        <v>0</v>
      </c>
    </row>
    <row r="545" spans="1:38">
      <c r="A545" s="854">
        <v>570.1</v>
      </c>
      <c r="B545" s="851" t="s">
        <v>990</v>
      </c>
      <c r="Y545" s="88">
        <f t="shared" si="347"/>
        <v>0</v>
      </c>
      <c r="AL545" s="88">
        <f t="shared" si="348"/>
        <v>0</v>
      </c>
    </row>
    <row r="546" spans="1:38">
      <c r="A546" s="854" t="s">
        <v>802</v>
      </c>
      <c r="B546" s="851" t="s">
        <v>991</v>
      </c>
      <c r="Y546" s="88">
        <f t="shared" si="347"/>
        <v>0</v>
      </c>
      <c r="AL546" s="88">
        <f t="shared" si="348"/>
        <v>0</v>
      </c>
    </row>
    <row r="547" spans="1:38">
      <c r="A547" s="854">
        <v>571.1</v>
      </c>
      <c r="B547" s="851" t="s">
        <v>991</v>
      </c>
      <c r="Y547" s="88">
        <f t="shared" si="347"/>
        <v>0</v>
      </c>
      <c r="AL547" s="88">
        <f t="shared" si="348"/>
        <v>0</v>
      </c>
    </row>
    <row r="548" spans="1:38">
      <c r="A548" s="854" t="s">
        <v>804</v>
      </c>
      <c r="B548" s="851" t="s">
        <v>992</v>
      </c>
      <c r="Y548" s="88">
        <f t="shared" si="347"/>
        <v>0</v>
      </c>
      <c r="AL548" s="88">
        <f t="shared" si="348"/>
        <v>0</v>
      </c>
    </row>
    <row r="549" spans="1:38">
      <c r="A549" s="854">
        <v>573.1</v>
      </c>
      <c r="B549" s="851" t="s">
        <v>992</v>
      </c>
      <c r="Y549" s="88">
        <f t="shared" si="347"/>
        <v>0</v>
      </c>
      <c r="AL549" s="88">
        <f t="shared" si="348"/>
        <v>0</v>
      </c>
    </row>
    <row r="550" spans="1:38">
      <c r="A550" s="854" t="s">
        <v>806</v>
      </c>
      <c r="B550" s="851" t="s">
        <v>993</v>
      </c>
      <c r="Y550" s="88">
        <f t="shared" si="347"/>
        <v>0</v>
      </c>
      <c r="AL550" s="88">
        <f t="shared" si="348"/>
        <v>0</v>
      </c>
    </row>
    <row r="551" spans="1:38">
      <c r="A551" s="854">
        <v>575.70000000000005</v>
      </c>
      <c r="B551" s="851" t="s">
        <v>870</v>
      </c>
      <c r="Y551" s="88">
        <f t="shared" si="347"/>
        <v>0</v>
      </c>
      <c r="AL551" s="88">
        <f t="shared" si="348"/>
        <v>0</v>
      </c>
    </row>
    <row r="552" spans="1:38">
      <c r="A552" s="854" t="s">
        <v>808</v>
      </c>
      <c r="B552" s="851" t="s">
        <v>994</v>
      </c>
      <c r="Y552" s="88">
        <f t="shared" si="347"/>
        <v>0</v>
      </c>
      <c r="AL552" s="88">
        <f t="shared" si="348"/>
        <v>0</v>
      </c>
    </row>
    <row r="553" spans="1:38">
      <c r="A553" s="854">
        <v>908.1</v>
      </c>
      <c r="B553" s="851" t="s">
        <v>994</v>
      </c>
      <c r="Y553" s="88">
        <f t="shared" si="347"/>
        <v>0</v>
      </c>
      <c r="AL553" s="88">
        <f t="shared" si="348"/>
        <v>0</v>
      </c>
    </row>
    <row r="554" spans="1:38">
      <c r="A554" s="854">
        <v>909.1</v>
      </c>
      <c r="B554" s="851" t="s">
        <v>105</v>
      </c>
      <c r="Y554" s="88">
        <f t="shared" si="347"/>
        <v>0</v>
      </c>
      <c r="AL554" s="88">
        <f t="shared" si="348"/>
        <v>0</v>
      </c>
    </row>
    <row r="555" spans="1:38">
      <c r="A555" s="854">
        <v>913.1</v>
      </c>
      <c r="B555" s="851" t="s">
        <v>106</v>
      </c>
      <c r="Y555" s="88">
        <f t="shared" si="347"/>
        <v>0</v>
      </c>
      <c r="AL555" s="88">
        <f t="shared" si="348"/>
        <v>0</v>
      </c>
    </row>
    <row r="556" spans="1:38">
      <c r="A556" s="854" t="s">
        <v>810</v>
      </c>
      <c r="B556" s="851" t="s">
        <v>107</v>
      </c>
      <c r="Y556" s="88">
        <f t="shared" si="347"/>
        <v>0</v>
      </c>
      <c r="AL556" s="88">
        <f t="shared" si="348"/>
        <v>0</v>
      </c>
    </row>
    <row r="557" spans="1:38">
      <c r="A557" s="854" t="s">
        <v>626</v>
      </c>
      <c r="B557" s="851" t="s">
        <v>108</v>
      </c>
      <c r="Y557" s="88">
        <f t="shared" si="347"/>
        <v>0</v>
      </c>
      <c r="AL557" s="88">
        <f t="shared" si="348"/>
        <v>0</v>
      </c>
    </row>
    <row r="558" spans="1:38">
      <c r="A558" s="854" t="s">
        <v>628</v>
      </c>
      <c r="B558" s="851" t="s">
        <v>109</v>
      </c>
      <c r="Y558" s="88">
        <f t="shared" si="347"/>
        <v>0</v>
      </c>
      <c r="AL558" s="88">
        <f t="shared" si="348"/>
        <v>0</v>
      </c>
    </row>
    <row r="559" spans="1:38">
      <c r="A559" s="854">
        <v>921.10500000000002</v>
      </c>
      <c r="B559" s="853" t="s">
        <v>995</v>
      </c>
      <c r="Y559" s="88">
        <f t="shared" si="347"/>
        <v>0</v>
      </c>
      <c r="AL559" s="88">
        <f t="shared" si="348"/>
        <v>0</v>
      </c>
    </row>
    <row r="560" spans="1:38">
      <c r="A560" s="854" t="s">
        <v>637</v>
      </c>
      <c r="B560" s="851" t="s">
        <v>113</v>
      </c>
      <c r="Y560" s="88">
        <f t="shared" si="347"/>
        <v>0</v>
      </c>
      <c r="AL560" s="88">
        <f t="shared" si="348"/>
        <v>0</v>
      </c>
    </row>
    <row r="561" spans="1:51">
      <c r="A561" s="854">
        <v>923.1</v>
      </c>
      <c r="B561" s="851" t="s">
        <v>113</v>
      </c>
      <c r="Y561" s="88">
        <f t="shared" si="347"/>
        <v>0</v>
      </c>
      <c r="AL561" s="88">
        <f t="shared" si="348"/>
        <v>0</v>
      </c>
    </row>
    <row r="562" spans="1:51">
      <c r="A562" s="854" t="s">
        <v>114</v>
      </c>
      <c r="B562" s="851" t="s">
        <v>996</v>
      </c>
      <c r="Y562" s="88">
        <f t="shared" ref="Y562:Y569" si="349">SUM(M562:X562)</f>
        <v>0</v>
      </c>
      <c r="AL562" s="88">
        <f t="shared" ref="AL562:AL569" si="350">SUM(Z562:AK562)</f>
        <v>0</v>
      </c>
    </row>
    <row r="563" spans="1:51">
      <c r="A563" s="854" t="s">
        <v>115</v>
      </c>
      <c r="B563" s="851" t="s">
        <v>997</v>
      </c>
      <c r="Y563" s="88">
        <f t="shared" si="349"/>
        <v>0</v>
      </c>
      <c r="AL563" s="88">
        <f t="shared" si="350"/>
        <v>0</v>
      </c>
    </row>
    <row r="564" spans="1:51">
      <c r="A564" s="854">
        <v>926.1</v>
      </c>
      <c r="B564" s="851" t="s">
        <v>998</v>
      </c>
      <c r="Y564" s="88">
        <f t="shared" si="349"/>
        <v>0</v>
      </c>
      <c r="AL564" s="88">
        <f t="shared" si="350"/>
        <v>0</v>
      </c>
    </row>
    <row r="565" spans="1:51">
      <c r="A565" s="854" t="s">
        <v>630</v>
      </c>
      <c r="B565" s="851" t="s">
        <v>120</v>
      </c>
      <c r="Y565" s="88">
        <f t="shared" si="349"/>
        <v>0</v>
      </c>
      <c r="AL565" s="88">
        <f t="shared" si="350"/>
        <v>0</v>
      </c>
    </row>
    <row r="566" spans="1:51">
      <c r="A566" s="854">
        <v>930.2</v>
      </c>
      <c r="B566" s="851" t="s">
        <v>999</v>
      </c>
      <c r="Y566" s="88">
        <f t="shared" si="349"/>
        <v>0</v>
      </c>
      <c r="AL566" s="88">
        <f t="shared" si="350"/>
        <v>0</v>
      </c>
    </row>
    <row r="567" spans="1:51">
      <c r="A567" s="854" t="s">
        <v>122</v>
      </c>
      <c r="B567" s="851" t="s">
        <v>123</v>
      </c>
      <c r="Y567" s="88">
        <f t="shared" si="349"/>
        <v>0</v>
      </c>
      <c r="AL567" s="88">
        <f t="shared" si="350"/>
        <v>0</v>
      </c>
    </row>
    <row r="568" spans="1:51">
      <c r="A568" s="854">
        <v>935.1</v>
      </c>
      <c r="B568" s="851" t="s">
        <v>1000</v>
      </c>
      <c r="Y568" s="88">
        <f t="shared" si="349"/>
        <v>0</v>
      </c>
      <c r="AL568" s="88">
        <f t="shared" si="350"/>
        <v>0</v>
      </c>
    </row>
    <row r="569" spans="1:51">
      <c r="A569" s="854">
        <v>935.1</v>
      </c>
      <c r="B569" s="851" t="s">
        <v>1000</v>
      </c>
      <c r="Y569" s="88">
        <f t="shared" si="349"/>
        <v>0</v>
      </c>
      <c r="AL569" s="88">
        <f t="shared" si="350"/>
        <v>0</v>
      </c>
    </row>
    <row r="571" spans="1:51" s="569" customFormat="1">
      <c r="L571" s="88"/>
      <c r="Y571" s="88"/>
      <c r="AL571" s="88"/>
      <c r="AX571" s="547"/>
      <c r="AY571" s="547"/>
    </row>
    <row r="572" spans="1:51">
      <c r="M572" s="78">
        <f>SUM(M433:M571)</f>
        <v>-47.875979328848942</v>
      </c>
      <c r="N572" s="78">
        <f t="shared" ref="N572:AW572" si="351">SUM(N433:N571)</f>
        <v>-42.984753404117185</v>
      </c>
      <c r="O572" s="78">
        <f t="shared" si="351"/>
        <v>-44.787334999516546</v>
      </c>
      <c r="P572" s="78">
        <f t="shared" si="351"/>
        <v>-41.347410755506409</v>
      </c>
      <c r="Q572" s="78">
        <f t="shared" si="351"/>
        <v>-43.502041729641107</v>
      </c>
      <c r="R572" s="78">
        <f t="shared" si="351"/>
        <v>-45.358290402047317</v>
      </c>
      <c r="S572" s="78">
        <f t="shared" si="351"/>
        <v>-47.767800774246261</v>
      </c>
      <c r="T572" s="78">
        <f t="shared" si="351"/>
        <v>-43.467377659500556</v>
      </c>
      <c r="U572" s="78">
        <f t="shared" si="351"/>
        <v>-33.515978235241029</v>
      </c>
      <c r="V572" s="78">
        <f t="shared" si="351"/>
        <v>-31.648153203237051</v>
      </c>
      <c r="W572" s="78">
        <f t="shared" si="351"/>
        <v>-32.630512770542033</v>
      </c>
      <c r="X572" s="78">
        <f t="shared" si="351"/>
        <v>-37.573400085919403</v>
      </c>
      <c r="Y572" s="211">
        <f t="shared" si="351"/>
        <v>-492.45903334836385</v>
      </c>
      <c r="Z572" s="78">
        <f t="shared" si="351"/>
        <v>-39.072542157573054</v>
      </c>
      <c r="AA572" s="78">
        <f t="shared" si="351"/>
        <v>-34.94571893733216</v>
      </c>
      <c r="AB572" s="78">
        <f t="shared" si="351"/>
        <v>-34.783466618597885</v>
      </c>
      <c r="AC572" s="78">
        <f t="shared" si="351"/>
        <v>-31.269544304512209</v>
      </c>
      <c r="AD572" s="78">
        <f t="shared" si="351"/>
        <v>-33.320077430117991</v>
      </c>
      <c r="AE572" s="78">
        <f t="shared" si="351"/>
        <v>-36.531050405952527</v>
      </c>
      <c r="AF572" s="78">
        <f t="shared" si="351"/>
        <v>-38.686014955829656</v>
      </c>
      <c r="AG572" s="78">
        <f t="shared" si="351"/>
        <v>-39.380021815691535</v>
      </c>
      <c r="AH572" s="78">
        <f t="shared" si="351"/>
        <v>-34.817690002051876</v>
      </c>
      <c r="AI572" s="78">
        <f t="shared" si="351"/>
        <v>-32.782190221559055</v>
      </c>
      <c r="AJ572" s="78">
        <f t="shared" si="351"/>
        <v>-33.779109256497399</v>
      </c>
      <c r="AK572" s="78">
        <f t="shared" si="351"/>
        <v>-38.858084552077443</v>
      </c>
      <c r="AL572" s="211">
        <f t="shared" si="351"/>
        <v>-428.22551065779282</v>
      </c>
      <c r="AM572" s="78">
        <f t="shared" si="351"/>
        <v>-446.66134823563664</v>
      </c>
      <c r="AN572" s="78">
        <f t="shared" si="351"/>
        <v>-463.18412401901958</v>
      </c>
      <c r="AO572" s="78">
        <f t="shared" si="351"/>
        <v>-474.27969744781126</v>
      </c>
      <c r="AP572" s="78">
        <f t="shared" si="351"/>
        <v>-485.2342285521014</v>
      </c>
      <c r="AQ572" s="78">
        <f t="shared" si="351"/>
        <v>-476.75180529754982</v>
      </c>
      <c r="AR572" s="78">
        <f t="shared" si="351"/>
        <v>-433.67250722161361</v>
      </c>
      <c r="AS572" s="78">
        <f t="shared" si="351"/>
        <v>-419.32504068832884</v>
      </c>
      <c r="AT572" s="78">
        <f t="shared" si="351"/>
        <v>-428.26813218272423</v>
      </c>
      <c r="AU572" s="78">
        <f t="shared" si="351"/>
        <v>-463.73824931891374</v>
      </c>
      <c r="AV572" s="78">
        <f t="shared" si="351"/>
        <v>-490.99797697277916</v>
      </c>
      <c r="AW572" s="78">
        <f t="shared" si="351"/>
        <v>-529.4457951774242</v>
      </c>
      <c r="AX572" s="780"/>
      <c r="AY572" s="780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39997558519241921"/>
  </sheetPr>
  <dimension ref="A3:AZ89"/>
  <sheetViews>
    <sheetView workbookViewId="0">
      <pane xSplit="3" ySplit="4" topLeftCell="AM5" activePane="bottomRight" state="frozen"/>
      <selection pane="topRight" activeCell="D1" sqref="D1"/>
      <selection pane="bottomLeft" activeCell="A9" sqref="A9"/>
      <selection pane="bottomRight" activeCell="AY1" sqref="AY1:AZ1048576"/>
    </sheetView>
  </sheetViews>
  <sheetFormatPr defaultRowHeight="12.75"/>
  <cols>
    <col min="2" max="2" width="25.7109375" customWidth="1"/>
    <col min="3" max="3" width="8.7109375" customWidth="1"/>
    <col min="4" max="4" width="8.85546875" style="165" hidden="1" customWidth="1"/>
    <col min="5" max="12" width="9.140625" hidden="1" customWidth="1"/>
    <col min="13" max="13" width="8.85546875" style="88" hidden="1" customWidth="1"/>
    <col min="26" max="26" width="8.85546875" style="88" customWidth="1"/>
    <col min="39" max="39" width="8.85546875" style="88" customWidth="1"/>
    <col min="40" max="40" width="9.5703125" bestFit="1" customWidth="1"/>
    <col min="51" max="52" width="9.140625" style="547"/>
  </cols>
  <sheetData>
    <row r="3" spans="1:52" s="1" customFormat="1"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1"/>
      <c r="N3" s="180">
        <f>'Stmts RUS'!G1</f>
        <v>2013</v>
      </c>
      <c r="O3" s="180">
        <f>'Stmts RUS'!H1</f>
        <v>2013</v>
      </c>
      <c r="P3" s="180">
        <f>'Stmts RUS'!I1</f>
        <v>2013</v>
      </c>
      <c r="Q3" s="180">
        <f>'Stmts RUS'!J1</f>
        <v>2013</v>
      </c>
      <c r="R3" s="180">
        <f>'Stmts RUS'!K1</f>
        <v>2013</v>
      </c>
      <c r="S3" s="180">
        <f>'Stmts RUS'!L1</f>
        <v>2013</v>
      </c>
      <c r="T3" s="180">
        <f>'Stmts RUS'!M1</f>
        <v>2013</v>
      </c>
      <c r="U3" s="180">
        <f>'Stmts RUS'!N1</f>
        <v>2013</v>
      </c>
      <c r="V3" s="180">
        <f>'Stmts RUS'!O1</f>
        <v>2013</v>
      </c>
      <c r="W3" s="180">
        <f>'Stmts RUS'!P1</f>
        <v>2013</v>
      </c>
      <c r="X3" s="180">
        <f>'Stmts RUS'!Q1</f>
        <v>2013</v>
      </c>
      <c r="Y3" s="180">
        <f>'Stmts RUS'!R1</f>
        <v>2013</v>
      </c>
      <c r="Z3" s="181">
        <f>'Stmts RUS'!S1</f>
        <v>0</v>
      </c>
      <c r="AA3" s="180">
        <f>'Stmts RUS'!T1</f>
        <v>2014</v>
      </c>
      <c r="AB3" s="180">
        <f>'Stmts RUS'!U1</f>
        <v>2014</v>
      </c>
      <c r="AC3" s="180">
        <f>'Stmts RUS'!V1</f>
        <v>2014</v>
      </c>
      <c r="AD3" s="180">
        <f>'Stmts RUS'!W1</f>
        <v>2014</v>
      </c>
      <c r="AE3" s="180">
        <f>'Stmts RUS'!X1</f>
        <v>2014</v>
      </c>
      <c r="AF3" s="180">
        <f>'Stmts RUS'!Y1</f>
        <v>2014</v>
      </c>
      <c r="AG3" s="180">
        <f>'Stmts RUS'!Z1</f>
        <v>2014</v>
      </c>
      <c r="AH3" s="180">
        <f>'Stmts RUS'!AA1</f>
        <v>2014</v>
      </c>
      <c r="AI3" s="180">
        <f>'Stmts RUS'!AB1</f>
        <v>2014</v>
      </c>
      <c r="AJ3" s="180">
        <f>'Stmts RUS'!AC1</f>
        <v>2014</v>
      </c>
      <c r="AK3" s="180">
        <f>'Stmts RUS'!AD1</f>
        <v>2014</v>
      </c>
      <c r="AL3" s="180">
        <f>'Stmts RUS'!AE1</f>
        <v>2014</v>
      </c>
      <c r="AM3" s="181">
        <f>'Stmts RUS'!AF1</f>
        <v>0</v>
      </c>
      <c r="AY3" s="904"/>
      <c r="AZ3" s="904"/>
    </row>
    <row r="4" spans="1:52" s="1" customFormat="1">
      <c r="C4" s="180"/>
      <c r="D4" s="187"/>
      <c r="E4" s="180"/>
      <c r="F4" s="180"/>
      <c r="G4" s="180"/>
      <c r="H4" s="180"/>
      <c r="I4" s="180"/>
      <c r="J4" s="180"/>
      <c r="K4" s="180"/>
      <c r="L4" s="180"/>
      <c r="M4" s="181"/>
      <c r="N4" s="180" t="str">
        <f>'Stmts RUS'!G2</f>
        <v>January</v>
      </c>
      <c r="O4" s="180" t="str">
        <f>'Stmts RUS'!H2</f>
        <v>February</v>
      </c>
      <c r="P4" s="180" t="str">
        <f>'Stmts RUS'!I2</f>
        <v>March</v>
      </c>
      <c r="Q4" s="180" t="str">
        <f>'Stmts RUS'!J2</f>
        <v>April</v>
      </c>
      <c r="R4" s="180" t="str">
        <f>'Stmts RUS'!K2</f>
        <v>May</v>
      </c>
      <c r="S4" s="180" t="str">
        <f>'Stmts RUS'!L2</f>
        <v>June</v>
      </c>
      <c r="T4" s="180" t="str">
        <f>'Stmts RUS'!M2</f>
        <v>July</v>
      </c>
      <c r="U4" s="180" t="str">
        <f>'Stmts RUS'!N2</f>
        <v>August</v>
      </c>
      <c r="V4" s="180" t="str">
        <f>'Stmts RUS'!O2</f>
        <v>September</v>
      </c>
      <c r="W4" s="180" t="str">
        <f>'Stmts RUS'!P2</f>
        <v>October</v>
      </c>
      <c r="X4" s="180" t="str">
        <f>'Stmts RUS'!Q2</f>
        <v>November</v>
      </c>
      <c r="Y4" s="180" t="str">
        <f>'Stmts RUS'!R2</f>
        <v>December</v>
      </c>
      <c r="Z4" s="181">
        <f>'Stmts RUS'!S2</f>
        <v>2013</v>
      </c>
      <c r="AA4" s="180" t="str">
        <f>'Stmts RUS'!T2</f>
        <v>January</v>
      </c>
      <c r="AB4" s="180" t="str">
        <f>'Stmts RUS'!U2</f>
        <v>February</v>
      </c>
      <c r="AC4" s="180" t="str">
        <f>'Stmts RUS'!V2</f>
        <v>March</v>
      </c>
      <c r="AD4" s="180" t="str">
        <f>'Stmts RUS'!W2</f>
        <v>April</v>
      </c>
      <c r="AE4" s="180" t="str">
        <f>'Stmts RUS'!X2</f>
        <v>May</v>
      </c>
      <c r="AF4" s="180" t="str">
        <f>'Stmts RUS'!Y2</f>
        <v>June</v>
      </c>
      <c r="AG4" s="180" t="str">
        <f>'Stmts RUS'!Z2</f>
        <v>July</v>
      </c>
      <c r="AH4" s="180" t="str">
        <f>'Stmts RUS'!AA2</f>
        <v>August</v>
      </c>
      <c r="AI4" s="180" t="str">
        <f>'Stmts RUS'!AB2</f>
        <v>September</v>
      </c>
      <c r="AJ4" s="180" t="str">
        <f>'Stmts RUS'!AC2</f>
        <v>October</v>
      </c>
      <c r="AK4" s="180" t="str">
        <f>'Stmts RUS'!AD2</f>
        <v>November</v>
      </c>
      <c r="AL4" s="180" t="str">
        <f>'Stmts RUS'!AE2</f>
        <v>December</v>
      </c>
      <c r="AM4" s="181">
        <f>'Stmts RUS'!AF2</f>
        <v>2014</v>
      </c>
      <c r="AN4" s="208">
        <f>'Stmts RUS'!AG2</f>
        <v>2015</v>
      </c>
      <c r="AO4" s="208">
        <f>'Stmts RUS'!AH2</f>
        <v>2016</v>
      </c>
      <c r="AP4" s="208">
        <f>'Stmts RUS'!AI2</f>
        <v>2017</v>
      </c>
      <c r="AQ4" s="208">
        <f>'Stmts RUS'!AJ2</f>
        <v>2018</v>
      </c>
      <c r="AR4" s="208">
        <f>'Stmts RUS'!AK2</f>
        <v>2019</v>
      </c>
      <c r="AS4" s="208">
        <f>'Stmts RUS'!AL2</f>
        <v>2020</v>
      </c>
      <c r="AT4" s="208">
        <f>'Stmts RUS'!AM2</f>
        <v>2021</v>
      </c>
      <c r="AU4" s="208">
        <f>'Stmts RUS'!AN2</f>
        <v>2022</v>
      </c>
      <c r="AV4" s="208">
        <f>'Stmts RUS'!AO2</f>
        <v>2023</v>
      </c>
      <c r="AW4" s="208">
        <f>'Stmts RUS'!AP2</f>
        <v>2024</v>
      </c>
      <c r="AX4" s="208">
        <f>'Stmts RUS'!AQ2</f>
        <v>2025</v>
      </c>
      <c r="AY4" s="905"/>
      <c r="AZ4" s="905"/>
    </row>
    <row r="5" spans="1:52">
      <c r="A5" s="3"/>
      <c r="B5" t="s">
        <v>408</v>
      </c>
      <c r="C5" s="4"/>
      <c r="D5" s="191"/>
      <c r="E5" s="4"/>
      <c r="F5" s="4"/>
      <c r="G5" s="4"/>
      <c r="H5" s="4"/>
      <c r="I5" s="4"/>
      <c r="J5" s="4"/>
      <c r="K5" s="4"/>
      <c r="L5" s="4"/>
      <c r="M5" s="89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0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0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834"/>
      <c r="AZ5" s="834"/>
    </row>
    <row r="6" spans="1:52">
      <c r="A6" s="3"/>
      <c r="B6" t="s">
        <v>133</v>
      </c>
      <c r="E6" s="4"/>
      <c r="F6" s="4"/>
      <c r="G6" s="4"/>
      <c r="H6" s="4"/>
      <c r="I6" s="4"/>
      <c r="J6" s="4"/>
      <c r="K6" s="4"/>
      <c r="L6" s="4"/>
      <c r="M6" s="89"/>
      <c r="N6" s="4">
        <f>'Stmts RUS'!G7</f>
        <v>0.24920700000000001</v>
      </c>
      <c r="O6" s="4">
        <f>'Stmts RUS'!H7</f>
        <v>0.20802899999999999</v>
      </c>
      <c r="P6" s="4">
        <f>'Stmts RUS'!I7</f>
        <v>0.18765899999999999</v>
      </c>
      <c r="Q6" s="4">
        <f>'Stmts RUS'!J7</f>
        <v>0.14787700000000001</v>
      </c>
      <c r="R6" s="4">
        <f>'Stmts RUS'!K7</f>
        <v>0.165188</v>
      </c>
      <c r="S6" s="4">
        <f>'Stmts RUS'!L7</f>
        <v>0.21676000000000001</v>
      </c>
      <c r="T6" s="4">
        <f>'Stmts RUS'!M7</f>
        <v>0.24324599999999999</v>
      </c>
      <c r="U6" s="4">
        <f>'Stmts RUS'!N7</f>
        <v>0.23417299999999999</v>
      </c>
      <c r="V6" s="4">
        <f>'Stmts RUS'!O7</f>
        <v>0.178893</v>
      </c>
      <c r="W6" s="4">
        <f>'Stmts RUS'!P7</f>
        <v>0.153974</v>
      </c>
      <c r="X6" s="4">
        <f>'Stmts RUS'!Q7</f>
        <v>0.17926300000000001</v>
      </c>
      <c r="Y6" s="4">
        <f>'Stmts RUS'!R7</f>
        <v>0.245561</v>
      </c>
      <c r="Z6" s="89">
        <f>'Stmts RUS'!S7</f>
        <v>2.4098299999999999</v>
      </c>
      <c r="AA6" s="4">
        <f>'Stmts RUS'!T7</f>
        <v>0.253218</v>
      </c>
      <c r="AB6" s="4">
        <f>'Stmts RUS'!U7</f>
        <v>0.21137600000000001</v>
      </c>
      <c r="AC6" s="4">
        <f>'Stmts RUS'!V7</f>
        <v>0.190689</v>
      </c>
      <c r="AD6" s="4">
        <f>'Stmts RUS'!W7</f>
        <v>0.15026999999999999</v>
      </c>
      <c r="AE6" s="4">
        <f>'Stmts RUS'!X7</f>
        <v>0.16786699999999999</v>
      </c>
      <c r="AF6" s="4">
        <f>'Stmts RUS'!Y7</f>
        <v>0.220279</v>
      </c>
      <c r="AG6" s="4">
        <f>'Stmts RUS'!Z7</f>
        <v>0.247192</v>
      </c>
      <c r="AH6" s="4">
        <f>'Stmts RUS'!AA7</f>
        <v>0.23797499999999999</v>
      </c>
      <c r="AI6" s="4">
        <f>'Stmts RUS'!AB7</f>
        <v>0.18179500000000001</v>
      </c>
      <c r="AJ6" s="4">
        <f>'Stmts RUS'!AC7</f>
        <v>0.15646599999999999</v>
      </c>
      <c r="AK6" s="4">
        <f>'Stmts RUS'!AD7</f>
        <v>0.18215799999999999</v>
      </c>
      <c r="AL6" s="4">
        <f>'Stmts RUS'!AE7</f>
        <v>0.24950900000000001</v>
      </c>
      <c r="AM6" s="89">
        <f>'Stmts RUS'!AF7</f>
        <v>2.4487940000000004</v>
      </c>
      <c r="AN6" s="92">
        <f>'Stmts RUS'!AG7</f>
        <v>2.4796559999999999</v>
      </c>
      <c r="AO6" s="92">
        <f>'Stmts RUS'!AH7</f>
        <v>2.5194369999999999</v>
      </c>
      <c r="AP6" s="92">
        <f>'Stmts RUS'!AI7</f>
        <v>2.55653560136389</v>
      </c>
      <c r="AQ6" s="92">
        <f>'Stmts RUS'!AJ7</f>
        <v>2.5840164926056484</v>
      </c>
      <c r="AR6" s="92">
        <f>'Stmts RUS'!AK7</f>
        <v>2.6114033762574791</v>
      </c>
      <c r="AS6" s="92">
        <f>'Stmts RUS'!AL7</f>
        <v>2.6456058149199584</v>
      </c>
      <c r="AT6" s="92">
        <f>'Stmts RUS'!AM7</f>
        <v>2.6807658009380657</v>
      </c>
      <c r="AU6" s="92">
        <f>'Stmts RUS'!AN7</f>
        <v>2.7170675413719576</v>
      </c>
      <c r="AV6" s="92">
        <f>'Stmts RUS'!AO7</f>
        <v>2.7541360305730471</v>
      </c>
      <c r="AW6" s="92">
        <f>'Stmts RUS'!AP7</f>
        <v>2.7921748894342926</v>
      </c>
      <c r="AX6" s="92">
        <f>'Stmts RUS'!AQ7</f>
        <v>2.8299003046090974</v>
      </c>
      <c r="AY6" s="830"/>
      <c r="AZ6" s="830"/>
    </row>
    <row r="7" spans="1:52">
      <c r="A7" s="3"/>
      <c r="B7" t="s">
        <v>134</v>
      </c>
      <c r="E7" s="4"/>
      <c r="F7" s="4"/>
      <c r="G7" s="4"/>
      <c r="H7" s="4"/>
      <c r="I7" s="4"/>
      <c r="J7" s="4"/>
      <c r="K7" s="4"/>
      <c r="L7" s="4"/>
      <c r="M7" s="89"/>
      <c r="N7" s="4">
        <f>'Stmts RUS'!G8</f>
        <v>7.8513283399999981E-2</v>
      </c>
      <c r="O7" s="4">
        <f>'Stmts RUS'!H8</f>
        <v>7.4303305599999994E-2</v>
      </c>
      <c r="P7" s="4">
        <f>'Stmts RUS'!I8</f>
        <v>8.0396085200000023E-2</v>
      </c>
      <c r="Q7" s="4">
        <f>'Stmts RUS'!J8</f>
        <v>7.7222507999999981E-2</v>
      </c>
      <c r="R7" s="4">
        <f>'Stmts RUS'!K8</f>
        <v>7.9017435200000014E-2</v>
      </c>
      <c r="S7" s="4">
        <f>'Stmts RUS'!L8</f>
        <v>7.6864135999999986E-2</v>
      </c>
      <c r="T7" s="4">
        <f>'Stmts RUS'!M8</f>
        <v>8.2963563200000021E-2</v>
      </c>
      <c r="U7" s="4">
        <f>'Stmts RUS'!N8</f>
        <v>8.2164623199999981E-2</v>
      </c>
      <c r="V7" s="4">
        <f>'Stmts RUS'!O8</f>
        <v>7.6809088999999997E-2</v>
      </c>
      <c r="W7" s="4">
        <f>'Stmts RUS'!P8</f>
        <v>7.8868982199999993E-2</v>
      </c>
      <c r="X7" s="4">
        <f>'Stmts RUS'!Q8</f>
        <v>7.6925885999999999E-2</v>
      </c>
      <c r="Y7" s="4">
        <f>'Stmts RUS'!R8</f>
        <v>7.89785452E-2</v>
      </c>
      <c r="Z7" s="89">
        <f>'Stmts RUS'!S8</f>
        <v>0.94302744219999979</v>
      </c>
      <c r="AA7" s="4">
        <f>'Stmts RUS'!T8</f>
        <v>7.9184520199999997E-2</v>
      </c>
      <c r="AB7" s="4">
        <f>'Stmts RUS'!U8</f>
        <v>7.4303305599999994E-2</v>
      </c>
      <c r="AC7" s="4">
        <f>'Stmts RUS'!V8</f>
        <v>8.0396085200000023E-2</v>
      </c>
      <c r="AD7" s="4">
        <f>'Stmts RUS'!W8</f>
        <v>7.7222507999999981E-2</v>
      </c>
      <c r="AE7" s="4">
        <f>'Stmts RUS'!X8</f>
        <v>7.9017435200000014E-2</v>
      </c>
      <c r="AF7" s="4">
        <f>'Stmts RUS'!Y8</f>
        <v>7.6864135999999986E-2</v>
      </c>
      <c r="AG7" s="4">
        <f>'Stmts RUS'!Z8</f>
        <v>8.2963563200000021E-2</v>
      </c>
      <c r="AH7" s="4">
        <f>'Stmts RUS'!AA8</f>
        <v>8.2164623199999981E-2</v>
      </c>
      <c r="AI7" s="4">
        <f>'Stmts RUS'!AB8</f>
        <v>7.6809088999999997E-2</v>
      </c>
      <c r="AJ7" s="4">
        <f>'Stmts RUS'!AC8</f>
        <v>7.8868982199999993E-2</v>
      </c>
      <c r="AK7" s="4">
        <f>'Stmts RUS'!AD8</f>
        <v>7.6925885999999999E-2</v>
      </c>
      <c r="AL7" s="4">
        <f>'Stmts RUS'!AE8</f>
        <v>7.89785452E-2</v>
      </c>
      <c r="AM7" s="89">
        <f>'Stmts RUS'!AF8</f>
        <v>0.94369867899999971</v>
      </c>
      <c r="AN7" s="92">
        <f>'Stmts RUS'!AG8</f>
        <v>0.94369867900000004</v>
      </c>
      <c r="AO7" s="92">
        <f>'Stmts RUS'!AH8</f>
        <v>0.9441065782000001</v>
      </c>
      <c r="AP7" s="92">
        <f>'Stmts RUS'!AI8</f>
        <v>0.94369867900000015</v>
      </c>
      <c r="AQ7" s="92">
        <f>'Stmts RUS'!AJ8</f>
        <v>0.94369867900000015</v>
      </c>
      <c r="AR7" s="92">
        <f>'Stmts RUS'!AK8</f>
        <v>0.94369867900000015</v>
      </c>
      <c r="AS7" s="92">
        <f>'Stmts RUS'!AL8</f>
        <v>0.9441065782000001</v>
      </c>
      <c r="AT7" s="92">
        <f>'Stmts RUS'!AM8</f>
        <v>0.94369867900000015</v>
      </c>
      <c r="AU7" s="92">
        <f>'Stmts RUS'!AN8</f>
        <v>0.94369867900000015</v>
      </c>
      <c r="AV7" s="92">
        <f>'Stmts RUS'!AO8</f>
        <v>0.94369867900000015</v>
      </c>
      <c r="AW7" s="92">
        <f>'Stmts RUS'!AP8</f>
        <v>0.9441065782000001</v>
      </c>
      <c r="AX7" s="92">
        <f>'Stmts RUS'!AQ8</f>
        <v>0.94369867900000015</v>
      </c>
      <c r="AY7" s="830"/>
      <c r="AZ7" s="830"/>
    </row>
    <row r="8" spans="1:52">
      <c r="A8" s="3"/>
      <c r="B8" t="s">
        <v>131</v>
      </c>
      <c r="E8" s="4"/>
      <c r="F8" s="4"/>
      <c r="G8" s="4"/>
      <c r="H8" s="4"/>
      <c r="I8" s="4"/>
      <c r="J8" s="4"/>
      <c r="K8" s="4"/>
      <c r="L8" s="4"/>
      <c r="M8" s="89"/>
      <c r="N8" s="4">
        <f t="shared" ref="N8:AX8" si="0">SUM(N6:N7)</f>
        <v>0.32772028339999998</v>
      </c>
      <c r="O8" s="4">
        <f t="shared" si="0"/>
        <v>0.2823323056</v>
      </c>
      <c r="P8" s="4">
        <f t="shared" si="0"/>
        <v>0.26805508519999999</v>
      </c>
      <c r="Q8" s="4">
        <f t="shared" si="0"/>
        <v>0.225099508</v>
      </c>
      <c r="R8" s="4">
        <f t="shared" si="0"/>
        <v>0.24420543520000002</v>
      </c>
      <c r="S8" s="4">
        <f t="shared" si="0"/>
        <v>0.29362413599999998</v>
      </c>
      <c r="T8" s="4">
        <f t="shared" si="0"/>
        <v>0.3262095632</v>
      </c>
      <c r="U8" s="4">
        <f t="shared" si="0"/>
        <v>0.31633762319999997</v>
      </c>
      <c r="V8" s="4">
        <f t="shared" si="0"/>
        <v>0.25570208900000002</v>
      </c>
      <c r="W8" s="4">
        <f t="shared" si="0"/>
        <v>0.23284298219999999</v>
      </c>
      <c r="X8" s="4">
        <f t="shared" si="0"/>
        <v>0.256188886</v>
      </c>
      <c r="Y8" s="4">
        <f t="shared" si="0"/>
        <v>0.3245395452</v>
      </c>
      <c r="Z8" s="89">
        <f t="shared" si="0"/>
        <v>3.3528574421999995</v>
      </c>
      <c r="AA8" s="4">
        <f t="shared" si="0"/>
        <v>0.3324025202</v>
      </c>
      <c r="AB8" s="4">
        <f t="shared" si="0"/>
        <v>0.28567930559999999</v>
      </c>
      <c r="AC8" s="4">
        <f t="shared" si="0"/>
        <v>0.27108508520000002</v>
      </c>
      <c r="AD8" s="4">
        <f t="shared" si="0"/>
        <v>0.22749250799999998</v>
      </c>
      <c r="AE8" s="4">
        <f t="shared" si="0"/>
        <v>0.2468844352</v>
      </c>
      <c r="AF8" s="4">
        <f t="shared" si="0"/>
        <v>0.29714313599999997</v>
      </c>
      <c r="AG8" s="4">
        <f t="shared" si="0"/>
        <v>0.3301555632</v>
      </c>
      <c r="AH8" s="4">
        <f t="shared" si="0"/>
        <v>0.3201396232</v>
      </c>
      <c r="AI8" s="4">
        <f t="shared" si="0"/>
        <v>0.25860408899999998</v>
      </c>
      <c r="AJ8" s="4">
        <f t="shared" si="0"/>
        <v>0.23533498219999999</v>
      </c>
      <c r="AK8" s="4">
        <f t="shared" si="0"/>
        <v>0.25908388599999999</v>
      </c>
      <c r="AL8" s="4">
        <f t="shared" si="0"/>
        <v>0.32848754520000001</v>
      </c>
      <c r="AM8" s="89">
        <f t="shared" si="0"/>
        <v>3.3924926790000001</v>
      </c>
      <c r="AN8" s="92">
        <f t="shared" si="0"/>
        <v>3.423354679</v>
      </c>
      <c r="AO8" s="92">
        <f t="shared" si="0"/>
        <v>3.4635435781999999</v>
      </c>
      <c r="AP8" s="92">
        <f t="shared" si="0"/>
        <v>3.5002342803638902</v>
      </c>
      <c r="AQ8" s="92">
        <f t="shared" si="0"/>
        <v>3.5277151716056485</v>
      </c>
      <c r="AR8" s="92">
        <f t="shared" si="0"/>
        <v>3.5551020552574792</v>
      </c>
      <c r="AS8" s="92">
        <f t="shared" si="0"/>
        <v>3.5897123931199584</v>
      </c>
      <c r="AT8" s="92">
        <f t="shared" si="0"/>
        <v>3.6244644799380659</v>
      </c>
      <c r="AU8" s="92">
        <f t="shared" si="0"/>
        <v>3.6607662203719578</v>
      </c>
      <c r="AV8" s="92">
        <f t="shared" si="0"/>
        <v>3.6978347095730473</v>
      </c>
      <c r="AW8" s="92">
        <f t="shared" si="0"/>
        <v>3.7362814676342926</v>
      </c>
      <c r="AX8" s="92">
        <f t="shared" si="0"/>
        <v>3.7735989836090975</v>
      </c>
      <c r="AY8" s="830"/>
      <c r="AZ8" s="830"/>
    </row>
    <row r="9" spans="1:52">
      <c r="A9" s="3"/>
    </row>
    <row r="10" spans="1:52">
      <c r="A10" s="3"/>
      <c r="B10" t="s">
        <v>409</v>
      </c>
    </row>
    <row r="11" spans="1:52">
      <c r="A11" s="3"/>
      <c r="B11" s="34" t="s">
        <v>133</v>
      </c>
    </row>
    <row r="12" spans="1:52">
      <c r="A12" s="3"/>
      <c r="B12" s="48" t="s">
        <v>140</v>
      </c>
      <c r="E12" s="7"/>
      <c r="F12" s="7"/>
      <c r="G12" s="7"/>
      <c r="H12" s="7"/>
      <c r="I12" s="7"/>
      <c r="J12" s="7"/>
      <c r="K12" s="7"/>
      <c r="L12" s="7"/>
      <c r="N12" s="7">
        <f>'Stmts RUS'!G23</f>
        <v>0.62007717865555445</v>
      </c>
      <c r="O12" s="7">
        <f>'Stmts RUS'!H23</f>
        <v>0.6421071040542512</v>
      </c>
      <c r="P12" s="7">
        <f>'Stmts RUS'!I23</f>
        <v>0.60225478278805455</v>
      </c>
      <c r="Q12" s="7">
        <f>'Stmts RUS'!J23</f>
        <v>0.62588127198433741</v>
      </c>
      <c r="R12" s="7">
        <f>'Stmts RUS'!K23</f>
        <v>0.59278391830929833</v>
      </c>
      <c r="S12" s="7">
        <f>'Stmts RUS'!L23</f>
        <v>0.63759468352508031</v>
      </c>
      <c r="T12" s="7">
        <f>'Stmts RUS'!M23</f>
        <v>0.66248216110860136</v>
      </c>
      <c r="U12" s="7">
        <f>'Stmts RUS'!N23</f>
        <v>0.58999412621152492</v>
      </c>
      <c r="V12" s="7">
        <f>'Stmts RUS'!O23</f>
        <v>0.59689126143435378</v>
      </c>
      <c r="W12" s="7">
        <f>'Stmts RUS'!P23</f>
        <v>0.61518647901424628</v>
      </c>
      <c r="X12" s="7">
        <f>'Stmts RUS'!Q23</f>
        <v>0.66012020916749126</v>
      </c>
      <c r="Y12" s="7">
        <f>'Stmts RUS'!R23</f>
        <v>0.6676124459819347</v>
      </c>
      <c r="Z12" s="295"/>
      <c r="AA12" s="7">
        <f>'Stmts RUS'!T23</f>
        <v>0.62043400373191437</v>
      </c>
      <c r="AB12" s="7">
        <f>'Stmts RUS'!U23</f>
        <v>0.64246229139912725</v>
      </c>
      <c r="AC12" s="7">
        <f>'Stmts RUS'!V23</f>
        <v>0.60260522845273723</v>
      </c>
      <c r="AD12" s="7">
        <f>'Stmts RUS'!W23</f>
        <v>0.62624991477063163</v>
      </c>
      <c r="AE12" s="7">
        <f>'Stmts RUS'!X23</f>
        <v>0.59364426524473113</v>
      </c>
      <c r="AF12" s="7">
        <f>'Stmts RUS'!Y23</f>
        <v>0.63853402059300746</v>
      </c>
      <c r="AG12" s="7">
        <f>'Stmts RUS'!Z23</f>
        <v>0.66345047987002659</v>
      </c>
      <c r="AH12" s="7">
        <f>'Stmts RUS'!AA23</f>
        <v>0.59087102603416286</v>
      </c>
      <c r="AI12" s="7">
        <f>'Stmts RUS'!AB23</f>
        <v>0.59773994674262954</v>
      </c>
      <c r="AJ12" s="7">
        <f>'Stmts RUS'!AC23</f>
        <v>0.61610720943528086</v>
      </c>
      <c r="AK12" s="7">
        <f>'Stmts RUS'!AD23</f>
        <v>0.66046475335513422</v>
      </c>
      <c r="AL12" s="7">
        <f>'Stmts RUS'!AE23</f>
        <v>0.66797559720524868</v>
      </c>
      <c r="AM12" s="295"/>
      <c r="AN12" s="7">
        <f>'Stmts RUS'!AG23</f>
        <v>0.62782250002765549</v>
      </c>
      <c r="AO12" s="7">
        <f>'Stmts RUS'!AH23</f>
        <v>0.62671924038793869</v>
      </c>
      <c r="AP12" s="7">
        <f>'Stmts RUS'!AI23</f>
        <v>0.62898595107032895</v>
      </c>
      <c r="AQ12" s="7">
        <f>'Stmts RUS'!AJ23</f>
        <v>0.62933437542435455</v>
      </c>
      <c r="AR12" s="7">
        <f>'Stmts RUS'!AK23</f>
        <v>0.62967238891181321</v>
      </c>
      <c r="AS12" s="7">
        <f>'Stmts RUS'!AL23</f>
        <v>0.6284174118968795</v>
      </c>
      <c r="AT12" s="7">
        <f>'Stmts RUS'!AM23</f>
        <v>0.63061230814641067</v>
      </c>
      <c r="AU12" s="7">
        <f>'Stmts RUS'!AN23</f>
        <v>0.63108850845459619</v>
      </c>
      <c r="AV12" s="7">
        <f>'Stmts RUS'!AO23</f>
        <v>0.63156353660383147</v>
      </c>
      <c r="AW12" s="7">
        <f>'Stmts RUS'!AP23</f>
        <v>0.63031291025674219</v>
      </c>
      <c r="AX12" s="7">
        <f>'Stmts RUS'!AQ23</f>
        <v>0.63250272799411034</v>
      </c>
      <c r="AY12" s="829"/>
      <c r="AZ12" s="829"/>
    </row>
    <row r="13" spans="1:52">
      <c r="A13" s="3"/>
      <c r="B13" s="48" t="s">
        <v>141</v>
      </c>
      <c r="E13" s="4"/>
      <c r="F13" s="4"/>
      <c r="G13" s="4"/>
      <c r="H13" s="4"/>
      <c r="I13" s="4"/>
      <c r="J13" s="4"/>
      <c r="K13" s="4"/>
      <c r="L13" s="4"/>
      <c r="N13" s="4">
        <f>'Stmts RUS'!G24</f>
        <v>9.5</v>
      </c>
      <c r="O13" s="4">
        <f>'Stmts RUS'!H24</f>
        <v>9.5</v>
      </c>
      <c r="P13" s="4">
        <f>'Stmts RUS'!I24</f>
        <v>9.5</v>
      </c>
      <c r="Q13" s="4">
        <f>'Stmts RUS'!J24</f>
        <v>9.5</v>
      </c>
      <c r="R13" s="4">
        <f>'Stmts RUS'!K24</f>
        <v>9.5</v>
      </c>
      <c r="S13" s="4">
        <f>'Stmts RUS'!L24</f>
        <v>9.5</v>
      </c>
      <c r="T13" s="4">
        <f>'Stmts RUS'!M24</f>
        <v>9.5</v>
      </c>
      <c r="U13" s="4">
        <f>'Stmts RUS'!N24</f>
        <v>12.143548387096773</v>
      </c>
      <c r="V13" s="4">
        <f>'Stmts RUS'!O24</f>
        <v>16.95</v>
      </c>
      <c r="W13" s="4">
        <f>'Stmts RUS'!P24</f>
        <v>16.95</v>
      </c>
      <c r="X13" s="4">
        <f>'Stmts RUS'!Q24</f>
        <v>16.95</v>
      </c>
      <c r="Y13" s="4">
        <f>'Stmts RUS'!R24</f>
        <v>16.95</v>
      </c>
      <c r="Z13" s="89"/>
      <c r="AA13" s="4">
        <f>'Stmts RUS'!T24</f>
        <v>16.95</v>
      </c>
      <c r="AB13" s="4">
        <f>'Stmts RUS'!U24</f>
        <v>16.95</v>
      </c>
      <c r="AC13" s="4">
        <f>'Stmts RUS'!V24</f>
        <v>16.95</v>
      </c>
      <c r="AD13" s="4">
        <f>'Stmts RUS'!W24</f>
        <v>16.95</v>
      </c>
      <c r="AE13" s="4">
        <f>'Stmts RUS'!X24</f>
        <v>16.95</v>
      </c>
      <c r="AF13" s="4">
        <f>'Stmts RUS'!Y24</f>
        <v>16.95</v>
      </c>
      <c r="AG13" s="4">
        <f>'Stmts RUS'!Z24</f>
        <v>16.95</v>
      </c>
      <c r="AH13" s="4">
        <f>'Stmts RUS'!AA24</f>
        <v>16.95</v>
      </c>
      <c r="AI13" s="4">
        <f>'Stmts RUS'!AB24</f>
        <v>16.95</v>
      </c>
      <c r="AJ13" s="4">
        <f>'Stmts RUS'!AC24</f>
        <v>16.95</v>
      </c>
      <c r="AK13" s="4">
        <f>'Stmts RUS'!AD24</f>
        <v>16.95</v>
      </c>
      <c r="AL13" s="4">
        <f>'Stmts RUS'!AE24</f>
        <v>16.95</v>
      </c>
      <c r="AM13" s="89"/>
      <c r="AN13" s="4">
        <f>'Stmts RUS'!AG24</f>
        <v>16.95</v>
      </c>
      <c r="AO13" s="4">
        <f>'Stmts RUS'!AH24</f>
        <v>16.95</v>
      </c>
      <c r="AP13" s="4">
        <f>'Stmts RUS'!AI24</f>
        <v>16.95</v>
      </c>
      <c r="AQ13" s="4">
        <f>'Stmts RUS'!AJ24</f>
        <v>16.95</v>
      </c>
      <c r="AR13" s="4">
        <f>'Stmts RUS'!AK24</f>
        <v>16.95</v>
      </c>
      <c r="AS13" s="4">
        <f>'Stmts RUS'!AL24</f>
        <v>16.95</v>
      </c>
      <c r="AT13" s="4">
        <f>'Stmts RUS'!AM24</f>
        <v>16.95</v>
      </c>
      <c r="AU13" s="4">
        <f>'Stmts RUS'!AN24</f>
        <v>16.95</v>
      </c>
      <c r="AV13" s="4">
        <f>'Stmts RUS'!AO24</f>
        <v>16.95</v>
      </c>
      <c r="AW13" s="4">
        <f>'Stmts RUS'!AP24</f>
        <v>16.95</v>
      </c>
      <c r="AX13" s="4">
        <f>'Stmts RUS'!AQ24</f>
        <v>16.95</v>
      </c>
      <c r="AY13" s="837"/>
      <c r="AZ13" s="837"/>
    </row>
    <row r="14" spans="1:52">
      <c r="A14" s="3"/>
      <c r="B14" s="48" t="s">
        <v>142</v>
      </c>
      <c r="E14" s="4"/>
      <c r="F14" s="4"/>
      <c r="G14" s="4"/>
      <c r="H14" s="4"/>
      <c r="I14" s="4"/>
      <c r="J14" s="4"/>
      <c r="K14" s="4"/>
      <c r="L14" s="4"/>
      <c r="N14" s="4">
        <f>'Stmts RUS'!G25</f>
        <v>29.736000000000001</v>
      </c>
      <c r="O14" s="4">
        <f>'Stmts RUS'!H25</f>
        <v>29.736000000000001</v>
      </c>
      <c r="P14" s="4">
        <f>'Stmts RUS'!I25</f>
        <v>29.736000000000001</v>
      </c>
      <c r="Q14" s="4">
        <f>'Stmts RUS'!J25</f>
        <v>29.736000000000001</v>
      </c>
      <c r="R14" s="4">
        <f>'Stmts RUS'!K25</f>
        <v>29.736000000000001</v>
      </c>
      <c r="S14" s="4">
        <f>'Stmts RUS'!L25</f>
        <v>29.736000000000001</v>
      </c>
      <c r="T14" s="4">
        <f>'Stmts RUS'!M25</f>
        <v>29.736000000000001</v>
      </c>
      <c r="U14" s="4">
        <f>'Stmts RUS'!N25</f>
        <v>29.829677419354841</v>
      </c>
      <c r="V14" s="4">
        <f>'Stmts RUS'!O25</f>
        <v>30</v>
      </c>
      <c r="W14" s="4">
        <f>'Stmts RUS'!P25</f>
        <v>30</v>
      </c>
      <c r="X14" s="4">
        <f>'Stmts RUS'!Q25</f>
        <v>30</v>
      </c>
      <c r="Y14" s="4">
        <f>'Stmts RUS'!R25</f>
        <v>30</v>
      </c>
      <c r="Z14" s="89"/>
      <c r="AA14" s="4">
        <f>'Stmts RUS'!T25</f>
        <v>30</v>
      </c>
      <c r="AB14" s="4">
        <f>'Stmts RUS'!U25</f>
        <v>30</v>
      </c>
      <c r="AC14" s="4">
        <f>'Stmts RUS'!V25</f>
        <v>30</v>
      </c>
      <c r="AD14" s="4">
        <f>'Stmts RUS'!W25</f>
        <v>30</v>
      </c>
      <c r="AE14" s="4">
        <f>'Stmts RUS'!X25</f>
        <v>30</v>
      </c>
      <c r="AF14" s="4">
        <f>'Stmts RUS'!Y25</f>
        <v>30</v>
      </c>
      <c r="AG14" s="4">
        <f>'Stmts RUS'!Z25</f>
        <v>30</v>
      </c>
      <c r="AH14" s="4">
        <f>'Stmts RUS'!AA25</f>
        <v>30</v>
      </c>
      <c r="AI14" s="4">
        <f>'Stmts RUS'!AB25</f>
        <v>30</v>
      </c>
      <c r="AJ14" s="4">
        <f>'Stmts RUS'!AC25</f>
        <v>30</v>
      </c>
      <c r="AK14" s="4">
        <f>'Stmts RUS'!AD25</f>
        <v>30</v>
      </c>
      <c r="AL14" s="4">
        <f>'Stmts RUS'!AE25</f>
        <v>30</v>
      </c>
      <c r="AM14" s="89"/>
      <c r="AN14" s="4">
        <f>'Stmts RUS'!AG25</f>
        <v>30</v>
      </c>
      <c r="AO14" s="4">
        <f>'Stmts RUS'!AH25</f>
        <v>30</v>
      </c>
      <c r="AP14" s="4">
        <f>'Stmts RUS'!AI25</f>
        <v>30</v>
      </c>
      <c r="AQ14" s="4">
        <f>'Stmts RUS'!AJ25</f>
        <v>30</v>
      </c>
      <c r="AR14" s="4">
        <f>'Stmts RUS'!AK25</f>
        <v>30</v>
      </c>
      <c r="AS14" s="4">
        <f>'Stmts RUS'!AL25</f>
        <v>30</v>
      </c>
      <c r="AT14" s="4">
        <f>'Stmts RUS'!AM25</f>
        <v>30</v>
      </c>
      <c r="AU14" s="4">
        <f>'Stmts RUS'!AN25</f>
        <v>30</v>
      </c>
      <c r="AV14" s="4">
        <f>'Stmts RUS'!AO25</f>
        <v>30</v>
      </c>
      <c r="AW14" s="4">
        <f>'Stmts RUS'!AP25</f>
        <v>30</v>
      </c>
      <c r="AX14" s="4">
        <f>'Stmts RUS'!AQ25</f>
        <v>30</v>
      </c>
      <c r="AY14" s="837"/>
      <c r="AZ14" s="837"/>
    </row>
    <row r="15" spans="1:52">
      <c r="A15" s="3"/>
      <c r="B15" s="48" t="s">
        <v>410</v>
      </c>
      <c r="E15" s="64"/>
      <c r="F15" s="64"/>
      <c r="G15" s="64"/>
      <c r="H15" s="64"/>
      <c r="I15" s="64"/>
      <c r="J15" s="64"/>
      <c r="K15" s="64"/>
      <c r="L15" s="64"/>
      <c r="N15" s="64">
        <f>'Stmts RUS'!G26</f>
        <v>50.328303093602486</v>
      </c>
      <c r="O15" s="64">
        <f>'Stmts RUS'!H26</f>
        <v>51.752427902206087</v>
      </c>
      <c r="P15" s="64">
        <f>'Stmts RUS'!I26</f>
        <v>50.937686676840691</v>
      </c>
      <c r="Q15" s="64">
        <f>'Stmts RUS'!J26</f>
        <v>50.817385615856288</v>
      </c>
      <c r="R15" s="64">
        <f>'Stmts RUS'!K26</f>
        <v>51.276424444575873</v>
      </c>
      <c r="S15" s="64">
        <f>'Stmts RUS'!L26</f>
        <v>50.430094203383419</v>
      </c>
      <c r="T15" s="64">
        <f>'Stmts RUS'!M26</f>
        <v>49.010205335482034</v>
      </c>
      <c r="U15" s="64">
        <f>'Stmts RUS'!N26</f>
        <v>57.494314935964915</v>
      </c>
      <c r="V15" s="64">
        <f>'Stmts RUS'!O26</f>
        <v>69.44046124933223</v>
      </c>
      <c r="W15" s="64">
        <f>'Stmts RUS'!P26</f>
        <v>67.033092959100202</v>
      </c>
      <c r="X15" s="64">
        <f>'Stmts RUS'!Q26</f>
        <v>65.662696490319789</v>
      </c>
      <c r="Y15" s="64">
        <f>'Stmts RUS'!R26</f>
        <v>64.124975053464794</v>
      </c>
      <c r="Z15" s="89"/>
      <c r="AA15" s="64">
        <f>'Stmts RUS'!T26</f>
        <v>66.719873391014517</v>
      </c>
      <c r="AB15" s="64">
        <f>'Stmts RUS'!U26</f>
        <v>69.260225266737805</v>
      </c>
      <c r="AC15" s="64">
        <f>'Stmts RUS'!V26</f>
        <v>67.80627347527728</v>
      </c>
      <c r="AD15" s="64">
        <f>'Stmts RUS'!W26</f>
        <v>67.591488815274261</v>
      </c>
      <c r="AE15" s="64">
        <f>'Stmts RUS'!X26</f>
        <v>68.376952997472472</v>
      </c>
      <c r="AF15" s="64">
        <f>'Stmts RUS'!Y26</f>
        <v>66.868304440229338</v>
      </c>
      <c r="AG15" s="64">
        <f>'Stmts RUS'!Z26</f>
        <v>64.339048287340589</v>
      </c>
      <c r="AH15" s="64">
        <f>'Stmts RUS'!AA26</f>
        <v>68.557074320308445</v>
      </c>
      <c r="AI15" s="64">
        <f>'Stmts RUS'!AB26</f>
        <v>69.384462749990931</v>
      </c>
      <c r="AJ15" s="64">
        <f>'Stmts RUS'!AC26</f>
        <v>66.977749514403783</v>
      </c>
      <c r="AK15" s="64">
        <f>'Stmts RUS'!AD26</f>
        <v>65.644092356292987</v>
      </c>
      <c r="AL15" s="64">
        <f>'Stmts RUS'!AE26</f>
        <v>64.106422689444187</v>
      </c>
      <c r="AM15" s="89"/>
      <c r="AN15" s="64">
        <f>'Stmts RUS'!AG26</f>
        <v>66.98366669109339</v>
      </c>
      <c r="AO15" s="64">
        <f>'Stmts RUS'!AH26</f>
        <v>66.94754558769354</v>
      </c>
      <c r="AP15" s="64">
        <f>'Stmts RUS'!AI26</f>
        <v>66.915257077968604</v>
      </c>
      <c r="AQ15" s="64">
        <f>'Stmts RUS'!AJ26</f>
        <v>66.894819334372599</v>
      </c>
      <c r="AR15" s="64">
        <f>'Stmts RUS'!AK26</f>
        <v>66.875013881931025</v>
      </c>
      <c r="AS15" s="64">
        <f>'Stmts RUS'!AL26</f>
        <v>66.84770228600506</v>
      </c>
      <c r="AT15" s="64">
        <f>'Stmts RUS'!AM26</f>
        <v>66.820052165554827</v>
      </c>
      <c r="AU15" s="64">
        <f>'Stmts RUS'!AN26</f>
        <v>66.792268867406065</v>
      </c>
      <c r="AV15" s="64">
        <f>'Stmts RUS'!AO26</f>
        <v>66.764595700142138</v>
      </c>
      <c r="AW15" s="64">
        <f>'Stmts RUS'!AP26</f>
        <v>66.736892626054768</v>
      </c>
      <c r="AX15" s="64">
        <f>'Stmts RUS'!AQ26</f>
        <v>66.710004644292994</v>
      </c>
      <c r="AY15" s="364"/>
      <c r="AZ15" s="364"/>
    </row>
    <row r="16" spans="1:52">
      <c r="A16" s="3"/>
      <c r="B16" s="48" t="s">
        <v>143</v>
      </c>
      <c r="E16" s="64"/>
      <c r="F16" s="64"/>
      <c r="G16" s="64"/>
      <c r="H16" s="64"/>
      <c r="I16" s="64"/>
      <c r="J16" s="64"/>
      <c r="K16" s="64"/>
      <c r="L16" s="64"/>
      <c r="N16" s="64">
        <f>'Stmts RUS'!G28</f>
        <v>0</v>
      </c>
      <c r="O16" s="64">
        <f>'Stmts RUS'!H28</f>
        <v>0</v>
      </c>
      <c r="P16" s="64">
        <f>'Stmts RUS'!I28</f>
        <v>0</v>
      </c>
      <c r="Q16" s="64">
        <f>'Stmts RUS'!J28</f>
        <v>0</v>
      </c>
      <c r="R16" s="64">
        <f>'Stmts RUS'!K28</f>
        <v>0</v>
      </c>
      <c r="S16" s="64">
        <f>'Stmts RUS'!L28</f>
        <v>0</v>
      </c>
      <c r="T16" s="64">
        <f>'Stmts RUS'!M28</f>
        <v>0</v>
      </c>
      <c r="U16" s="64">
        <f>'Stmts RUS'!N28</f>
        <v>0</v>
      </c>
      <c r="V16" s="64">
        <f>'Stmts RUS'!O28</f>
        <v>0</v>
      </c>
      <c r="W16" s="64">
        <f>'Stmts RUS'!P28</f>
        <v>0</v>
      </c>
      <c r="X16" s="64">
        <f>'Stmts RUS'!Q28</f>
        <v>0</v>
      </c>
      <c r="Y16" s="64">
        <f>'Stmts RUS'!R28</f>
        <v>0</v>
      </c>
      <c r="Z16" s="89"/>
      <c r="AA16" s="64">
        <f>'Stmts RUS'!T28</f>
        <v>0</v>
      </c>
      <c r="AB16" s="64">
        <f>'Stmts RUS'!U28</f>
        <v>0</v>
      </c>
      <c r="AC16" s="64">
        <f>'Stmts RUS'!V28</f>
        <v>0</v>
      </c>
      <c r="AD16" s="64">
        <f>'Stmts RUS'!W28</f>
        <v>0</v>
      </c>
      <c r="AE16" s="64">
        <f>'Stmts RUS'!X28</f>
        <v>0</v>
      </c>
      <c r="AF16" s="64">
        <f>'Stmts RUS'!Y28</f>
        <v>0</v>
      </c>
      <c r="AG16" s="64">
        <f>'Stmts RUS'!Z28</f>
        <v>0</v>
      </c>
      <c r="AH16" s="64">
        <f>'Stmts RUS'!AA28</f>
        <v>0</v>
      </c>
      <c r="AI16" s="64">
        <f>'Stmts RUS'!AB28</f>
        <v>0</v>
      </c>
      <c r="AJ16" s="64">
        <f>'Stmts RUS'!AC28</f>
        <v>0</v>
      </c>
      <c r="AK16" s="64">
        <f>'Stmts RUS'!AD28</f>
        <v>0</v>
      </c>
      <c r="AL16" s="64">
        <f>'Stmts RUS'!AE28</f>
        <v>0</v>
      </c>
      <c r="AM16" s="89"/>
      <c r="AN16" s="64">
        <f>'Stmts RUS'!AG28</f>
        <v>0</v>
      </c>
      <c r="AO16" s="64">
        <f>'Stmts RUS'!AH28</f>
        <v>0</v>
      </c>
      <c r="AP16" s="64">
        <f>'Stmts RUS'!AI28</f>
        <v>0</v>
      </c>
      <c r="AQ16" s="64">
        <f>'Stmts RUS'!AJ28</f>
        <v>0</v>
      </c>
      <c r="AR16" s="64">
        <f>'Stmts RUS'!AK28</f>
        <v>0</v>
      </c>
      <c r="AS16" s="64">
        <f>'Stmts RUS'!AL28</f>
        <v>0</v>
      </c>
      <c r="AT16" s="64">
        <f>'Stmts RUS'!AM28</f>
        <v>0</v>
      </c>
      <c r="AU16" s="64">
        <f>'Stmts RUS'!AN28</f>
        <v>0</v>
      </c>
      <c r="AV16" s="64">
        <f>'Stmts RUS'!AO28</f>
        <v>0</v>
      </c>
      <c r="AW16" s="64">
        <f>'Stmts RUS'!AP28</f>
        <v>0</v>
      </c>
      <c r="AX16" s="64">
        <f>'Stmts RUS'!AQ28</f>
        <v>0</v>
      </c>
      <c r="AY16" s="364"/>
      <c r="AZ16" s="364"/>
    </row>
    <row r="17" spans="1:52">
      <c r="A17" s="3"/>
      <c r="B17" s="48" t="s">
        <v>411</v>
      </c>
      <c r="E17" s="64"/>
      <c r="F17" s="64"/>
      <c r="G17" s="64"/>
      <c r="H17" s="64"/>
      <c r="I17" s="64"/>
      <c r="J17" s="64"/>
      <c r="K17" s="64"/>
      <c r="L17" s="64"/>
      <c r="N17" s="64">
        <f>'Stmts RUS'!G29</f>
        <v>-1.357</v>
      </c>
      <c r="O17" s="64">
        <f>'Stmts RUS'!H29</f>
        <v>-1.357</v>
      </c>
      <c r="P17" s="64">
        <f>'Stmts RUS'!I29</f>
        <v>-1.357</v>
      </c>
      <c r="Q17" s="64">
        <f>'Stmts RUS'!J29</f>
        <v>-1.357</v>
      </c>
      <c r="R17" s="64">
        <f>'Stmts RUS'!K29</f>
        <v>-1.357</v>
      </c>
      <c r="S17" s="64">
        <f>'Stmts RUS'!L29</f>
        <v>-1.357</v>
      </c>
      <c r="T17" s="64">
        <f>'Stmts RUS'!M29</f>
        <v>-1.357</v>
      </c>
      <c r="U17" s="64">
        <f>'Stmts RUS'!N29</f>
        <v>-1.357</v>
      </c>
      <c r="V17" s="64">
        <f>'Stmts RUS'!O29</f>
        <v>-0.68508313310372948</v>
      </c>
      <c r="W17" s="64">
        <f>'Stmts RUS'!P29</f>
        <v>-0.68508313310372959</v>
      </c>
      <c r="X17" s="64">
        <f>'Stmts RUS'!Q29</f>
        <v>-0.68508313310372948</v>
      </c>
      <c r="Y17" s="64">
        <f>'Stmts RUS'!R29</f>
        <v>-0.68508313310372948</v>
      </c>
      <c r="Z17" s="89"/>
      <c r="AA17" s="64">
        <f>'Stmts RUS'!T29</f>
        <v>-0.68508313310372948</v>
      </c>
      <c r="AB17" s="64">
        <f>'Stmts RUS'!U29</f>
        <v>-0.68508313310372948</v>
      </c>
      <c r="AC17" s="64">
        <f>'Stmts RUS'!V29</f>
        <v>-0.68508313310372948</v>
      </c>
      <c r="AD17" s="64">
        <f>'Stmts RUS'!W29</f>
        <v>-0.68508313310372948</v>
      </c>
      <c r="AE17" s="64">
        <f>'Stmts RUS'!X29</f>
        <v>-0.68508313310372948</v>
      </c>
      <c r="AF17" s="64">
        <f>'Stmts RUS'!Y29</f>
        <v>-0.68508313310372948</v>
      </c>
      <c r="AG17" s="64">
        <f>'Stmts RUS'!Z29</f>
        <v>-0.68508313310372948</v>
      </c>
      <c r="AH17" s="64">
        <f>'Stmts RUS'!AA29</f>
        <v>-0.68508313310372948</v>
      </c>
      <c r="AI17" s="64">
        <f>'Stmts RUS'!AB29</f>
        <v>-0.31995189662832124</v>
      </c>
      <c r="AJ17" s="64">
        <f>'Stmts RUS'!AC29</f>
        <v>-0.31995189662832124</v>
      </c>
      <c r="AK17" s="64">
        <f>'Stmts RUS'!AD29</f>
        <v>-0.31995189662832124</v>
      </c>
      <c r="AL17" s="64">
        <f>'Stmts RUS'!AE29</f>
        <v>-0.31995189662832124</v>
      </c>
      <c r="AM17" s="89"/>
      <c r="AN17" s="64">
        <f>'Stmts RUS'!AG29</f>
        <v>-0.31995189662832124</v>
      </c>
      <c r="AO17" s="64">
        <f>'Stmts RUS'!AH29</f>
        <v>1.0340520374622204</v>
      </c>
      <c r="AP17" s="64">
        <f>'Stmts RUS'!AI29</f>
        <v>0.98724368665736029</v>
      </c>
      <c r="AQ17" s="64">
        <f>'Stmts RUS'!AJ29</f>
        <v>0.98100747577917535</v>
      </c>
      <c r="AR17" s="64">
        <f>'Stmts RUS'!AK29</f>
        <v>1.0689326218597828</v>
      </c>
      <c r="AS17" s="64">
        <f>'Stmts RUS'!AL29</f>
        <v>1.0603839309684941</v>
      </c>
      <c r="AT17" s="64">
        <f>'Stmts RUS'!AM29</f>
        <v>1.0459570615534537</v>
      </c>
      <c r="AU17" s="64">
        <f>'Stmts RUS'!AN29</f>
        <v>1.1348643260993998</v>
      </c>
      <c r="AV17" s="64">
        <f>'Stmts RUS'!AO29</f>
        <v>1.1228930852424654</v>
      </c>
      <c r="AW17" s="64">
        <f>'Stmts RUS'!AP29</f>
        <v>1.112034742502348</v>
      </c>
      <c r="AX17" s="64">
        <f>'Stmts RUS'!AQ29</f>
        <v>1.1974052163063931</v>
      </c>
      <c r="AY17" s="364"/>
      <c r="AZ17" s="364"/>
    </row>
    <row r="18" spans="1:52">
      <c r="A18" s="3"/>
      <c r="B18" s="48" t="s">
        <v>412</v>
      </c>
      <c r="Z18" s="89"/>
      <c r="AM18" s="89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837"/>
      <c r="AZ18" s="837"/>
    </row>
    <row r="19" spans="1:52">
      <c r="A19" s="3"/>
      <c r="B19" s="48" t="s">
        <v>413</v>
      </c>
      <c r="E19" s="64"/>
      <c r="F19" s="64"/>
      <c r="G19" s="64"/>
      <c r="H19" s="64"/>
      <c r="I19" s="64"/>
      <c r="J19" s="64"/>
      <c r="K19" s="64"/>
      <c r="L19" s="64"/>
      <c r="N19" s="64">
        <f>'Stmts RUS'!G30</f>
        <v>3.7963383636932448</v>
      </c>
      <c r="O19" s="64">
        <f>'Stmts RUS'!H30</f>
        <v>3.9251281468845747</v>
      </c>
      <c r="P19" s="64">
        <f>'Stmts RUS'!I30</f>
        <v>3.9177526208667715</v>
      </c>
      <c r="Q19" s="64">
        <f>'Stmts RUS'!J30</f>
        <v>3.9583829858781563</v>
      </c>
      <c r="R19" s="64">
        <f>'Stmts RUS'!K30</f>
        <v>3.9650535434312602</v>
      </c>
      <c r="S19" s="64">
        <f>'Stmts RUS'!L30</f>
        <v>4.1057147400882172</v>
      </c>
      <c r="T19" s="64">
        <f>'Stmts RUS'!M30</f>
        <v>4.6280961821621247</v>
      </c>
      <c r="U19" s="64">
        <f>'Stmts RUS'!N30</f>
        <v>4.2085144107267354</v>
      </c>
      <c r="V19" s="64">
        <f>'Stmts RUS'!O30</f>
        <v>4.6894785183502243</v>
      </c>
      <c r="W19" s="64">
        <f>'Stmts RUS'!P30</f>
        <v>4.4699835305300013</v>
      </c>
      <c r="X19" s="64">
        <f>'Stmts RUS'!Q30</f>
        <v>4.5930663428745611</v>
      </c>
      <c r="Y19" s="64">
        <f>'Stmts RUS'!R30</f>
        <v>4.6583515678101328</v>
      </c>
      <c r="Z19" s="89"/>
      <c r="AA19" s="64">
        <f>'Stmts RUS'!T30</f>
        <v>4.8866856798061171</v>
      </c>
      <c r="AB19" s="64">
        <f>'Stmts RUS'!U30</f>
        <v>5.0551684882073182</v>
      </c>
      <c r="AC19" s="64">
        <f>'Stmts RUS'!V30</f>
        <v>5.2005594622076536</v>
      </c>
      <c r="AD19" s="64">
        <f>'Stmts RUS'!W30</f>
        <v>5.3225046534309719</v>
      </c>
      <c r="AE19" s="64">
        <f>'Stmts RUS'!X30</f>
        <v>5.4315731102566787</v>
      </c>
      <c r="AF19" s="64">
        <f>'Stmts RUS'!Y30</f>
        <v>5.6299815605481953</v>
      </c>
      <c r="AG19" s="64">
        <f>'Stmts RUS'!Z30</f>
        <v>5.6517894361783796</v>
      </c>
      <c r="AH19" s="64">
        <f>'Stmts RUS'!AA30</f>
        <v>5.690344155591383</v>
      </c>
      <c r="AI19" s="64">
        <f>'Stmts RUS'!AB30</f>
        <v>5.7617463416336498</v>
      </c>
      <c r="AJ19" s="64">
        <f>'Stmts RUS'!AC30</f>
        <v>5.3798392292094768</v>
      </c>
      <c r="AK19" s="64">
        <f>'Stmts RUS'!AD30</f>
        <v>5.424671823074668</v>
      </c>
      <c r="AL19" s="64">
        <f>'Stmts RUS'!AE30</f>
        <v>5.4400767169142874</v>
      </c>
      <c r="AM19" s="89"/>
      <c r="AN19" s="64">
        <f>'Stmts RUS'!AG30</f>
        <v>6.4429337942454907</v>
      </c>
      <c r="AO19" s="64">
        <f>'Stmts RUS'!AH30</f>
        <v>6.9344556727440256</v>
      </c>
      <c r="AP19" s="64">
        <f>'Stmts RUS'!AI30</f>
        <v>8.1711410789152517</v>
      </c>
      <c r="AQ19" s="64">
        <f>'Stmts RUS'!AJ30</f>
        <v>9.089843981659989</v>
      </c>
      <c r="AR19" s="64">
        <f>'Stmts RUS'!AK30</f>
        <v>9.6600154495524251</v>
      </c>
      <c r="AS19" s="64">
        <f>'Stmts RUS'!AL30</f>
        <v>11.262019941767477</v>
      </c>
      <c r="AT19" s="64">
        <f>'Stmts RUS'!AM30</f>
        <v>12.718998434024591</v>
      </c>
      <c r="AU19" s="64">
        <f>'Stmts RUS'!AN30</f>
        <v>13.973213946999408</v>
      </c>
      <c r="AV19" s="64">
        <f>'Stmts RUS'!AO30</f>
        <v>15.594056537842711</v>
      </c>
      <c r="AW19" s="64">
        <f>'Stmts RUS'!AP30</f>
        <v>16.312925925514492</v>
      </c>
      <c r="AX19" s="64">
        <f>'Stmts RUS'!AQ30</f>
        <v>19.349098915653869</v>
      </c>
      <c r="AY19" s="364"/>
      <c r="AZ19" s="364"/>
    </row>
    <row r="20" spans="1:52">
      <c r="A20" s="3"/>
      <c r="B20" s="48" t="s">
        <v>414</v>
      </c>
      <c r="E20" s="64"/>
      <c r="F20" s="64"/>
      <c r="G20" s="64"/>
      <c r="H20" s="64"/>
      <c r="I20" s="64"/>
      <c r="J20" s="64"/>
      <c r="K20" s="64"/>
      <c r="L20" s="64"/>
      <c r="N20" s="64">
        <f>'Stmts RUS'!G31</f>
        <v>3.1716008942705818</v>
      </c>
      <c r="O20" s="64">
        <f>'Stmts RUS'!H31</f>
        <v>3.2516177651844176</v>
      </c>
      <c r="P20" s="64">
        <f>'Stmts RUS'!I31</f>
        <v>3.2867814766008636</v>
      </c>
      <c r="Q20" s="64">
        <f>'Stmts RUS'!J31</f>
        <v>3.0664376898739589</v>
      </c>
      <c r="R20" s="64">
        <f>'Stmts RUS'!K31</f>
        <v>3.2114127880318817</v>
      </c>
      <c r="S20" s="64">
        <f>'Stmts RUS'!L31</f>
        <v>3.1903880663020314</v>
      </c>
      <c r="T20" s="64">
        <f>'Stmts RUS'!M31</f>
        <v>3.0324515301554542</v>
      </c>
      <c r="U20" s="64">
        <f>'Stmts RUS'!N31</f>
        <v>3.6736420697614207</v>
      </c>
      <c r="V20" s="64">
        <f>'Stmts RUS'!O31</f>
        <v>4.3494677537455511</v>
      </c>
      <c r="W20" s="64">
        <f>'Stmts RUS'!P31</f>
        <v>4.1292081857888565</v>
      </c>
      <c r="X20" s="64">
        <f>'Stmts RUS'!Q31</f>
        <v>3.7169998578352357</v>
      </c>
      <c r="Y20" s="64">
        <f>'Stmts RUS'!R31</f>
        <v>3.4175989362609904</v>
      </c>
      <c r="Z20" s="89"/>
      <c r="AA20" s="64">
        <f>'Stmts RUS'!T31</f>
        <v>3.7265445363547869</v>
      </c>
      <c r="AB20" s="64">
        <f>'Stmts RUS'!U31</f>
        <v>3.8787078339803682</v>
      </c>
      <c r="AC20" s="64">
        <f>'Stmts RUS'!V31</f>
        <v>3.6717318384035744</v>
      </c>
      <c r="AD20" s="64">
        <f>'Stmts RUS'!W31</f>
        <v>3.9876040463156892</v>
      </c>
      <c r="AE20" s="64">
        <f>'Stmts RUS'!X31</f>
        <v>3.9441644219119927</v>
      </c>
      <c r="AF20" s="64">
        <f>'Stmts RUS'!Y31</f>
        <v>3.8736173167602712</v>
      </c>
      <c r="AG20" s="64">
        <f>'Stmts RUS'!Z31</f>
        <v>3.700551469842623</v>
      </c>
      <c r="AH20" s="64">
        <f>'Stmts RUS'!AA31</f>
        <v>4.5535475651693043</v>
      </c>
      <c r="AI20" s="64">
        <f>'Stmts RUS'!AB31</f>
        <v>5.3544830264802865</v>
      </c>
      <c r="AJ20" s="64">
        <f>'Stmts RUS'!AC31</f>
        <v>5.1019312871038807</v>
      </c>
      <c r="AK20" s="64">
        <f>'Stmts RUS'!AD31</f>
        <v>4.6479825071632437</v>
      </c>
      <c r="AL20" s="64">
        <f>'Stmts RUS'!AE31</f>
        <v>4.2190082620016724</v>
      </c>
      <c r="AM20" s="89"/>
      <c r="AN20" s="64">
        <f>'Stmts RUS'!AG31</f>
        <v>5.201019736123552</v>
      </c>
      <c r="AO20" s="64">
        <f>'Stmts RUS'!AH31</f>
        <v>5.4894471129056619</v>
      </c>
      <c r="AP20" s="64">
        <f>'Stmts RUS'!AI31</f>
        <v>5.568374913728201</v>
      </c>
      <c r="AQ20" s="64">
        <f>'Stmts RUS'!AJ31</f>
        <v>5.6360879902848682</v>
      </c>
      <c r="AR20" s="64">
        <f>'Stmts RUS'!AK31</f>
        <v>5.7014712995706232</v>
      </c>
      <c r="AS20" s="64">
        <f>'Stmts RUS'!AL31</f>
        <v>5.4309972122314019</v>
      </c>
      <c r="AT20" s="64">
        <f>'Stmts RUS'!AM31</f>
        <v>5.216122612612426</v>
      </c>
      <c r="AU20" s="64">
        <f>'Stmts RUS'!AN31</f>
        <v>5.3478965715691151</v>
      </c>
      <c r="AV20" s="64">
        <f>'Stmts RUS'!AO31</f>
        <v>5.5137202453999388</v>
      </c>
      <c r="AW20" s="64">
        <f>'Stmts RUS'!AP31</f>
        <v>5.5837821652791719</v>
      </c>
      <c r="AX20" s="64">
        <f>'Stmts RUS'!AQ31</f>
        <v>5.7348489131511311</v>
      </c>
      <c r="AY20" s="364"/>
      <c r="AZ20" s="364"/>
    </row>
    <row r="21" spans="1:52">
      <c r="A21" s="3"/>
      <c r="B21" s="48" t="s">
        <v>415</v>
      </c>
      <c r="E21" s="64"/>
      <c r="F21" s="64"/>
      <c r="G21" s="64"/>
      <c r="H21" s="64"/>
      <c r="I21" s="64"/>
      <c r="J21" s="64"/>
      <c r="K21" s="64"/>
      <c r="L21" s="64"/>
      <c r="N21" s="64">
        <f>'Stmts RUS'!G32</f>
        <v>-3.5419987678431255</v>
      </c>
      <c r="O21" s="64">
        <f>'Stmts RUS'!H32</f>
        <v>-3.8534978053181028</v>
      </c>
      <c r="P21" s="64">
        <f>'Stmts RUS'!I32</f>
        <v>-4.3303966389368087</v>
      </c>
      <c r="Q21" s="64">
        <f>'Stmts RUS'!J32</f>
        <v>-5.048932403708319</v>
      </c>
      <c r="R21" s="64">
        <f>'Stmts RUS'!K32</f>
        <v>-4.7533128779436753</v>
      </c>
      <c r="S21" s="64">
        <f>'Stmts RUS'!L32</f>
        <v>-3.8706361659587825</v>
      </c>
      <c r="T21" s="64">
        <f>'Stmts RUS'!M32</f>
        <v>-3.5315807075026906</v>
      </c>
      <c r="U21" s="64">
        <f>'Stmts RUS'!N32</f>
        <v>-2.8660062033734497</v>
      </c>
      <c r="V21" s="64">
        <f>'Stmts RUS'!O32</f>
        <v>-1.9099490423013319</v>
      </c>
      <c r="W21" s="64">
        <f>'Stmts RUS'!P32</f>
        <v>-2.1420632362953818</v>
      </c>
      <c r="X21" s="64">
        <f>'Stmts RUS'!Q32</f>
        <v>-1.9063198549526461</v>
      </c>
      <c r="Y21" s="64">
        <f>'Stmts RUS'!R32</f>
        <v>-1.5368370338124206</v>
      </c>
      <c r="Z21" s="89"/>
      <c r="AA21" s="64">
        <f>'Stmts RUS'!T32</f>
        <v>-1.5004831843630528</v>
      </c>
      <c r="AB21" s="64">
        <f>'Stmts RUS'!U32</f>
        <v>-1.6368182323109093</v>
      </c>
      <c r="AC21" s="64">
        <f>'Stmts RUS'!V32</f>
        <v>-1.8398813480720406</v>
      </c>
      <c r="AD21" s="64">
        <f>'Stmts RUS'!W32</f>
        <v>-2.1467870053988767</v>
      </c>
      <c r="AE21" s="64">
        <f>'Stmts RUS'!X32</f>
        <v>-2.0202342508791742</v>
      </c>
      <c r="AF21" s="64">
        <f>'Stmts RUS'!Y32</f>
        <v>-1.6435781306420623</v>
      </c>
      <c r="AG21" s="64">
        <f>'Stmts RUS'!Z32</f>
        <v>-1.5106951013206491</v>
      </c>
      <c r="AH21" s="64">
        <f>'Stmts RUS'!AA32</f>
        <v>-1.5579589524549675</v>
      </c>
      <c r="AI21" s="64">
        <f>'Stmts RUS'!AB32</f>
        <v>-1.888516000997958</v>
      </c>
      <c r="AJ21" s="64">
        <f>'Stmts RUS'!AC32</f>
        <v>-2.1193805839546793</v>
      </c>
      <c r="AK21" s="64">
        <f>'Stmts RUS'!AD32</f>
        <v>-1.8850186614847981</v>
      </c>
      <c r="AL21" s="64">
        <f>'Stmts RUS'!AE32</f>
        <v>-1.5183662190185225</v>
      </c>
      <c r="AM21" s="89"/>
      <c r="AN21" s="64">
        <f>'Stmts RUS'!AG32</f>
        <v>-1.7270976087488248</v>
      </c>
      <c r="AO21" s="64">
        <f>'Stmts RUS'!AH32</f>
        <v>-1.7100561832913621</v>
      </c>
      <c r="AP21" s="64">
        <f>'Stmts RUS'!AI32</f>
        <v>-2.1941616088628115</v>
      </c>
      <c r="AQ21" s="64">
        <f>'Stmts RUS'!AJ32</f>
        <v>-2.3243394891963254</v>
      </c>
      <c r="AR21" s="64">
        <f>'Stmts RUS'!AK32</f>
        <v>-2.3064338386218677</v>
      </c>
      <c r="AS21" s="64">
        <f>'Stmts RUS'!AL32</f>
        <v>-2.2870896642681657</v>
      </c>
      <c r="AT21" s="64">
        <f>'Stmts RUS'!AM32</f>
        <v>-2.2622949474014744</v>
      </c>
      <c r="AU21" s="64">
        <f>'Stmts RUS'!AN32</f>
        <v>-2.2398610526860865</v>
      </c>
      <c r="AV21" s="64">
        <f>'Stmts RUS'!AO32</f>
        <v>-2.2174078410732232</v>
      </c>
      <c r="AW21" s="64">
        <f>'Stmts RUS'!AP32</f>
        <v>-2.197370348866766</v>
      </c>
      <c r="AX21" s="64">
        <f>'Stmts RUS'!AQ32</f>
        <v>-2.172887928901718</v>
      </c>
      <c r="AY21" s="364"/>
      <c r="AZ21" s="364"/>
    </row>
    <row r="22" spans="1:52">
      <c r="A22" s="3"/>
      <c r="B22" s="48" t="s">
        <v>160</v>
      </c>
      <c r="N22" s="64">
        <f t="shared" ref="N22:X22" si="1">O22</f>
        <v>0</v>
      </c>
      <c r="O22" s="64">
        <f t="shared" si="1"/>
        <v>0</v>
      </c>
      <c r="P22" s="64">
        <f t="shared" si="1"/>
        <v>0</v>
      </c>
      <c r="Q22" s="64">
        <f t="shared" si="1"/>
        <v>0</v>
      </c>
      <c r="R22" s="64">
        <f t="shared" si="1"/>
        <v>0</v>
      </c>
      <c r="S22" s="64">
        <f t="shared" si="1"/>
        <v>0</v>
      </c>
      <c r="T22" s="64">
        <f t="shared" si="1"/>
        <v>0</v>
      </c>
      <c r="U22" s="64">
        <f t="shared" si="1"/>
        <v>0</v>
      </c>
      <c r="V22" s="64">
        <f t="shared" si="1"/>
        <v>0</v>
      </c>
      <c r="W22" s="64">
        <f t="shared" si="1"/>
        <v>0</v>
      </c>
      <c r="X22" s="64">
        <f t="shared" si="1"/>
        <v>0</v>
      </c>
      <c r="Y22" s="64">
        <f>Z22</f>
        <v>0</v>
      </c>
      <c r="Z22" s="206">
        <v>0</v>
      </c>
      <c r="AA22" s="64">
        <f>AB22</f>
        <v>0</v>
      </c>
      <c r="AB22" s="64">
        <f t="shared" ref="AB22:AL22" si="2">AC22</f>
        <v>0</v>
      </c>
      <c r="AC22" s="64">
        <f t="shared" si="2"/>
        <v>0</v>
      </c>
      <c r="AD22" s="64">
        <f t="shared" si="2"/>
        <v>0</v>
      </c>
      <c r="AE22" s="64">
        <f t="shared" si="2"/>
        <v>0</v>
      </c>
      <c r="AF22" s="64">
        <f t="shared" si="2"/>
        <v>0</v>
      </c>
      <c r="AG22" s="64">
        <f t="shared" si="2"/>
        <v>0</v>
      </c>
      <c r="AH22" s="64">
        <f t="shared" si="2"/>
        <v>0</v>
      </c>
      <c r="AI22" s="64">
        <f t="shared" si="2"/>
        <v>0</v>
      </c>
      <c r="AJ22" s="64">
        <f t="shared" si="2"/>
        <v>0</v>
      </c>
      <c r="AK22" s="64">
        <f t="shared" si="2"/>
        <v>0</v>
      </c>
      <c r="AL22" s="64">
        <f t="shared" si="2"/>
        <v>0</v>
      </c>
      <c r="AM22" s="206">
        <f>'Stmts RUS'!R36*Z6/AM6</f>
        <v>0</v>
      </c>
      <c r="AN22" s="64">
        <f>'Stmts RUS'!AE36*AM6/AN6</f>
        <v>0</v>
      </c>
      <c r="AO22" s="4">
        <f>'Stmts RUS'!AG36*AN6/AO6</f>
        <v>0</v>
      </c>
      <c r="AP22" s="4">
        <f>'Stmts RUS'!AH36*AO6/AP6</f>
        <v>0</v>
      </c>
      <c r="AQ22" s="4">
        <f>'Stmts RUS'!AI36*AP6/AQ6</f>
        <v>0</v>
      </c>
      <c r="AR22" s="4">
        <f>'Stmts RUS'!AJ36*AQ6/AR6</f>
        <v>0</v>
      </c>
      <c r="AS22" s="4">
        <f>'Stmts RUS'!AK36*AR6/AS6</f>
        <v>-0.3284605555941304</v>
      </c>
      <c r="AT22" s="4">
        <f>'Stmts RUS'!AL36*AS6/AT6</f>
        <v>-8.9430634902595116</v>
      </c>
      <c r="AU22" s="4">
        <f>'Stmts RUS'!AM36*AT6/AU6</f>
        <v>-12.883535215636757</v>
      </c>
      <c r="AV22" s="4">
        <f>'Stmts RUS'!AN36*AU6/AV6</f>
        <v>-13.385262438269447</v>
      </c>
      <c r="AW22" s="4">
        <f>'Stmts RUS'!AO36*AV6/AW6</f>
        <v>-10.223980126873066</v>
      </c>
      <c r="AX22" s="4">
        <f>'Stmts RUS'!AP36*AW6/AX6</f>
        <v>-7.454410059769299</v>
      </c>
      <c r="AY22" s="837"/>
      <c r="AZ22" s="837"/>
    </row>
    <row r="23" spans="1:52">
      <c r="A23" s="3"/>
      <c r="B23" s="48" t="s">
        <v>146</v>
      </c>
      <c r="E23" s="64"/>
      <c r="F23" s="64"/>
      <c r="G23" s="64"/>
      <c r="H23" s="64"/>
      <c r="I23" s="64"/>
      <c r="J23" s="64"/>
      <c r="K23" s="64"/>
      <c r="L23" s="64"/>
      <c r="N23" s="64">
        <f>'Stmts RUS'!G34</f>
        <v>-7.6379404901207009</v>
      </c>
      <c r="O23" s="64">
        <f>'Stmts RUS'!H34</f>
        <v>-7.5352481067508892</v>
      </c>
      <c r="P23" s="64">
        <f>'Stmts RUS'!I34</f>
        <v>-7.0861374585308257</v>
      </c>
      <c r="Q23" s="64">
        <f>'Stmts RUS'!J34</f>
        <v>-6.1878882720437964</v>
      </c>
      <c r="R23" s="64">
        <f>'Stmts RUS'!K34</f>
        <v>-6.6351534535194663</v>
      </c>
      <c r="S23" s="64">
        <f>'Stmts RUS'!L34</f>
        <v>-7.6374666404314659</v>
      </c>
      <c r="T23" s="64">
        <f>'Stmts RUS'!M34</f>
        <v>-7.3409670048148872</v>
      </c>
      <c r="U23" s="64">
        <f>'Stmts RUS'!N34</f>
        <v>-8.2281502771147057</v>
      </c>
      <c r="V23" s="64">
        <f>'Stmts RUS'!O34</f>
        <v>-10.340997229794443</v>
      </c>
      <c r="W23" s="64">
        <f>'Stmts RUS'!P34</f>
        <v>-9.6691284800234758</v>
      </c>
      <c r="X23" s="64">
        <f>'Stmts RUS'!Q34</f>
        <v>-9.6157463457571488</v>
      </c>
      <c r="Y23" s="64">
        <f>'Stmts RUS'!R34</f>
        <v>-9.7511134702587015</v>
      </c>
      <c r="Z23" s="89"/>
      <c r="AA23" s="64">
        <f>'Stmts RUS'!T34</f>
        <v>-10.324747031797852</v>
      </c>
      <c r="AB23" s="64">
        <f>'Stmts RUS'!U34</f>
        <v>-10.509058089876778</v>
      </c>
      <c r="AC23" s="64">
        <f>'Stmts RUS'!V34</f>
        <v>-10.244409952539186</v>
      </c>
      <c r="AD23" s="64">
        <f>'Stmts RUS'!W34</f>
        <v>-10.375321694347782</v>
      </c>
      <c r="AE23" s="64">
        <f>'Stmts RUS'!X34</f>
        <v>-10.567503281289497</v>
      </c>
      <c r="AF23" s="64">
        <f>'Stmts RUS'!Y34</f>
        <v>-11.072020746666404</v>
      </c>
      <c r="AG23" s="64">
        <f>'Stmts RUS'!Z34</f>
        <v>-9.0536458047003521</v>
      </c>
      <c r="AH23" s="64">
        <f>'Stmts RUS'!AA34</f>
        <v>-9.8979327683057186</v>
      </c>
      <c r="AI23" s="64">
        <f>'Stmts RUS'!AB34</f>
        <v>-10.439713367115978</v>
      </c>
      <c r="AJ23" s="64">
        <f>'Stmts RUS'!AC34</f>
        <v>-9.5743899323586774</v>
      </c>
      <c r="AK23" s="64">
        <f>'Stmts RUS'!AD34</f>
        <v>-9.3996356687531133</v>
      </c>
      <c r="AL23" s="64">
        <f>'Stmts RUS'!AE34</f>
        <v>-9.3527187598974368</v>
      </c>
      <c r="AM23" s="89"/>
      <c r="AN23" s="64">
        <f>'Stmts RUS'!AG34</f>
        <v>-6.2570983071537754</v>
      </c>
      <c r="AO23" s="64">
        <f>'Stmts RUS'!AH34</f>
        <v>0</v>
      </c>
      <c r="AP23" s="64">
        <f>'Stmts RUS'!AI34</f>
        <v>0</v>
      </c>
      <c r="AQ23" s="64">
        <f>'Stmts RUS'!AJ34</f>
        <v>0</v>
      </c>
      <c r="AR23" s="64">
        <f>'Stmts RUS'!AK34</f>
        <v>0</v>
      </c>
      <c r="AS23" s="64">
        <f>'Stmts RUS'!AL34</f>
        <v>0</v>
      </c>
      <c r="AT23" s="64">
        <f>'Stmts RUS'!AM34</f>
        <v>0</v>
      </c>
      <c r="AU23" s="64">
        <f>'Stmts RUS'!AN34</f>
        <v>0</v>
      </c>
      <c r="AV23" s="64">
        <f>'Stmts RUS'!AO34</f>
        <v>0</v>
      </c>
      <c r="AW23" s="64">
        <f>'Stmts RUS'!AP34</f>
        <v>0</v>
      </c>
      <c r="AX23" s="64">
        <f>'Stmts RUS'!AQ34</f>
        <v>0</v>
      </c>
      <c r="AY23" s="364"/>
      <c r="AZ23" s="364"/>
    </row>
    <row r="24" spans="1:52">
      <c r="A24" s="3"/>
      <c r="B24" s="48" t="s">
        <v>639</v>
      </c>
      <c r="E24" s="64"/>
      <c r="F24" s="64"/>
      <c r="G24" s="64"/>
      <c r="H24" s="64"/>
      <c r="I24" s="64"/>
      <c r="J24" s="64"/>
      <c r="K24" s="64"/>
      <c r="L24" s="64"/>
      <c r="N24" s="64">
        <f>'Stmts RUS'!G35</f>
        <v>0</v>
      </c>
      <c r="O24" s="64">
        <f>'Stmts RUS'!H35</f>
        <v>0</v>
      </c>
      <c r="P24" s="64">
        <f>'Stmts RUS'!I35</f>
        <v>0</v>
      </c>
      <c r="Q24" s="64">
        <f>'Stmts RUS'!J35</f>
        <v>0</v>
      </c>
      <c r="R24" s="64">
        <f>'Stmts RUS'!K35</f>
        <v>0</v>
      </c>
      <c r="S24" s="64">
        <f>'Stmts RUS'!L35</f>
        <v>0</v>
      </c>
      <c r="T24" s="64">
        <f>'Stmts RUS'!M35</f>
        <v>0</v>
      </c>
      <c r="U24" s="64">
        <f>'Stmts RUS'!N35</f>
        <v>0</v>
      </c>
      <c r="V24" s="64">
        <f>'Stmts RUS'!O35</f>
        <v>0</v>
      </c>
      <c r="W24" s="64">
        <f>'Stmts RUS'!P35</f>
        <v>0</v>
      </c>
      <c r="X24" s="64">
        <f>'Stmts RUS'!Q35</f>
        <v>0</v>
      </c>
      <c r="Y24" s="64">
        <f>'Stmts RUS'!R35</f>
        <v>0</v>
      </c>
      <c r="Z24" s="89"/>
      <c r="AA24" s="64">
        <f>'Stmts RUS'!T35</f>
        <v>0</v>
      </c>
      <c r="AB24" s="64">
        <f>'Stmts RUS'!U35</f>
        <v>0</v>
      </c>
      <c r="AC24" s="64">
        <f>'Stmts RUS'!V35</f>
        <v>0</v>
      </c>
      <c r="AD24" s="64">
        <f>'Stmts RUS'!W35</f>
        <v>0</v>
      </c>
      <c r="AE24" s="64">
        <f>'Stmts RUS'!X35</f>
        <v>0</v>
      </c>
      <c r="AF24" s="64">
        <f>'Stmts RUS'!Y35</f>
        <v>0</v>
      </c>
      <c r="AG24" s="64">
        <f>'Stmts RUS'!Z35</f>
        <v>0</v>
      </c>
      <c r="AH24" s="64">
        <f>'Stmts RUS'!AA35</f>
        <v>0</v>
      </c>
      <c r="AI24" s="64">
        <f>'Stmts RUS'!AB35</f>
        <v>0</v>
      </c>
      <c r="AJ24" s="64">
        <f>'Stmts RUS'!AC35</f>
        <v>0</v>
      </c>
      <c r="AK24" s="64">
        <f>'Stmts RUS'!AD35</f>
        <v>0</v>
      </c>
      <c r="AL24" s="64">
        <f>'Stmts RUS'!AE35</f>
        <v>0</v>
      </c>
      <c r="AM24" s="89"/>
      <c r="AN24" s="64">
        <f>'Stmts RUS'!AG35</f>
        <v>-4.8717576144664427</v>
      </c>
      <c r="AO24" s="64">
        <f>'Stmts RUS'!AH35</f>
        <v>-11.925846602358325</v>
      </c>
      <c r="AP24" s="64">
        <f>'Stmts RUS'!AI35</f>
        <v>-10.563227368576142</v>
      </c>
      <c r="AQ24" s="64">
        <f>'Stmts RUS'!AJ35</f>
        <v>0</v>
      </c>
      <c r="AR24" s="64">
        <f>'Stmts RUS'!AK35</f>
        <v>0</v>
      </c>
      <c r="AS24" s="64">
        <f>'Stmts RUS'!AL35</f>
        <v>0</v>
      </c>
      <c r="AT24" s="64">
        <f>'Stmts RUS'!AM35</f>
        <v>0</v>
      </c>
      <c r="AU24" s="64">
        <f>'Stmts RUS'!AN35</f>
        <v>0</v>
      </c>
      <c r="AV24" s="64">
        <f>'Stmts RUS'!AO35</f>
        <v>0</v>
      </c>
      <c r="AW24" s="64">
        <f>'Stmts RUS'!AP35</f>
        <v>0</v>
      </c>
      <c r="AX24" s="64">
        <f>'Stmts RUS'!AQ35</f>
        <v>0</v>
      </c>
      <c r="AY24" s="364"/>
      <c r="AZ24" s="364"/>
    </row>
    <row r="25" spans="1:52">
      <c r="A25" s="3"/>
      <c r="B25" s="48" t="s">
        <v>283</v>
      </c>
      <c r="E25" s="64"/>
      <c r="F25" s="64"/>
      <c r="G25" s="64"/>
      <c r="H25" s="64"/>
      <c r="I25" s="64"/>
      <c r="J25" s="64"/>
      <c r="K25" s="64"/>
      <c r="L25" s="64"/>
      <c r="N25" s="64">
        <f>SUM(N19:N24)</f>
        <v>-4.2119999999999997</v>
      </c>
      <c r="O25" s="64">
        <f>SUM(O19:O24)</f>
        <v>-4.2119999999999997</v>
      </c>
      <c r="P25" s="64">
        <f t="shared" ref="P25:AA25" si="3">SUM(P19:P24)</f>
        <v>-4.2119999999999997</v>
      </c>
      <c r="Q25" s="64">
        <f t="shared" si="3"/>
        <v>-4.2119999999999997</v>
      </c>
      <c r="R25" s="64">
        <f t="shared" si="3"/>
        <v>-4.2119999999999997</v>
      </c>
      <c r="S25" s="64">
        <f t="shared" si="3"/>
        <v>-4.2119999999999997</v>
      </c>
      <c r="T25" s="64">
        <f t="shared" si="3"/>
        <v>-3.2119999999999997</v>
      </c>
      <c r="U25" s="64">
        <f t="shared" si="3"/>
        <v>-3.2119999999999997</v>
      </c>
      <c r="V25" s="64">
        <f t="shared" si="3"/>
        <v>-3.2119999999999997</v>
      </c>
      <c r="W25" s="64">
        <f t="shared" si="3"/>
        <v>-3.2119999999999997</v>
      </c>
      <c r="X25" s="64">
        <f t="shared" si="3"/>
        <v>-3.2119999999999989</v>
      </c>
      <c r="Y25" s="64">
        <f t="shared" si="3"/>
        <v>-3.2119999999999989</v>
      </c>
      <c r="Z25" s="89"/>
      <c r="AA25" s="64">
        <f t="shared" si="3"/>
        <v>-3.2120000000000006</v>
      </c>
      <c r="AB25" s="64">
        <f t="shared" ref="AB25:AL25" si="4">SUM(AB19:AB24)</f>
        <v>-3.2120000000000006</v>
      </c>
      <c r="AC25" s="64">
        <f t="shared" si="4"/>
        <v>-3.2119999999999997</v>
      </c>
      <c r="AD25" s="64">
        <f t="shared" si="4"/>
        <v>-3.2119999999999989</v>
      </c>
      <c r="AE25" s="64">
        <f t="shared" si="4"/>
        <v>-3.2119999999999997</v>
      </c>
      <c r="AF25" s="64">
        <f t="shared" si="4"/>
        <v>-3.2119999999999997</v>
      </c>
      <c r="AG25" s="64">
        <f t="shared" si="4"/>
        <v>-1.2119999999999989</v>
      </c>
      <c r="AH25" s="64">
        <f t="shared" si="4"/>
        <v>-1.2119999999999997</v>
      </c>
      <c r="AI25" s="64">
        <f t="shared" si="4"/>
        <v>-1.2119999999999997</v>
      </c>
      <c r="AJ25" s="64">
        <f t="shared" si="4"/>
        <v>-1.2119999999999997</v>
      </c>
      <c r="AK25" s="64">
        <f t="shared" si="4"/>
        <v>-1.2119999999999997</v>
      </c>
      <c r="AL25" s="64">
        <f t="shared" si="4"/>
        <v>-1.2119999999999997</v>
      </c>
      <c r="AM25" s="89"/>
      <c r="AN25" s="64">
        <f t="shared" ref="AN25:AX25" si="5">SUM(AN19:AN24)</f>
        <v>-1.2119999999999997</v>
      </c>
      <c r="AO25" s="64">
        <f t="shared" si="5"/>
        <v>-1.2119999999999997</v>
      </c>
      <c r="AP25" s="64">
        <f t="shared" si="5"/>
        <v>0.98212701520449919</v>
      </c>
      <c r="AQ25" s="64">
        <f t="shared" si="5"/>
        <v>12.40159248274853</v>
      </c>
      <c r="AR25" s="64">
        <f t="shared" si="5"/>
        <v>13.055052910501182</v>
      </c>
      <c r="AS25" s="64">
        <f t="shared" si="5"/>
        <v>14.077466934136584</v>
      </c>
      <c r="AT25" s="64">
        <f t="shared" si="5"/>
        <v>6.7297626089760314</v>
      </c>
      <c r="AU25" s="64">
        <f t="shared" si="5"/>
        <v>4.1977142502456797</v>
      </c>
      <c r="AV25" s="64">
        <f t="shared" si="5"/>
        <v>5.5051065038999774</v>
      </c>
      <c r="AW25" s="64">
        <f t="shared" si="5"/>
        <v>9.4753576150538308</v>
      </c>
      <c r="AX25" s="64">
        <f t="shared" si="5"/>
        <v>15.456649840133984</v>
      </c>
      <c r="AY25" s="364"/>
      <c r="AZ25" s="364"/>
    </row>
    <row r="26" spans="1:52" ht="13.5" thickBot="1">
      <c r="A26" s="3"/>
      <c r="B26" s="48" t="s">
        <v>163</v>
      </c>
      <c r="E26" s="52"/>
      <c r="F26" s="52"/>
      <c r="G26" s="52"/>
      <c r="H26" s="52"/>
      <c r="I26" s="52"/>
      <c r="J26" s="52"/>
      <c r="K26" s="52"/>
      <c r="L26" s="52"/>
      <c r="M26" s="176"/>
      <c r="N26" s="52">
        <f>SUM(N15:N18)+N25</f>
        <v>44.759303093602483</v>
      </c>
      <c r="O26" s="52">
        <f t="shared" ref="O26:Y26" si="6">SUM(O15:O18)+O25</f>
        <v>46.183427902206091</v>
      </c>
      <c r="P26" s="52">
        <f t="shared" si="6"/>
        <v>45.368686676840696</v>
      </c>
      <c r="Q26" s="52">
        <f t="shared" si="6"/>
        <v>45.248385615856293</v>
      </c>
      <c r="R26" s="52">
        <f t="shared" si="6"/>
        <v>45.707424444575878</v>
      </c>
      <c r="S26" s="52">
        <f t="shared" si="6"/>
        <v>44.861094203383416</v>
      </c>
      <c r="T26" s="52">
        <f t="shared" si="6"/>
        <v>44.441205335482039</v>
      </c>
      <c r="U26" s="52">
        <f t="shared" si="6"/>
        <v>52.92531493596492</v>
      </c>
      <c r="V26" s="52">
        <f t="shared" si="6"/>
        <v>65.543378116228496</v>
      </c>
      <c r="W26" s="52">
        <f t="shared" si="6"/>
        <v>63.136009825996467</v>
      </c>
      <c r="X26" s="52">
        <f t="shared" si="6"/>
        <v>61.765613357216061</v>
      </c>
      <c r="Y26" s="52">
        <f t="shared" si="6"/>
        <v>60.227891920361067</v>
      </c>
      <c r="Z26" s="176"/>
      <c r="AA26" s="52">
        <f t="shared" ref="AA26:AL26" si="7">SUM(AA15:AA18)+AA25</f>
        <v>62.822790257910782</v>
      </c>
      <c r="AB26" s="52">
        <f t="shared" si="7"/>
        <v>65.363142133634071</v>
      </c>
      <c r="AC26" s="52">
        <f t="shared" si="7"/>
        <v>63.909190342173545</v>
      </c>
      <c r="AD26" s="52">
        <f t="shared" si="7"/>
        <v>63.694405682170533</v>
      </c>
      <c r="AE26" s="52">
        <f t="shared" si="7"/>
        <v>64.479869864368737</v>
      </c>
      <c r="AF26" s="52">
        <f t="shared" si="7"/>
        <v>62.971221307125603</v>
      </c>
      <c r="AG26" s="52">
        <f t="shared" si="7"/>
        <v>62.441965154236861</v>
      </c>
      <c r="AH26" s="52">
        <f t="shared" si="7"/>
        <v>66.65999118720471</v>
      </c>
      <c r="AI26" s="52">
        <f t="shared" si="7"/>
        <v>67.852510853362602</v>
      </c>
      <c r="AJ26" s="52">
        <f t="shared" si="7"/>
        <v>65.445797617775455</v>
      </c>
      <c r="AK26" s="52">
        <f t="shared" si="7"/>
        <v>64.112140459664658</v>
      </c>
      <c r="AL26" s="52">
        <f t="shared" si="7"/>
        <v>62.574470792815873</v>
      </c>
      <c r="AM26" s="176"/>
      <c r="AN26" s="52">
        <f t="shared" ref="AN26:AX26" si="8">SUM(AN15:AN18)+AN25</f>
        <v>65.451714794465062</v>
      </c>
      <c r="AO26" s="52">
        <f t="shared" si="8"/>
        <v>66.769597625155754</v>
      </c>
      <c r="AP26" s="52">
        <f t="shared" si="8"/>
        <v>68.884627779830467</v>
      </c>
      <c r="AQ26" s="52">
        <f t="shared" si="8"/>
        <v>80.277419292900305</v>
      </c>
      <c r="AR26" s="52">
        <f t="shared" si="8"/>
        <v>80.998999414292001</v>
      </c>
      <c r="AS26" s="52">
        <f t="shared" si="8"/>
        <v>81.985553151110139</v>
      </c>
      <c r="AT26" s="52">
        <f t="shared" si="8"/>
        <v>74.59577183608431</v>
      </c>
      <c r="AU26" s="52">
        <f t="shared" si="8"/>
        <v>72.12484744375115</v>
      </c>
      <c r="AV26" s="52">
        <f t="shared" si="8"/>
        <v>73.392595289284586</v>
      </c>
      <c r="AW26" s="52">
        <f t="shared" si="8"/>
        <v>77.324284983610937</v>
      </c>
      <c r="AX26" s="52">
        <f t="shared" si="8"/>
        <v>83.364059700733378</v>
      </c>
      <c r="AY26" s="837"/>
      <c r="AZ26" s="837"/>
    </row>
    <row r="27" spans="1:52" ht="13.5" thickTop="1">
      <c r="A27" s="3"/>
    </row>
    <row r="28" spans="1:52">
      <c r="A28" s="3"/>
      <c r="B28" s="34" t="s">
        <v>134</v>
      </c>
    </row>
    <row r="29" spans="1:52">
      <c r="A29" s="3"/>
      <c r="B29" s="48" t="s">
        <v>140</v>
      </c>
      <c r="E29" s="7"/>
      <c r="F29" s="7"/>
      <c r="G29" s="7"/>
      <c r="H29" s="7"/>
      <c r="I29" s="7"/>
      <c r="J29" s="7"/>
      <c r="K29" s="7"/>
      <c r="L29" s="7"/>
      <c r="N29" s="7">
        <f>'Stmts RUS'!G40</f>
        <v>0.75770500395213813</v>
      </c>
      <c r="O29" s="7">
        <f>'Stmts RUS'!H40</f>
        <v>0.79037002393257327</v>
      </c>
      <c r="P29" s="7">
        <f>'Stmts RUS'!I40</f>
        <v>0.7767788134817647</v>
      </c>
      <c r="Q29" s="7">
        <f>'Stmts RUS'!J40</f>
        <v>0.76938819185897722</v>
      </c>
      <c r="R29" s="7">
        <f>'Stmts RUS'!K40</f>
        <v>0.76721420857703027</v>
      </c>
      <c r="S29" s="7">
        <f>'Stmts RUS'!L40</f>
        <v>0.77063823780179175</v>
      </c>
      <c r="T29" s="7">
        <f>'Stmts RUS'!M40</f>
        <v>0.77876753353212469</v>
      </c>
      <c r="U29" s="7">
        <f>'Stmts RUS'!N40</f>
        <v>0.76936055053451791</v>
      </c>
      <c r="V29" s="7">
        <f>'Stmts RUS'!O40</f>
        <v>0.78198583999367954</v>
      </c>
      <c r="W29" s="7">
        <f>'Stmts RUS'!P40</f>
        <v>0.76554607794627294</v>
      </c>
      <c r="X29" s="7">
        <f>'Stmts RUS'!Q40</f>
        <v>0.77180334125545091</v>
      </c>
      <c r="Y29" s="7">
        <f>'Stmts RUS'!R40</f>
        <v>0.76592920813990772</v>
      </c>
      <c r="Z29" s="295"/>
      <c r="AA29" s="7">
        <f>'Stmts RUS'!T40</f>
        <v>0.75711587292408333</v>
      </c>
      <c r="AB29" s="7">
        <f>'Stmts RUS'!U40</f>
        <v>0.79037002393257327</v>
      </c>
      <c r="AC29" s="7">
        <f>'Stmts RUS'!V40</f>
        <v>0.7767788134817647</v>
      </c>
      <c r="AD29" s="7">
        <f>'Stmts RUS'!W40</f>
        <v>0.76938819185897722</v>
      </c>
      <c r="AE29" s="7">
        <f>'Stmts RUS'!X40</f>
        <v>0.76721420857703027</v>
      </c>
      <c r="AF29" s="7">
        <f>'Stmts RUS'!Y40</f>
        <v>0.77063823780179175</v>
      </c>
      <c r="AG29" s="7">
        <f>'Stmts RUS'!Z40</f>
        <v>0.77876753353212469</v>
      </c>
      <c r="AH29" s="7">
        <f>'Stmts RUS'!AA40</f>
        <v>0.76936055053451791</v>
      </c>
      <c r="AI29" s="7">
        <f>'Stmts RUS'!AB40</f>
        <v>0.78198583999367954</v>
      </c>
      <c r="AJ29" s="7">
        <f>'Stmts RUS'!AC40</f>
        <v>0.76554607794627294</v>
      </c>
      <c r="AK29" s="7">
        <f>'Stmts RUS'!AD40</f>
        <v>0.77180334125545091</v>
      </c>
      <c r="AL29" s="7">
        <f>'Stmts RUS'!AE40</f>
        <v>0.76592920813990772</v>
      </c>
      <c r="AM29" s="295"/>
      <c r="AN29" s="7">
        <f>'Stmts RUS'!AG40</f>
        <v>0.77197094724951598</v>
      </c>
      <c r="AO29" s="7">
        <f>'Stmts RUS'!AH40</f>
        <v>0.77019449787391903</v>
      </c>
      <c r="AP29" s="7">
        <f>'Stmts RUS'!AI40</f>
        <v>0.77197094724951609</v>
      </c>
      <c r="AQ29" s="7">
        <f>'Stmts RUS'!AJ40</f>
        <v>0.77197094724951609</v>
      </c>
      <c r="AR29" s="7">
        <f>'Stmts RUS'!AK40</f>
        <v>0.77197094724951609</v>
      </c>
      <c r="AS29" s="7">
        <f>'Stmts RUS'!AL40</f>
        <v>0.77019449787391914</v>
      </c>
      <c r="AT29" s="7">
        <f>'Stmts RUS'!AM40</f>
        <v>0.77197094724951609</v>
      </c>
      <c r="AU29" s="7">
        <f>'Stmts RUS'!AN40</f>
        <v>0.77197094724951609</v>
      </c>
      <c r="AV29" s="7">
        <f>'Stmts RUS'!AO40</f>
        <v>0.77197094724951609</v>
      </c>
      <c r="AW29" s="7">
        <f>'Stmts RUS'!AP40</f>
        <v>0.77019449787391914</v>
      </c>
      <c r="AX29" s="7">
        <f>'Stmts RUS'!AQ40</f>
        <v>0.77197094724951609</v>
      </c>
      <c r="AY29" s="829"/>
      <c r="AZ29" s="829"/>
    </row>
    <row r="30" spans="1:52">
      <c r="A30" s="3"/>
      <c r="B30" s="48" t="s">
        <v>141</v>
      </c>
      <c r="E30" s="64"/>
      <c r="F30" s="64"/>
      <c r="G30" s="64"/>
      <c r="H30" s="64"/>
      <c r="I30" s="64"/>
      <c r="J30" s="64"/>
      <c r="K30" s="64"/>
      <c r="L30" s="64"/>
      <c r="N30" s="64">
        <f>'Stmts RUS'!G41</f>
        <v>10.5</v>
      </c>
      <c r="O30" s="64">
        <f>'Stmts RUS'!H41</f>
        <v>10.5</v>
      </c>
      <c r="P30" s="64">
        <f>'Stmts RUS'!I41</f>
        <v>10.5</v>
      </c>
      <c r="Q30" s="64">
        <f>'Stmts RUS'!J41</f>
        <v>10.5</v>
      </c>
      <c r="R30" s="64">
        <f>'Stmts RUS'!K41</f>
        <v>10.5</v>
      </c>
      <c r="S30" s="64">
        <f>'Stmts RUS'!L41</f>
        <v>10.5</v>
      </c>
      <c r="T30" s="64">
        <f>'Stmts RUS'!M41</f>
        <v>10.5</v>
      </c>
      <c r="U30" s="64">
        <f>'Stmts RUS'!N41</f>
        <v>11.177741935483871</v>
      </c>
      <c r="V30" s="64">
        <f>'Stmts RUS'!O41</f>
        <v>12.41</v>
      </c>
      <c r="W30" s="64">
        <f>'Stmts RUS'!P41</f>
        <v>12.41</v>
      </c>
      <c r="X30" s="64">
        <f>'Stmts RUS'!Q41</f>
        <v>12.41</v>
      </c>
      <c r="Y30" s="64">
        <f>'Stmts RUS'!R41</f>
        <v>12.41</v>
      </c>
      <c r="Z30" s="89"/>
      <c r="AA30" s="64">
        <f>'Stmts RUS'!T41</f>
        <v>12.41</v>
      </c>
      <c r="AB30" s="64">
        <f>'Stmts RUS'!U41</f>
        <v>12.41</v>
      </c>
      <c r="AC30" s="64">
        <f>'Stmts RUS'!V41</f>
        <v>12.41</v>
      </c>
      <c r="AD30" s="64">
        <f>'Stmts RUS'!W41</f>
        <v>12.41</v>
      </c>
      <c r="AE30" s="64">
        <f>'Stmts RUS'!X41</f>
        <v>12.41</v>
      </c>
      <c r="AF30" s="64">
        <f>'Stmts RUS'!Y41</f>
        <v>12.41</v>
      </c>
      <c r="AG30" s="64">
        <f>'Stmts RUS'!Z41</f>
        <v>12.41</v>
      </c>
      <c r="AH30" s="64">
        <f>'Stmts RUS'!AA41</f>
        <v>12.41</v>
      </c>
      <c r="AI30" s="64">
        <f>'Stmts RUS'!AB41</f>
        <v>12.41</v>
      </c>
      <c r="AJ30" s="64">
        <f>'Stmts RUS'!AC41</f>
        <v>12.41</v>
      </c>
      <c r="AK30" s="64">
        <f>'Stmts RUS'!AD41</f>
        <v>12.41</v>
      </c>
      <c r="AL30" s="64">
        <f>'Stmts RUS'!AE41</f>
        <v>12.41</v>
      </c>
      <c r="AM30" s="89"/>
      <c r="AN30" s="64">
        <f>'Stmts RUS'!AG41</f>
        <v>12.41</v>
      </c>
      <c r="AO30" s="64">
        <f>'Stmts RUS'!AH41</f>
        <v>12.41</v>
      </c>
      <c r="AP30" s="64">
        <f>'Stmts RUS'!AI41</f>
        <v>12.41</v>
      </c>
      <c r="AQ30" s="64">
        <f>'Stmts RUS'!AJ41</f>
        <v>12.41</v>
      </c>
      <c r="AR30" s="64">
        <f>'Stmts RUS'!AK41</f>
        <v>12.41</v>
      </c>
      <c r="AS30" s="64">
        <f>'Stmts RUS'!AL41</f>
        <v>12.41</v>
      </c>
      <c r="AT30" s="64">
        <f>'Stmts RUS'!AM41</f>
        <v>12.41</v>
      </c>
      <c r="AU30" s="64">
        <f>'Stmts RUS'!AN41</f>
        <v>12.41</v>
      </c>
      <c r="AV30" s="64">
        <f>'Stmts RUS'!AO41</f>
        <v>12.41</v>
      </c>
      <c r="AW30" s="64">
        <f>'Stmts RUS'!AP41</f>
        <v>12.41</v>
      </c>
      <c r="AX30" s="64">
        <f>'Stmts RUS'!AQ41</f>
        <v>12.41</v>
      </c>
      <c r="AY30" s="364"/>
      <c r="AZ30" s="364"/>
    </row>
    <row r="31" spans="1:52">
      <c r="A31" s="3"/>
      <c r="B31" s="48" t="s">
        <v>142</v>
      </c>
      <c r="E31" s="64"/>
      <c r="F31" s="64"/>
      <c r="G31" s="64"/>
      <c r="H31" s="64"/>
      <c r="I31" s="64"/>
      <c r="J31" s="64"/>
      <c r="K31" s="64"/>
      <c r="L31" s="64"/>
      <c r="N31" s="64">
        <f>'Stmts RUS'!G42</f>
        <v>24.504999999999999</v>
      </c>
      <c r="O31" s="64">
        <f>'Stmts RUS'!H42</f>
        <v>24.504999999999999</v>
      </c>
      <c r="P31" s="64">
        <f>'Stmts RUS'!I42</f>
        <v>24.504999999999999</v>
      </c>
      <c r="Q31" s="64">
        <f>'Stmts RUS'!J42</f>
        <v>24.504999999999999</v>
      </c>
      <c r="R31" s="64">
        <f>'Stmts RUS'!K42</f>
        <v>24.504999999999999</v>
      </c>
      <c r="S31" s="64">
        <f>'Stmts RUS'!L42</f>
        <v>24.504999999999999</v>
      </c>
      <c r="T31" s="64">
        <f>'Stmts RUS'!M42</f>
        <v>24.504999999999999</v>
      </c>
      <c r="U31" s="64">
        <f>'Stmts RUS'!N42</f>
        <v>26.454838709677418</v>
      </c>
      <c r="V31" s="64">
        <f>'Stmts RUS'!O42</f>
        <v>30</v>
      </c>
      <c r="W31" s="64">
        <f>'Stmts RUS'!P42</f>
        <v>30</v>
      </c>
      <c r="X31" s="64">
        <f>'Stmts RUS'!Q42</f>
        <v>30</v>
      </c>
      <c r="Y31" s="64">
        <f>'Stmts RUS'!R42</f>
        <v>30</v>
      </c>
      <c r="Z31" s="89"/>
      <c r="AA31" s="64">
        <f>'Stmts RUS'!T42</f>
        <v>30</v>
      </c>
      <c r="AB31" s="64">
        <f>'Stmts RUS'!U42</f>
        <v>30</v>
      </c>
      <c r="AC31" s="64">
        <f>'Stmts RUS'!V42</f>
        <v>30</v>
      </c>
      <c r="AD31" s="64">
        <f>'Stmts RUS'!W42</f>
        <v>30</v>
      </c>
      <c r="AE31" s="64">
        <f>'Stmts RUS'!X42</f>
        <v>30</v>
      </c>
      <c r="AF31" s="64">
        <f>'Stmts RUS'!Y42</f>
        <v>30</v>
      </c>
      <c r="AG31" s="64">
        <f>'Stmts RUS'!Z42</f>
        <v>30</v>
      </c>
      <c r="AH31" s="64">
        <f>'Stmts RUS'!AA42</f>
        <v>30</v>
      </c>
      <c r="AI31" s="64">
        <f>'Stmts RUS'!AB42</f>
        <v>30</v>
      </c>
      <c r="AJ31" s="64">
        <f>'Stmts RUS'!AC42</f>
        <v>30</v>
      </c>
      <c r="AK31" s="64">
        <f>'Stmts RUS'!AD42</f>
        <v>30</v>
      </c>
      <c r="AL31" s="64">
        <f>'Stmts RUS'!AE42</f>
        <v>30</v>
      </c>
      <c r="AM31" s="89"/>
      <c r="AN31" s="64">
        <f>'Stmts RUS'!AG42</f>
        <v>30</v>
      </c>
      <c r="AO31" s="64">
        <f>'Stmts RUS'!AH42</f>
        <v>30</v>
      </c>
      <c r="AP31" s="64">
        <f>'Stmts RUS'!AI42</f>
        <v>30</v>
      </c>
      <c r="AQ31" s="64">
        <f>'Stmts RUS'!AJ42</f>
        <v>30</v>
      </c>
      <c r="AR31" s="64">
        <f>'Stmts RUS'!AK42</f>
        <v>30</v>
      </c>
      <c r="AS31" s="64">
        <f>'Stmts RUS'!AL42</f>
        <v>30</v>
      </c>
      <c r="AT31" s="64">
        <f>'Stmts RUS'!AM42</f>
        <v>30</v>
      </c>
      <c r="AU31" s="64">
        <f>'Stmts RUS'!AN42</f>
        <v>30</v>
      </c>
      <c r="AV31" s="64">
        <f>'Stmts RUS'!AO42</f>
        <v>30</v>
      </c>
      <c r="AW31" s="64">
        <f>'Stmts RUS'!AP42</f>
        <v>30</v>
      </c>
      <c r="AX31" s="64">
        <f>'Stmts RUS'!AQ42</f>
        <v>30</v>
      </c>
      <c r="AY31" s="364"/>
      <c r="AZ31" s="364"/>
    </row>
    <row r="32" spans="1:52">
      <c r="A32" s="3"/>
      <c r="B32" s="48" t="s">
        <v>410</v>
      </c>
      <c r="E32" s="64"/>
      <c r="F32" s="64"/>
      <c r="G32" s="64"/>
      <c r="H32" s="64"/>
      <c r="I32" s="64"/>
      <c r="J32" s="64"/>
      <c r="K32" s="64"/>
      <c r="L32" s="64"/>
      <c r="N32" s="64">
        <f>'Stmts RUS'!G44</f>
        <v>43.130854590103674</v>
      </c>
      <c r="O32" s="64">
        <f>'Stmts RUS'!H44</f>
        <v>44.27422141132844</v>
      </c>
      <c r="P32" s="64">
        <f>'Stmts RUS'!I44</f>
        <v>42.673496592418658</v>
      </c>
      <c r="Q32" s="64">
        <f>'Stmts RUS'!J44</f>
        <v>43.459454315314396</v>
      </c>
      <c r="R32" s="64">
        <f>'Stmts RUS'!K44</f>
        <v>42.899997209425997</v>
      </c>
      <c r="S32" s="64">
        <f>'Stmts RUS'!L44</f>
        <v>43.428708450973808</v>
      </c>
      <c r="T32" s="64">
        <f>'Stmts RUS'!M44</f>
        <v>42.627100136605506</v>
      </c>
      <c r="U32" s="64">
        <f>'Stmts RUS'!N44</f>
        <v>45.982544772901498</v>
      </c>
      <c r="V32" s="64">
        <f>'Stmts RUS'!O44</f>
        <v>52.041461916050075</v>
      </c>
      <c r="W32" s="64">
        <f>'Stmts RUS'!P44</f>
        <v>51.788508892409688</v>
      </c>
      <c r="X32" s="64">
        <f>'Stmts RUS'!Q44</f>
        <v>52.332257700613297</v>
      </c>
      <c r="Y32" s="64">
        <f>'Stmts RUS'!R44</f>
        <v>51.777609927411021</v>
      </c>
      <c r="Z32" s="89"/>
      <c r="AA32" s="64">
        <f>'Stmts RUS'!T44</f>
        <v>52.031115874589837</v>
      </c>
      <c r="AB32" s="64">
        <f>'Stmts RUS'!U44</f>
        <v>53.365336925198655</v>
      </c>
      <c r="AC32" s="64">
        <f>'Stmts RUS'!V44</f>
        <v>51.473432639230055</v>
      </c>
      <c r="AD32" s="64">
        <f>'Stmts RUS'!W44</f>
        <v>52.40235981457635</v>
      </c>
      <c r="AE32" s="64">
        <f>'Stmts RUS'!X44</f>
        <v>51.741134797045397</v>
      </c>
      <c r="AF32" s="64">
        <f>'Stmts RUS'!Y44</f>
        <v>52.366021131103331</v>
      </c>
      <c r="AG32" s="64">
        <f>'Stmts RUS'!Z44</f>
        <v>51.418596447168994</v>
      </c>
      <c r="AH32" s="64">
        <f>'Stmts RUS'!AA44</f>
        <v>51.680481947369302</v>
      </c>
      <c r="AI32" s="64">
        <f>'Stmts RUS'!AB44</f>
        <v>52.041461916050075</v>
      </c>
      <c r="AJ32" s="64">
        <f>'Stmts RUS'!AC44</f>
        <v>51.788508892409688</v>
      </c>
      <c r="AK32" s="64">
        <f>'Stmts RUS'!AD44</f>
        <v>52.332257700613297</v>
      </c>
      <c r="AL32" s="64">
        <f>'Stmts RUS'!AE44</f>
        <v>51.777609927411021</v>
      </c>
      <c r="AM32" s="89"/>
      <c r="AN32" s="64">
        <f>'Stmts RUS'!AG44</f>
        <v>52.021554127872214</v>
      </c>
      <c r="AO32" s="64">
        <f>'Stmts RUS'!AH44</f>
        <v>52.012039763160715</v>
      </c>
      <c r="AP32" s="64">
        <f>'Stmts RUS'!AI44</f>
        <v>52.021554127872207</v>
      </c>
      <c r="AQ32" s="64">
        <f>'Stmts RUS'!AJ44</f>
        <v>52.021554127872207</v>
      </c>
      <c r="AR32" s="64">
        <f>'Stmts RUS'!AK44</f>
        <v>52.021554127872207</v>
      </c>
      <c r="AS32" s="64">
        <f>'Stmts RUS'!AL44</f>
        <v>52.012039763160715</v>
      </c>
      <c r="AT32" s="64">
        <f>'Stmts RUS'!AM44</f>
        <v>52.021554127872207</v>
      </c>
      <c r="AU32" s="64">
        <f>'Stmts RUS'!AN44</f>
        <v>52.021554127872207</v>
      </c>
      <c r="AV32" s="64">
        <f>'Stmts RUS'!AO44</f>
        <v>52.021554127872207</v>
      </c>
      <c r="AW32" s="64">
        <f>'Stmts RUS'!AP44</f>
        <v>52.012039763160715</v>
      </c>
      <c r="AX32" s="64">
        <f>'Stmts RUS'!AQ44</f>
        <v>52.021554127872207</v>
      </c>
      <c r="AY32" s="364"/>
      <c r="AZ32" s="364"/>
    </row>
    <row r="33" spans="1:52">
      <c r="A33" s="3"/>
      <c r="B33" s="48" t="s">
        <v>143</v>
      </c>
      <c r="E33" s="64"/>
      <c r="F33" s="64"/>
      <c r="G33" s="64"/>
      <c r="H33" s="64"/>
      <c r="I33" s="64"/>
      <c r="J33" s="64"/>
      <c r="K33" s="64"/>
      <c r="L33" s="64"/>
      <c r="N33" s="64">
        <f>'Stmts RUS'!G46</f>
        <v>0</v>
      </c>
      <c r="O33" s="64">
        <f>'Stmts RUS'!H46</f>
        <v>0</v>
      </c>
      <c r="P33" s="64">
        <f>'Stmts RUS'!I46</f>
        <v>0</v>
      </c>
      <c r="Q33" s="64">
        <f>'Stmts RUS'!J46</f>
        <v>0</v>
      </c>
      <c r="R33" s="64">
        <f>'Stmts RUS'!K46</f>
        <v>0</v>
      </c>
      <c r="S33" s="64">
        <f>'Stmts RUS'!L46</f>
        <v>0</v>
      </c>
      <c r="T33" s="64">
        <f>'Stmts RUS'!M46</f>
        <v>0</v>
      </c>
      <c r="U33" s="64">
        <f>'Stmts RUS'!N46</f>
        <v>0</v>
      </c>
      <c r="V33" s="64">
        <f>'Stmts RUS'!O46</f>
        <v>0</v>
      </c>
      <c r="W33" s="64">
        <f>'Stmts RUS'!P46</f>
        <v>0</v>
      </c>
      <c r="X33" s="64">
        <f>'Stmts RUS'!Q46</f>
        <v>0</v>
      </c>
      <c r="Y33" s="64">
        <f>'Stmts RUS'!R46</f>
        <v>0</v>
      </c>
      <c r="Z33" s="89"/>
      <c r="AA33" s="64">
        <f>'Stmts RUS'!T46</f>
        <v>0</v>
      </c>
      <c r="AB33" s="64">
        <f>'Stmts RUS'!U46</f>
        <v>0</v>
      </c>
      <c r="AC33" s="64">
        <f>'Stmts RUS'!V46</f>
        <v>0</v>
      </c>
      <c r="AD33" s="64">
        <f>'Stmts RUS'!W46</f>
        <v>0</v>
      </c>
      <c r="AE33" s="64">
        <f>'Stmts RUS'!X46</f>
        <v>0</v>
      </c>
      <c r="AF33" s="64">
        <f>'Stmts RUS'!Y46</f>
        <v>0</v>
      </c>
      <c r="AG33" s="64">
        <f>'Stmts RUS'!Z46</f>
        <v>0</v>
      </c>
      <c r="AH33" s="64">
        <f>'Stmts RUS'!AA46</f>
        <v>0</v>
      </c>
      <c r="AI33" s="64">
        <f>'Stmts RUS'!AB46</f>
        <v>0</v>
      </c>
      <c r="AJ33" s="64">
        <f>'Stmts RUS'!AC46</f>
        <v>0</v>
      </c>
      <c r="AK33" s="64">
        <f>'Stmts RUS'!AD46</f>
        <v>0</v>
      </c>
      <c r="AL33" s="64">
        <f>'Stmts RUS'!AE46</f>
        <v>0</v>
      </c>
      <c r="AM33" s="89"/>
      <c r="AN33" s="64">
        <f>'Stmts RUS'!AG46</f>
        <v>0</v>
      </c>
      <c r="AO33" s="64">
        <f>'Stmts RUS'!AH46</f>
        <v>0</v>
      </c>
      <c r="AP33" s="64">
        <f>'Stmts RUS'!AI46</f>
        <v>0</v>
      </c>
      <c r="AQ33" s="64">
        <f>'Stmts RUS'!AJ46</f>
        <v>0</v>
      </c>
      <c r="AR33" s="64">
        <f>'Stmts RUS'!AK46</f>
        <v>0</v>
      </c>
      <c r="AS33" s="64">
        <f>'Stmts RUS'!AL46</f>
        <v>0</v>
      </c>
      <c r="AT33" s="64">
        <f>'Stmts RUS'!AM46</f>
        <v>0</v>
      </c>
      <c r="AU33" s="64">
        <f>'Stmts RUS'!AN46</f>
        <v>0</v>
      </c>
      <c r="AV33" s="64">
        <f>'Stmts RUS'!AO46</f>
        <v>0</v>
      </c>
      <c r="AW33" s="64">
        <f>'Stmts RUS'!AP46</f>
        <v>0</v>
      </c>
      <c r="AX33" s="64">
        <f>'Stmts RUS'!AQ46</f>
        <v>0</v>
      </c>
      <c r="AY33" s="364"/>
      <c r="AZ33" s="364"/>
    </row>
    <row r="34" spans="1:52">
      <c r="A34" s="3"/>
      <c r="B34" s="48" t="s">
        <v>411</v>
      </c>
      <c r="E34" s="64"/>
      <c r="F34" s="64"/>
      <c r="G34" s="64"/>
      <c r="H34" s="64"/>
      <c r="I34" s="64"/>
      <c r="J34" s="64"/>
      <c r="K34" s="64"/>
      <c r="L34" s="64"/>
      <c r="N34" s="64">
        <f>'Stmts RUS'!G47</f>
        <v>-1.357</v>
      </c>
      <c r="O34" s="64">
        <f>'Stmts RUS'!H47</f>
        <v>-1.357</v>
      </c>
      <c r="P34" s="64">
        <f>'Stmts RUS'!I47</f>
        <v>-1.357</v>
      </c>
      <c r="Q34" s="64">
        <f>'Stmts RUS'!J47</f>
        <v>-1.357</v>
      </c>
      <c r="R34" s="64">
        <f>'Stmts RUS'!K47</f>
        <v>-1.357</v>
      </c>
      <c r="S34" s="64">
        <f>'Stmts RUS'!L47</f>
        <v>-1.357</v>
      </c>
      <c r="T34" s="64">
        <f>'Stmts RUS'!M47</f>
        <v>-1.357</v>
      </c>
      <c r="U34" s="64">
        <f>'Stmts RUS'!N47</f>
        <v>-1.357</v>
      </c>
      <c r="V34" s="64">
        <f>'Stmts RUS'!O47</f>
        <v>-0.68508313310372948</v>
      </c>
      <c r="W34" s="64">
        <f>'Stmts RUS'!P47</f>
        <v>-0.68508313310372959</v>
      </c>
      <c r="X34" s="64">
        <f>'Stmts RUS'!Q47</f>
        <v>-0.68508313310372948</v>
      </c>
      <c r="Y34" s="64">
        <f>'Stmts RUS'!R47</f>
        <v>-0.68508313310372948</v>
      </c>
      <c r="Z34" s="89"/>
      <c r="AA34" s="64">
        <f>'Stmts RUS'!T47</f>
        <v>-0.68508313310372948</v>
      </c>
      <c r="AB34" s="64">
        <f>'Stmts RUS'!U47</f>
        <v>-0.68508313310372948</v>
      </c>
      <c r="AC34" s="64">
        <f>'Stmts RUS'!V47</f>
        <v>-0.68508313310372948</v>
      </c>
      <c r="AD34" s="64">
        <f>'Stmts RUS'!W47</f>
        <v>-0.68508313310372948</v>
      </c>
      <c r="AE34" s="64">
        <f>'Stmts RUS'!X47</f>
        <v>-0.68508313310372948</v>
      </c>
      <c r="AF34" s="64">
        <f>'Stmts RUS'!Y47</f>
        <v>-0.68508313310372948</v>
      </c>
      <c r="AG34" s="64">
        <f>'Stmts RUS'!Z47</f>
        <v>-0.68508313310372948</v>
      </c>
      <c r="AH34" s="64">
        <f>'Stmts RUS'!AA47</f>
        <v>-0.68508313310372948</v>
      </c>
      <c r="AI34" s="64">
        <f>'Stmts RUS'!AB47</f>
        <v>-0.31995189662832124</v>
      </c>
      <c r="AJ34" s="64">
        <f>'Stmts RUS'!AC47</f>
        <v>-0.31995189662832124</v>
      </c>
      <c r="AK34" s="64">
        <f>'Stmts RUS'!AD47</f>
        <v>-0.31995189662832124</v>
      </c>
      <c r="AL34" s="64">
        <f>'Stmts RUS'!AE47</f>
        <v>-0.31995189662832124</v>
      </c>
      <c r="AM34" s="89"/>
      <c r="AN34" s="64">
        <f>'Stmts RUS'!AG47</f>
        <v>-0.31995189662832124</v>
      </c>
      <c r="AO34" s="64">
        <f>'Stmts RUS'!AH47</f>
        <v>1.0340520374622204</v>
      </c>
      <c r="AP34" s="64">
        <f>'Stmts RUS'!AI47</f>
        <v>0.98724368665736029</v>
      </c>
      <c r="AQ34" s="64">
        <f>'Stmts RUS'!AJ47</f>
        <v>0.98100747577917535</v>
      </c>
      <c r="AR34" s="64">
        <f>'Stmts RUS'!AK47</f>
        <v>1.0689326218597828</v>
      </c>
      <c r="AS34" s="64">
        <f>'Stmts RUS'!AL47</f>
        <v>1.0603839309684941</v>
      </c>
      <c r="AT34" s="64">
        <f>'Stmts RUS'!AM47</f>
        <v>1.0459570615534537</v>
      </c>
      <c r="AU34" s="64">
        <f>'Stmts RUS'!AN47</f>
        <v>1.1348643260993998</v>
      </c>
      <c r="AV34" s="64">
        <f>'Stmts RUS'!AO47</f>
        <v>1.1228930852424654</v>
      </c>
      <c r="AW34" s="64">
        <f>'Stmts RUS'!AP47</f>
        <v>1.112034742502348</v>
      </c>
      <c r="AX34" s="64">
        <f>'Stmts RUS'!AQ47</f>
        <v>1.1974052163063931</v>
      </c>
      <c r="AY34" s="364"/>
      <c r="AZ34" s="364"/>
    </row>
    <row r="35" spans="1:52">
      <c r="A35" s="3"/>
      <c r="B35" s="48" t="s">
        <v>412</v>
      </c>
      <c r="Z35" s="89"/>
      <c r="AM35" s="89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837"/>
      <c r="AZ35" s="837"/>
    </row>
    <row r="36" spans="1:52">
      <c r="A36" s="3"/>
      <c r="B36" s="48" t="s">
        <v>413</v>
      </c>
      <c r="E36" s="64"/>
      <c r="F36" s="64"/>
      <c r="G36" s="64"/>
      <c r="H36" s="64"/>
      <c r="I36" s="64"/>
      <c r="J36" s="64"/>
      <c r="K36" s="64"/>
      <c r="L36" s="64"/>
      <c r="N36" s="64">
        <f>'Stmts RUS'!G48</f>
        <v>3.7963383636932448</v>
      </c>
      <c r="O36" s="64">
        <f>'Stmts RUS'!H48</f>
        <v>3.9251281468845747</v>
      </c>
      <c r="P36" s="64">
        <f>'Stmts RUS'!I48</f>
        <v>3.9177526208667715</v>
      </c>
      <c r="Q36" s="64">
        <f>'Stmts RUS'!J48</f>
        <v>3.9583829858781563</v>
      </c>
      <c r="R36" s="64">
        <f>'Stmts RUS'!K48</f>
        <v>3.9650535434312602</v>
      </c>
      <c r="S36" s="64">
        <f>'Stmts RUS'!L48</f>
        <v>4.1057147400882172</v>
      </c>
      <c r="T36" s="64">
        <f>'Stmts RUS'!M48</f>
        <v>4.6280961821621247</v>
      </c>
      <c r="U36" s="64">
        <f>'Stmts RUS'!N48</f>
        <v>4.2085144107267354</v>
      </c>
      <c r="V36" s="64">
        <f>'Stmts RUS'!O48</f>
        <v>4.6894785183502243</v>
      </c>
      <c r="W36" s="64">
        <f>'Stmts RUS'!P48</f>
        <v>4.4699835305300013</v>
      </c>
      <c r="X36" s="64">
        <f>'Stmts RUS'!Q48</f>
        <v>4.5930663428745611</v>
      </c>
      <c r="Y36" s="64">
        <f>'Stmts RUS'!R48</f>
        <v>4.6583515678101328</v>
      </c>
      <c r="Z36" s="89"/>
      <c r="AA36" s="64">
        <f>'Stmts RUS'!T48</f>
        <v>4.8866856798061171</v>
      </c>
      <c r="AB36" s="64">
        <f>'Stmts RUS'!U48</f>
        <v>5.0551684882073182</v>
      </c>
      <c r="AC36" s="64">
        <f>'Stmts RUS'!V48</f>
        <v>5.2005594622076536</v>
      </c>
      <c r="AD36" s="64">
        <f>'Stmts RUS'!W48</f>
        <v>5.3225046534309719</v>
      </c>
      <c r="AE36" s="64">
        <f>'Stmts RUS'!X48</f>
        <v>5.4315731102566787</v>
      </c>
      <c r="AF36" s="64">
        <f>'Stmts RUS'!Y48</f>
        <v>5.6299815605481953</v>
      </c>
      <c r="AG36" s="64">
        <f>'Stmts RUS'!Z48</f>
        <v>5.6517894361783796</v>
      </c>
      <c r="AH36" s="64">
        <f>'Stmts RUS'!AA48</f>
        <v>5.690344155591383</v>
      </c>
      <c r="AI36" s="64">
        <f>'Stmts RUS'!AB48</f>
        <v>5.7617463416336498</v>
      </c>
      <c r="AJ36" s="64">
        <f>'Stmts RUS'!AC48</f>
        <v>5.3798392292094768</v>
      </c>
      <c r="AK36" s="64">
        <f>'Stmts RUS'!AD48</f>
        <v>5.424671823074668</v>
      </c>
      <c r="AL36" s="64">
        <f>'Stmts RUS'!AE48</f>
        <v>5.4400767169142874</v>
      </c>
      <c r="AM36" s="89"/>
      <c r="AN36" s="64">
        <f>'Stmts RUS'!AG48</f>
        <v>6.4429337942454907</v>
      </c>
      <c r="AO36" s="64">
        <f>'Stmts RUS'!AH48</f>
        <v>6.9344556727440256</v>
      </c>
      <c r="AP36" s="64">
        <f>'Stmts RUS'!AI48</f>
        <v>8.1711410789152517</v>
      </c>
      <c r="AQ36" s="64">
        <f>'Stmts RUS'!AJ48</f>
        <v>9.089843981659989</v>
      </c>
      <c r="AR36" s="64">
        <f>'Stmts RUS'!AK48</f>
        <v>9.6600154495524251</v>
      </c>
      <c r="AS36" s="64">
        <f>'Stmts RUS'!AL48</f>
        <v>11.262019941767477</v>
      </c>
      <c r="AT36" s="64">
        <f>'Stmts RUS'!AM48</f>
        <v>12.718998434024591</v>
      </c>
      <c r="AU36" s="64">
        <f>'Stmts RUS'!AN48</f>
        <v>13.973213946999408</v>
      </c>
      <c r="AV36" s="64">
        <f>'Stmts RUS'!AO48</f>
        <v>15.594056537842711</v>
      </c>
      <c r="AW36" s="64">
        <f>'Stmts RUS'!AP48</f>
        <v>16.312925925514492</v>
      </c>
      <c r="AX36" s="64">
        <f>'Stmts RUS'!AQ48</f>
        <v>19.349098915653869</v>
      </c>
      <c r="AY36" s="364"/>
      <c r="AZ36" s="364"/>
    </row>
    <row r="37" spans="1:52">
      <c r="A37" s="3"/>
      <c r="B37" s="48" t="s">
        <v>414</v>
      </c>
      <c r="E37" s="64"/>
      <c r="F37" s="64"/>
      <c r="G37" s="64"/>
      <c r="H37" s="64"/>
      <c r="I37" s="64"/>
      <c r="J37" s="64"/>
      <c r="K37" s="64"/>
      <c r="L37" s="64"/>
      <c r="N37" s="64">
        <f>'Stmts RUS'!G49</f>
        <v>2.7498441214673086</v>
      </c>
      <c r="O37" s="64">
        <f>'Stmts RUS'!H49</f>
        <v>2.8148839930336496</v>
      </c>
      <c r="P37" s="64">
        <f>'Stmts RUS'!I49</f>
        <v>2.7916147759721062</v>
      </c>
      <c r="Q37" s="64">
        <f>'Stmts RUS'!J49</f>
        <v>2.6545285841609165</v>
      </c>
      <c r="R37" s="64">
        <f>'Stmts RUS'!K49</f>
        <v>2.7244568534564375</v>
      </c>
      <c r="S37" s="64">
        <f>'Stmts RUS'!L49</f>
        <v>2.7808014481734187</v>
      </c>
      <c r="T37" s="64">
        <f>'Stmts RUS'!M49</f>
        <v>2.6715814694002846</v>
      </c>
      <c r="U37" s="64">
        <f>'Stmts RUS'!N49</f>
        <v>2.9882582127127075</v>
      </c>
      <c r="V37" s="64">
        <f>'Stmts RUS'!O49</f>
        <v>3.3286064555343953</v>
      </c>
      <c r="W37" s="64">
        <f>'Stmts RUS'!P49</f>
        <v>3.2488535995599137</v>
      </c>
      <c r="X37" s="64">
        <f>'Stmts RUS'!Q49</f>
        <v>3.0117304665703051</v>
      </c>
      <c r="Y37" s="64">
        <f>'Stmts RUS'!R49</f>
        <v>2.8041022649997411</v>
      </c>
      <c r="Z37" s="89"/>
      <c r="AA37" s="64">
        <f>'Stmts RUS'!T49</f>
        <v>2.9621130404280636</v>
      </c>
      <c r="AB37" s="64">
        <f>'Stmts RUS'!U49</f>
        <v>3.0491135222840962</v>
      </c>
      <c r="AC37" s="64">
        <f>'Stmts RUS'!V49</f>
        <v>2.8503044555633377</v>
      </c>
      <c r="AD37" s="64">
        <f>'Stmts RUS'!W49</f>
        <v>3.1569235502708537</v>
      </c>
      <c r="AE37" s="64">
        <f>'Stmts RUS'!X49</f>
        <v>3.0551830841766852</v>
      </c>
      <c r="AF37" s="64">
        <f>'Stmts RUS'!Y49</f>
        <v>3.0987535391781158</v>
      </c>
      <c r="AG37" s="64">
        <f>'Stmts RUS'!Z49</f>
        <v>3.0174220974374788</v>
      </c>
      <c r="AH37" s="64">
        <f>'Stmts RUS'!AA49</f>
        <v>3.5185167494770879</v>
      </c>
      <c r="AI37" s="64">
        <f>'Stmts RUS'!AB49</f>
        <v>4.1134373417874057</v>
      </c>
      <c r="AJ37" s="64">
        <f>'Stmts RUS'!AC49</f>
        <v>4.0261816463805626</v>
      </c>
      <c r="AK37" s="64">
        <f>'Stmts RUS'!AD49</f>
        <v>3.7734353222496688</v>
      </c>
      <c r="AL37" s="64">
        <f>'Stmts RUS'!AE49</f>
        <v>3.4676294228882734</v>
      </c>
      <c r="AM37" s="89"/>
      <c r="AN37" s="64">
        <f>'Stmts RUS'!AG49</f>
        <v>4.1365715055226415</v>
      </c>
      <c r="AO37" s="64">
        <f>'Stmts RUS'!AH49</f>
        <v>4.3950532451154336</v>
      </c>
      <c r="AP37" s="64">
        <f>'Stmts RUS'!AI49</f>
        <v>4.4781980815160098</v>
      </c>
      <c r="AQ37" s="64">
        <f>'Stmts RUS'!AJ49</f>
        <v>4.5469396655281527</v>
      </c>
      <c r="AR37" s="64">
        <f>'Stmts RUS'!AK49</f>
        <v>4.610205179188668</v>
      </c>
      <c r="AS37" s="64">
        <f>'Stmts RUS'!AL49</f>
        <v>4.4132842683884217</v>
      </c>
      <c r="AT37" s="64">
        <f>'Stmts RUS'!AM49</f>
        <v>4.2582424499443157</v>
      </c>
      <c r="AU37" s="64">
        <f>'Stmts RUS'!AN49</f>
        <v>4.3834042650876466</v>
      </c>
      <c r="AV37" s="64">
        <f>'Stmts RUS'!AO49</f>
        <v>4.5399839964953514</v>
      </c>
      <c r="AW37" s="64">
        <f>'Stmts RUS'!AP49</f>
        <v>4.606850603245956</v>
      </c>
      <c r="AX37" s="64">
        <f>'Stmts RUS'!AQ49</f>
        <v>4.7694648327959168</v>
      </c>
      <c r="AY37" s="364"/>
      <c r="AZ37" s="364"/>
    </row>
    <row r="38" spans="1:52">
      <c r="A38" s="3"/>
      <c r="B38" s="48" t="s">
        <v>415</v>
      </c>
      <c r="E38" s="64"/>
      <c r="F38" s="64"/>
      <c r="G38" s="64"/>
      <c r="H38" s="64"/>
      <c r="I38" s="64"/>
      <c r="J38" s="64"/>
      <c r="K38" s="64"/>
      <c r="L38" s="64"/>
      <c r="N38" s="64">
        <f>'Stmts RUS'!G50</f>
        <v>-3.5419987678431255</v>
      </c>
      <c r="O38" s="64">
        <f>'Stmts RUS'!H50</f>
        <v>-3.8534978053181028</v>
      </c>
      <c r="P38" s="64">
        <f>'Stmts RUS'!I50</f>
        <v>-4.3303966389368087</v>
      </c>
      <c r="Q38" s="64">
        <f>'Stmts RUS'!J50</f>
        <v>-5.048932403708319</v>
      </c>
      <c r="R38" s="64">
        <f>'Stmts RUS'!K50</f>
        <v>-4.7533128779436753</v>
      </c>
      <c r="S38" s="64">
        <f>'Stmts RUS'!L50</f>
        <v>-3.8706361659587825</v>
      </c>
      <c r="T38" s="64">
        <f>'Stmts RUS'!M50</f>
        <v>-3.5315807075026906</v>
      </c>
      <c r="U38" s="64">
        <f>'Stmts RUS'!N50</f>
        <v>-2.8660062033734497</v>
      </c>
      <c r="V38" s="64">
        <f>'Stmts RUS'!O50</f>
        <v>-1.9099490423013319</v>
      </c>
      <c r="W38" s="64">
        <f>'Stmts RUS'!P50</f>
        <v>-2.1420632362953818</v>
      </c>
      <c r="X38" s="64">
        <f>'Stmts RUS'!Q50</f>
        <v>-1.9063198549526461</v>
      </c>
      <c r="Y38" s="64">
        <f>'Stmts RUS'!R50</f>
        <v>-1.5368370338124206</v>
      </c>
      <c r="Z38" s="89"/>
      <c r="AA38" s="64">
        <f>'Stmts RUS'!T50</f>
        <v>-1.5004831843630528</v>
      </c>
      <c r="AB38" s="64">
        <f>'Stmts RUS'!U50</f>
        <v>-1.6368182323109093</v>
      </c>
      <c r="AC38" s="64">
        <f>'Stmts RUS'!V50</f>
        <v>-1.8398813480720406</v>
      </c>
      <c r="AD38" s="64">
        <f>'Stmts RUS'!W50</f>
        <v>-2.1467870053988767</v>
      </c>
      <c r="AE38" s="64">
        <f>'Stmts RUS'!X50</f>
        <v>-2.0202342508791742</v>
      </c>
      <c r="AF38" s="64">
        <f>'Stmts RUS'!Y50</f>
        <v>-1.6435781306420623</v>
      </c>
      <c r="AG38" s="64">
        <f>'Stmts RUS'!Z50</f>
        <v>-1.5106951013206491</v>
      </c>
      <c r="AH38" s="64">
        <f>'Stmts RUS'!AA50</f>
        <v>-1.5579589524549675</v>
      </c>
      <c r="AI38" s="64">
        <f>'Stmts RUS'!AB50</f>
        <v>-1.888516000997958</v>
      </c>
      <c r="AJ38" s="64">
        <f>'Stmts RUS'!AC50</f>
        <v>-2.1193805839546793</v>
      </c>
      <c r="AK38" s="64">
        <f>'Stmts RUS'!AD50</f>
        <v>-1.8850186614847981</v>
      </c>
      <c r="AL38" s="64">
        <f>'Stmts RUS'!AE50</f>
        <v>-1.5183662190185225</v>
      </c>
      <c r="AM38" s="89"/>
      <c r="AN38" s="64">
        <f>'Stmts RUS'!AG50</f>
        <v>-1.7270976087488248</v>
      </c>
      <c r="AO38" s="64">
        <f>'Stmts RUS'!AH50</f>
        <v>-1.7100561832913621</v>
      </c>
      <c r="AP38" s="64">
        <f>'Stmts RUS'!AI50</f>
        <v>-2.1941616088628115</v>
      </c>
      <c r="AQ38" s="64">
        <f>'Stmts RUS'!AJ50</f>
        <v>-2.3243394891963254</v>
      </c>
      <c r="AR38" s="64">
        <f>'Stmts RUS'!AK50</f>
        <v>-2.3064338386218677</v>
      </c>
      <c r="AS38" s="64">
        <f>'Stmts RUS'!AL50</f>
        <v>-2.2870896642681657</v>
      </c>
      <c r="AT38" s="64">
        <f>'Stmts RUS'!AM50</f>
        <v>-2.2622949474014744</v>
      </c>
      <c r="AU38" s="64">
        <f>'Stmts RUS'!AN50</f>
        <v>-2.2398610526860865</v>
      </c>
      <c r="AV38" s="64">
        <f>'Stmts RUS'!AO50</f>
        <v>-2.2174078410732232</v>
      </c>
      <c r="AW38" s="64">
        <f>'Stmts RUS'!AP50</f>
        <v>-2.197370348866766</v>
      </c>
      <c r="AX38" s="64">
        <f>'Stmts RUS'!AQ50</f>
        <v>-2.172887928901718</v>
      </c>
      <c r="AY38" s="364"/>
      <c r="AZ38" s="364"/>
    </row>
    <row r="39" spans="1:52">
      <c r="A39" s="3"/>
      <c r="B39" s="48" t="s">
        <v>160</v>
      </c>
      <c r="N39" s="4">
        <f t="shared" ref="N39:X39" si="9">O39</f>
        <v>0</v>
      </c>
      <c r="O39" s="4">
        <f t="shared" si="9"/>
        <v>0</v>
      </c>
      <c r="P39" s="4">
        <f t="shared" si="9"/>
        <v>0</v>
      </c>
      <c r="Q39" s="4">
        <f t="shared" si="9"/>
        <v>0</v>
      </c>
      <c r="R39" s="4">
        <f t="shared" si="9"/>
        <v>0</v>
      </c>
      <c r="S39" s="4">
        <f t="shared" si="9"/>
        <v>0</v>
      </c>
      <c r="T39" s="4">
        <f t="shared" si="9"/>
        <v>0</v>
      </c>
      <c r="U39" s="4">
        <f t="shared" si="9"/>
        <v>0</v>
      </c>
      <c r="V39" s="4">
        <f t="shared" si="9"/>
        <v>0</v>
      </c>
      <c r="W39" s="4">
        <f t="shared" si="9"/>
        <v>0</v>
      </c>
      <c r="X39" s="4">
        <f t="shared" si="9"/>
        <v>0</v>
      </c>
      <c r="Y39" s="4">
        <f>Z39</f>
        <v>0</v>
      </c>
      <c r="Z39" s="89">
        <v>0</v>
      </c>
      <c r="AA39" s="4">
        <f>AB39</f>
        <v>0</v>
      </c>
      <c r="AB39" s="4">
        <f t="shared" ref="AB39:AL39" si="10">AC39</f>
        <v>0</v>
      </c>
      <c r="AC39" s="4">
        <f t="shared" si="10"/>
        <v>0</v>
      </c>
      <c r="AD39" s="4">
        <f t="shared" si="10"/>
        <v>0</v>
      </c>
      <c r="AE39" s="4">
        <f t="shared" si="10"/>
        <v>0</v>
      </c>
      <c r="AF39" s="4">
        <f t="shared" si="10"/>
        <v>0</v>
      </c>
      <c r="AG39" s="4">
        <f t="shared" si="10"/>
        <v>0</v>
      </c>
      <c r="AH39" s="4">
        <f t="shared" si="10"/>
        <v>0</v>
      </c>
      <c r="AI39" s="4">
        <f t="shared" si="10"/>
        <v>0</v>
      </c>
      <c r="AJ39" s="4">
        <f t="shared" si="10"/>
        <v>0</v>
      </c>
      <c r="AK39" s="4">
        <f t="shared" si="10"/>
        <v>0</v>
      </c>
      <c r="AL39" s="4">
        <f t="shared" si="10"/>
        <v>0</v>
      </c>
      <c r="AM39" s="89">
        <f>'Stmts RUS'!R53*Z7/AM7</f>
        <v>0</v>
      </c>
      <c r="AN39" s="4">
        <f>'Stmts RUS'!AE53*AM7/AN7</f>
        <v>0</v>
      </c>
      <c r="AO39" s="4">
        <f>'Stmts RUS'!AG53*AN7/AO7</f>
        <v>0</v>
      </c>
      <c r="AP39" s="4">
        <f>'Stmts RUS'!AH53*AO7/AP7</f>
        <v>0</v>
      </c>
      <c r="AQ39" s="4">
        <f>'Stmts RUS'!AI53*AP7/AQ7</f>
        <v>0</v>
      </c>
      <c r="AR39" s="4">
        <f>'Stmts RUS'!AJ53*AQ7/AR7</f>
        <v>0</v>
      </c>
      <c r="AS39" s="4">
        <f>'Stmts RUS'!AK53*AR7/AS7</f>
        <v>-0.25874154024761625</v>
      </c>
      <c r="AT39" s="4">
        <f>'Stmts RUS'!AL53*AS7/AT7</f>
        <v>-7.0538322984679072</v>
      </c>
      <c r="AU39" s="4">
        <f>'Stmts RUS'!AM53*AT7/AU7</f>
        <v>-10.166070586976545</v>
      </c>
      <c r="AV39" s="4">
        <f>'Stmts RUS'!AN53*AU7/AV7</f>
        <v>-10.567420015003524</v>
      </c>
      <c r="AW39" s="4">
        <f>'Stmts RUS'!AO53*AV7/AW7</f>
        <v>-8.0728456568555593</v>
      </c>
      <c r="AX39" s="4">
        <f>'Stmts RUS'!AP53*AW7/AX7</f>
        <v>-5.8907064213339373</v>
      </c>
      <c r="AY39" s="837"/>
      <c r="AZ39" s="837"/>
    </row>
    <row r="40" spans="1:52">
      <c r="A40" s="3"/>
      <c r="B40" s="48" t="s">
        <v>146</v>
      </c>
      <c r="E40" s="64"/>
      <c r="F40" s="64"/>
      <c r="G40" s="64"/>
      <c r="H40" s="64"/>
      <c r="I40" s="64"/>
      <c r="J40" s="64"/>
      <c r="K40" s="64"/>
      <c r="L40" s="64"/>
      <c r="N40" s="64">
        <f>'Stmts RUS'!G52</f>
        <v>-7.2161837173174277</v>
      </c>
      <c r="O40" s="64">
        <f>'Stmts RUS'!H52</f>
        <v>-7.0985143346001216</v>
      </c>
      <c r="P40" s="64">
        <f>'Stmts RUS'!I52</f>
        <v>-6.5909707579020687</v>
      </c>
      <c r="Q40" s="64">
        <f>'Stmts RUS'!J52</f>
        <v>-5.7759791663307531</v>
      </c>
      <c r="R40" s="64">
        <f>'Stmts RUS'!K52</f>
        <v>-6.1481975189440226</v>
      </c>
      <c r="S40" s="64">
        <f>'Stmts RUS'!L52</f>
        <v>-7.2278800223028536</v>
      </c>
      <c r="T40" s="64">
        <f>'Stmts RUS'!M52</f>
        <v>-6.9800969440597189</v>
      </c>
      <c r="U40" s="64">
        <f>'Stmts RUS'!N52</f>
        <v>-7.542766420065993</v>
      </c>
      <c r="V40" s="64">
        <f>'Stmts RUS'!O52</f>
        <v>-9.3201359315832875</v>
      </c>
      <c r="W40" s="64">
        <f>'Stmts RUS'!P52</f>
        <v>-8.7887738937945326</v>
      </c>
      <c r="X40" s="64">
        <f>'Stmts RUS'!Q52</f>
        <v>-8.9104769544922195</v>
      </c>
      <c r="Y40" s="64">
        <f>'Stmts RUS'!R52</f>
        <v>-9.1376167989974526</v>
      </c>
      <c r="Z40" s="89"/>
      <c r="AA40" s="64">
        <f>'Stmts RUS'!T52</f>
        <v>-9.5603155358711263</v>
      </c>
      <c r="AB40" s="64">
        <f>'Stmts RUS'!U52</f>
        <v>-9.6794637781805051</v>
      </c>
      <c r="AC40" s="64">
        <f>'Stmts RUS'!V52</f>
        <v>-9.4229825696989504</v>
      </c>
      <c r="AD40" s="64">
        <f>'Stmts RUS'!W52</f>
        <v>-9.5446411983029478</v>
      </c>
      <c r="AE40" s="64">
        <f>'Stmts RUS'!X52</f>
        <v>-9.6785219435541894</v>
      </c>
      <c r="AF40" s="64">
        <f>'Stmts RUS'!Y52</f>
        <v>-10.297156969084249</v>
      </c>
      <c r="AG40" s="64">
        <f>'Stmts RUS'!Z52</f>
        <v>-8.3705164322952079</v>
      </c>
      <c r="AH40" s="64">
        <f>'Stmts RUS'!AA52</f>
        <v>-8.8629019526135036</v>
      </c>
      <c r="AI40" s="64">
        <f>'Stmts RUS'!AB52</f>
        <v>-9.198667682423098</v>
      </c>
      <c r="AJ40" s="64">
        <f>'Stmts RUS'!AC52</f>
        <v>-8.4986402916353594</v>
      </c>
      <c r="AK40" s="64">
        <f>'Stmts RUS'!AD52</f>
        <v>-8.5250884838395375</v>
      </c>
      <c r="AL40" s="64">
        <f>'Stmts RUS'!AE52</f>
        <v>-8.6013399207840369</v>
      </c>
      <c r="AM40" s="89"/>
      <c r="AN40" s="64">
        <f>'Stmts RUS'!AG52</f>
        <v>-6.2570983071537754</v>
      </c>
      <c r="AO40" s="64">
        <f>'Stmts RUS'!AH52</f>
        <v>0</v>
      </c>
      <c r="AP40" s="64">
        <f>'Stmts RUS'!AI52</f>
        <v>0</v>
      </c>
      <c r="AQ40" s="64">
        <f>'Stmts RUS'!AJ52</f>
        <v>0</v>
      </c>
      <c r="AR40" s="64">
        <f>'Stmts RUS'!AK52</f>
        <v>0</v>
      </c>
      <c r="AS40" s="64">
        <f>'Stmts RUS'!AL52</f>
        <v>0</v>
      </c>
      <c r="AT40" s="64">
        <f>'Stmts RUS'!AM52</f>
        <v>0</v>
      </c>
      <c r="AU40" s="64">
        <f>'Stmts RUS'!AN52</f>
        <v>0</v>
      </c>
      <c r="AV40" s="64">
        <f>'Stmts RUS'!AO52</f>
        <v>0</v>
      </c>
      <c r="AW40" s="64">
        <f>'Stmts RUS'!AP52</f>
        <v>0</v>
      </c>
      <c r="AX40" s="64">
        <f>'Stmts RUS'!AQ52</f>
        <v>0</v>
      </c>
      <c r="AY40" s="364"/>
      <c r="AZ40" s="364"/>
    </row>
    <row r="41" spans="1:52">
      <c r="A41" s="3"/>
      <c r="B41" s="48" t="s">
        <v>283</v>
      </c>
      <c r="E41" s="64"/>
      <c r="F41" s="64"/>
      <c r="G41" s="64"/>
      <c r="H41" s="64"/>
      <c r="I41" s="64"/>
      <c r="J41" s="64"/>
      <c r="K41" s="64"/>
      <c r="L41" s="64"/>
      <c r="N41" s="64">
        <f>SUM(N36:N40)</f>
        <v>-4.2119999999999997</v>
      </c>
      <c r="O41" s="64">
        <f t="shared" ref="O41:Y41" si="11">SUM(O36:O40)</f>
        <v>-4.2119999999999997</v>
      </c>
      <c r="P41" s="64">
        <f t="shared" si="11"/>
        <v>-4.2119999999999997</v>
      </c>
      <c r="Q41" s="64">
        <f t="shared" si="11"/>
        <v>-4.2119999999999997</v>
      </c>
      <c r="R41" s="64">
        <f t="shared" si="11"/>
        <v>-4.2119999999999997</v>
      </c>
      <c r="S41" s="64">
        <f t="shared" si="11"/>
        <v>-4.2119999999999997</v>
      </c>
      <c r="T41" s="64">
        <f t="shared" si="11"/>
        <v>-3.2120000000000002</v>
      </c>
      <c r="U41" s="64">
        <f t="shared" si="11"/>
        <v>-3.2119999999999997</v>
      </c>
      <c r="V41" s="64">
        <f t="shared" si="11"/>
        <v>-3.2119999999999997</v>
      </c>
      <c r="W41" s="64">
        <f t="shared" si="11"/>
        <v>-3.2119999999999997</v>
      </c>
      <c r="X41" s="64">
        <f t="shared" si="11"/>
        <v>-3.2119999999999997</v>
      </c>
      <c r="Y41" s="64">
        <f t="shared" si="11"/>
        <v>-3.2119999999999989</v>
      </c>
      <c r="Z41" s="89"/>
      <c r="AA41" s="64">
        <f t="shared" ref="AA41:AL41" si="12">SUM(AA36:AA40)</f>
        <v>-3.2119999999999989</v>
      </c>
      <c r="AB41" s="64">
        <f t="shared" si="12"/>
        <v>-3.2120000000000006</v>
      </c>
      <c r="AC41" s="64">
        <f t="shared" si="12"/>
        <v>-3.2119999999999997</v>
      </c>
      <c r="AD41" s="64">
        <f t="shared" si="12"/>
        <v>-3.2119999999999989</v>
      </c>
      <c r="AE41" s="64">
        <f t="shared" si="12"/>
        <v>-3.2119999999999997</v>
      </c>
      <c r="AF41" s="64">
        <f t="shared" si="12"/>
        <v>-3.2119999999999997</v>
      </c>
      <c r="AG41" s="64">
        <f t="shared" si="12"/>
        <v>-1.2119999999999989</v>
      </c>
      <c r="AH41" s="64">
        <f t="shared" si="12"/>
        <v>-1.2119999999999997</v>
      </c>
      <c r="AI41" s="64">
        <f t="shared" si="12"/>
        <v>-1.2119999999999997</v>
      </c>
      <c r="AJ41" s="64">
        <f t="shared" si="12"/>
        <v>-1.2119999999999997</v>
      </c>
      <c r="AK41" s="64">
        <f t="shared" si="12"/>
        <v>-1.2119999999999997</v>
      </c>
      <c r="AL41" s="64">
        <f t="shared" si="12"/>
        <v>-1.2119999999999997</v>
      </c>
      <c r="AM41" s="89"/>
      <c r="AN41" s="64">
        <f t="shared" ref="AN41:AX41" si="13">SUM(AN36:AN40)</f>
        <v>2.5953093838655334</v>
      </c>
      <c r="AO41" s="4">
        <f t="shared" si="13"/>
        <v>9.6194527345680978</v>
      </c>
      <c r="AP41" s="4">
        <f t="shared" si="13"/>
        <v>10.455177551568449</v>
      </c>
      <c r="AQ41" s="4">
        <f t="shared" si="13"/>
        <v>11.312444157991816</v>
      </c>
      <c r="AR41" s="4">
        <f t="shared" si="13"/>
        <v>11.963786790119226</v>
      </c>
      <c r="AS41" s="4">
        <f t="shared" si="13"/>
        <v>13.129473005640117</v>
      </c>
      <c r="AT41" s="4">
        <f t="shared" si="13"/>
        <v>7.6611136380995246</v>
      </c>
      <c r="AU41" s="4">
        <f t="shared" si="13"/>
        <v>5.9506865724244236</v>
      </c>
      <c r="AV41" s="4">
        <f t="shared" si="13"/>
        <v>7.3492126782613134</v>
      </c>
      <c r="AW41" s="4">
        <f t="shared" si="13"/>
        <v>10.649560523038122</v>
      </c>
      <c r="AX41" s="4">
        <f t="shared" si="13"/>
        <v>16.05496939821413</v>
      </c>
      <c r="AY41" s="837"/>
      <c r="AZ41" s="837"/>
    </row>
    <row r="42" spans="1:52" ht="13.5" thickBot="1">
      <c r="A42" s="3"/>
      <c r="B42" s="48" t="s">
        <v>163</v>
      </c>
      <c r="E42" s="52"/>
      <c r="F42" s="52"/>
      <c r="G42" s="52"/>
      <c r="H42" s="52"/>
      <c r="I42" s="52"/>
      <c r="J42" s="52"/>
      <c r="K42" s="52"/>
      <c r="L42" s="52"/>
      <c r="M42" s="176"/>
      <c r="N42" s="52">
        <f>SUM(N32:N35)+N41</f>
        <v>37.561854590103678</v>
      </c>
      <c r="O42" s="52">
        <f t="shared" ref="O42:Y42" si="14">SUM(O32:O35)+O41</f>
        <v>38.705221411328438</v>
      </c>
      <c r="P42" s="52">
        <f t="shared" si="14"/>
        <v>37.104496592418656</v>
      </c>
      <c r="Q42" s="52">
        <f t="shared" si="14"/>
        <v>37.8904543153144</v>
      </c>
      <c r="R42" s="52">
        <f t="shared" si="14"/>
        <v>37.330997209426002</v>
      </c>
      <c r="S42" s="52">
        <f t="shared" si="14"/>
        <v>37.859708450973812</v>
      </c>
      <c r="T42" s="52">
        <f t="shared" si="14"/>
        <v>38.058100136605503</v>
      </c>
      <c r="U42" s="52">
        <f t="shared" si="14"/>
        <v>41.413544772901503</v>
      </c>
      <c r="V42" s="52">
        <f t="shared" si="14"/>
        <v>48.144378782946347</v>
      </c>
      <c r="W42" s="52">
        <f t="shared" si="14"/>
        <v>47.89142575930596</v>
      </c>
      <c r="X42" s="52">
        <f t="shared" si="14"/>
        <v>48.435174567509563</v>
      </c>
      <c r="Y42" s="52">
        <f t="shared" si="14"/>
        <v>47.880526794307293</v>
      </c>
      <c r="Z42" s="176"/>
      <c r="AA42" s="52">
        <f t="shared" ref="AA42:AL42" si="15">SUM(AA32:AA35)+AA41</f>
        <v>48.134032741486109</v>
      </c>
      <c r="AB42" s="52">
        <f t="shared" si="15"/>
        <v>49.46825379209492</v>
      </c>
      <c r="AC42" s="52">
        <f t="shared" si="15"/>
        <v>47.57634950612632</v>
      </c>
      <c r="AD42" s="52">
        <f t="shared" si="15"/>
        <v>48.505276681472623</v>
      </c>
      <c r="AE42" s="52">
        <f t="shared" si="15"/>
        <v>47.84405166394167</v>
      </c>
      <c r="AF42" s="52">
        <f t="shared" si="15"/>
        <v>48.468937997999603</v>
      </c>
      <c r="AG42" s="52">
        <f t="shared" si="15"/>
        <v>49.521513314065267</v>
      </c>
      <c r="AH42" s="52">
        <f t="shared" si="15"/>
        <v>49.783398814265567</v>
      </c>
      <c r="AI42" s="52">
        <f t="shared" si="15"/>
        <v>50.509510019421754</v>
      </c>
      <c r="AJ42" s="52">
        <f t="shared" si="15"/>
        <v>50.256556995781366</v>
      </c>
      <c r="AK42" s="52">
        <f t="shared" si="15"/>
        <v>50.800305803984983</v>
      </c>
      <c r="AL42" s="52">
        <f t="shared" si="15"/>
        <v>50.245658030782707</v>
      </c>
      <c r="AM42" s="176"/>
      <c r="AN42" s="52">
        <f>SUM(AN32:AN35)+AN41</f>
        <v>54.29691161510943</v>
      </c>
      <c r="AO42" s="52">
        <f>SUM(AO32:AO35)+AO41</f>
        <v>62.665544535191032</v>
      </c>
      <c r="AP42" s="52">
        <f>SUM(AP32:AP35)+AP41</f>
        <v>63.463975366098012</v>
      </c>
      <c r="AQ42" s="52">
        <f>SUM(AQ32:AQ35)+AQ41</f>
        <v>64.315005761643192</v>
      </c>
      <c r="AR42" s="52">
        <f>SUM(AR32:AR35)+AR41</f>
        <v>65.054273539851209</v>
      </c>
      <c r="AS42" s="52">
        <f t="shared" ref="AS42:AX42" si="16">SUM(AS32:AS35)+AS41</f>
        <v>66.201896699769321</v>
      </c>
      <c r="AT42" s="52">
        <f t="shared" si="16"/>
        <v>60.728624827525181</v>
      </c>
      <c r="AU42" s="52">
        <f t="shared" si="16"/>
        <v>59.107105026396027</v>
      </c>
      <c r="AV42" s="52">
        <f t="shared" si="16"/>
        <v>60.493659891375984</v>
      </c>
      <c r="AW42" s="52">
        <f t="shared" si="16"/>
        <v>63.773635028701179</v>
      </c>
      <c r="AX42" s="52">
        <f t="shared" si="16"/>
        <v>69.273928742392727</v>
      </c>
      <c r="AY42" s="837"/>
      <c r="AZ42" s="837"/>
    </row>
    <row r="43" spans="1:52" ht="13.5" thickTop="1">
      <c r="A43" s="3"/>
    </row>
    <row r="44" spans="1:52">
      <c r="A44" s="3"/>
      <c r="B44" s="34" t="s">
        <v>274</v>
      </c>
    </row>
    <row r="45" spans="1:52">
      <c r="A45" s="3"/>
      <c r="B45" s="48" t="s">
        <v>410</v>
      </c>
      <c r="E45" s="4"/>
      <c r="F45" s="4"/>
      <c r="G45" s="4"/>
      <c r="H45" s="4"/>
      <c r="I45" s="4"/>
      <c r="J45" s="4"/>
      <c r="K45" s="4"/>
      <c r="L45" s="4"/>
      <c r="N45" s="4">
        <f>N15*N$6/(N$6+N$7)+N32*N$7/(N$6+N$7)</f>
        <v>48.603981033797666</v>
      </c>
      <c r="O45" s="4">
        <f t="shared" ref="O45:Y45" si="17">O15*O$6/(O$6+O$7)+O32*O$7/(O$6+O$7)</f>
        <v>49.78433763690424</v>
      </c>
      <c r="P45" s="4">
        <f t="shared" si="17"/>
        <v>48.459059831763447</v>
      </c>
      <c r="Q45" s="4">
        <f t="shared" si="17"/>
        <v>48.29317792758561</v>
      </c>
      <c r="R45" s="4">
        <f t="shared" si="17"/>
        <v>48.566067913326272</v>
      </c>
      <c r="S45" s="4">
        <f t="shared" si="17"/>
        <v>48.597290286127532</v>
      </c>
      <c r="T45" s="4">
        <f t="shared" si="17"/>
        <v>47.386815921681915</v>
      </c>
      <c r="U45" s="4">
        <f t="shared" si="17"/>
        <v>54.504280907622032</v>
      </c>
      <c r="V45" s="4">
        <f t="shared" si="17"/>
        <v>64.214061678146038</v>
      </c>
      <c r="W45" s="4">
        <f t="shared" si="17"/>
        <v>61.869420779495996</v>
      </c>
      <c r="X45" s="4">
        <f t="shared" si="17"/>
        <v>61.659963074839226</v>
      </c>
      <c r="Y45" s="4">
        <f t="shared" si="17"/>
        <v>61.120173484189216</v>
      </c>
      <c r="Z45" s="89"/>
      <c r="AA45" s="4">
        <f t="shared" ref="AA45:AA53" si="18">AA15*AA$6/(AA$6+AA$7)+AA32*AA$7/(AA$6+AA$7)</f>
        <v>63.220735611997668</v>
      </c>
      <c r="AB45" s="4">
        <f t="shared" ref="AB45:AL45" si="19">AB15*AB$6/(AB$6+AB$7)+AB32*AB$7/(AB$6+AB$7)</f>
        <v>65.126069509677393</v>
      </c>
      <c r="AC45" s="4">
        <f t="shared" si="19"/>
        <v>62.962419884276052</v>
      </c>
      <c r="AD45" s="4">
        <f t="shared" si="19"/>
        <v>62.435527214246825</v>
      </c>
      <c r="AE45" s="4">
        <f t="shared" si="19"/>
        <v>63.052519784069041</v>
      </c>
      <c r="AF45" s="4">
        <f t="shared" si="19"/>
        <v>63.116895299204494</v>
      </c>
      <c r="AG45" s="4">
        <f t="shared" si="19"/>
        <v>61.092316012333349</v>
      </c>
      <c r="AH45" s="4">
        <f t="shared" si="19"/>
        <v>64.225655299563684</v>
      </c>
      <c r="AI45" s="4">
        <f t="shared" si="19"/>
        <v>64.233345071487264</v>
      </c>
      <c r="AJ45" s="4">
        <f t="shared" si="19"/>
        <v>61.887303814199804</v>
      </c>
      <c r="AK45" s="4">
        <f t="shared" si="19"/>
        <v>61.691609278384902</v>
      </c>
      <c r="AL45" s="4">
        <f t="shared" si="19"/>
        <v>61.142195551408477</v>
      </c>
      <c r="AM45" s="89"/>
      <c r="AN45" s="4">
        <f t="shared" ref="AN45:AX45" si="20">AN15*AN$6/(AN$6+AN$7)+AN32*AN$7/(AN$6+AN$7)</f>
        <v>62.859137629709181</v>
      </c>
      <c r="AO45" s="4">
        <f t="shared" si="20"/>
        <v>62.876365601266471</v>
      </c>
      <c r="AP45" s="4">
        <f t="shared" si="20"/>
        <v>62.899763635637321</v>
      </c>
      <c r="AQ45" s="4">
        <f t="shared" si="20"/>
        <v>62.916073873070907</v>
      </c>
      <c r="AR45" s="4">
        <f t="shared" si="20"/>
        <v>62.932176199464053</v>
      </c>
      <c r="AS45" s="4">
        <f t="shared" si="20"/>
        <v>62.945872544263828</v>
      </c>
      <c r="AT45" s="4">
        <f t="shared" si="20"/>
        <v>62.966980042308684</v>
      </c>
      <c r="AU45" s="4">
        <f t="shared" si="20"/>
        <v>62.984567651738807</v>
      </c>
      <c r="AV45" s="4">
        <f t="shared" si="20"/>
        <v>63.002126593511996</v>
      </c>
      <c r="AW45" s="4">
        <f t="shared" si="20"/>
        <v>63.016126251435885</v>
      </c>
      <c r="AX45" s="4">
        <f t="shared" si="20"/>
        <v>63.036728440565071</v>
      </c>
      <c r="AY45" s="837"/>
      <c r="AZ45" s="837"/>
    </row>
    <row r="46" spans="1:52">
      <c r="A46" s="3"/>
      <c r="B46" s="48" t="s">
        <v>143</v>
      </c>
      <c r="E46" s="4"/>
      <c r="F46" s="4"/>
      <c r="G46" s="4"/>
      <c r="H46" s="4"/>
      <c r="I46" s="4"/>
      <c r="J46" s="4"/>
      <c r="K46" s="4"/>
      <c r="L46" s="4"/>
      <c r="N46" s="4">
        <f t="shared" ref="N46:Y46" si="21">N16*N$6/(N$6+N$7)+N33*N$7/(N$6+N$7)</f>
        <v>0</v>
      </c>
      <c r="O46" s="4">
        <f t="shared" si="21"/>
        <v>0</v>
      </c>
      <c r="P46" s="4">
        <f t="shared" si="21"/>
        <v>0</v>
      </c>
      <c r="Q46" s="4">
        <f t="shared" si="21"/>
        <v>0</v>
      </c>
      <c r="R46" s="4">
        <f t="shared" si="21"/>
        <v>0</v>
      </c>
      <c r="S46" s="4">
        <f t="shared" si="21"/>
        <v>0</v>
      </c>
      <c r="T46" s="4">
        <f t="shared" si="21"/>
        <v>0</v>
      </c>
      <c r="U46" s="4">
        <f t="shared" si="21"/>
        <v>0</v>
      </c>
      <c r="V46" s="4">
        <f t="shared" si="21"/>
        <v>0</v>
      </c>
      <c r="W46" s="4">
        <f t="shared" si="21"/>
        <v>0</v>
      </c>
      <c r="X46" s="4">
        <f t="shared" si="21"/>
        <v>0</v>
      </c>
      <c r="Y46" s="4">
        <f t="shared" si="21"/>
        <v>0</v>
      </c>
      <c r="Z46" s="89"/>
      <c r="AA46" s="4">
        <f t="shared" si="18"/>
        <v>0</v>
      </c>
      <c r="AB46" s="4">
        <f t="shared" ref="AB46:AL46" si="22">AB16*AB$6/(AB$6+AB$7)+AB33*AB$7/(AB$6+AB$7)</f>
        <v>0</v>
      </c>
      <c r="AC46" s="4">
        <f t="shared" si="22"/>
        <v>0</v>
      </c>
      <c r="AD46" s="4">
        <f t="shared" si="22"/>
        <v>0</v>
      </c>
      <c r="AE46" s="4">
        <f t="shared" si="22"/>
        <v>0</v>
      </c>
      <c r="AF46" s="4">
        <f t="shared" si="22"/>
        <v>0</v>
      </c>
      <c r="AG46" s="4">
        <f t="shared" si="22"/>
        <v>0</v>
      </c>
      <c r="AH46" s="4">
        <f t="shared" si="22"/>
        <v>0</v>
      </c>
      <c r="AI46" s="4">
        <f t="shared" si="22"/>
        <v>0</v>
      </c>
      <c r="AJ46" s="4">
        <f t="shared" si="22"/>
        <v>0</v>
      </c>
      <c r="AK46" s="4">
        <f t="shared" si="22"/>
        <v>0</v>
      </c>
      <c r="AL46" s="4">
        <f t="shared" si="22"/>
        <v>0</v>
      </c>
      <c r="AM46" s="89"/>
      <c r="AN46" s="4">
        <f t="shared" ref="AN46:AX46" si="23">AN16*AN$6/(AN$6+AN$7)+AN33*AN$7/(AN$6+AN$7)</f>
        <v>0</v>
      </c>
      <c r="AO46" s="4">
        <f t="shared" si="23"/>
        <v>0</v>
      </c>
      <c r="AP46" s="4">
        <f t="shared" si="23"/>
        <v>0</v>
      </c>
      <c r="AQ46" s="4">
        <f t="shared" si="23"/>
        <v>0</v>
      </c>
      <c r="AR46" s="4">
        <f t="shared" si="23"/>
        <v>0</v>
      </c>
      <c r="AS46" s="4">
        <f t="shared" si="23"/>
        <v>0</v>
      </c>
      <c r="AT46" s="4">
        <f t="shared" si="23"/>
        <v>0</v>
      </c>
      <c r="AU46" s="4">
        <f t="shared" si="23"/>
        <v>0</v>
      </c>
      <c r="AV46" s="4">
        <f t="shared" si="23"/>
        <v>0</v>
      </c>
      <c r="AW46" s="4">
        <f t="shared" si="23"/>
        <v>0</v>
      </c>
      <c r="AX46" s="4">
        <f t="shared" si="23"/>
        <v>0</v>
      </c>
      <c r="AY46" s="837"/>
      <c r="AZ46" s="837"/>
    </row>
    <row r="47" spans="1:52">
      <c r="A47" s="3"/>
      <c r="B47" s="48" t="s">
        <v>411</v>
      </c>
      <c r="E47" s="4"/>
      <c r="F47" s="4"/>
      <c r="G47" s="4"/>
      <c r="H47" s="4"/>
      <c r="I47" s="4"/>
      <c r="J47" s="4"/>
      <c r="K47" s="4"/>
      <c r="L47" s="4"/>
      <c r="N47" s="4">
        <f t="shared" ref="N47:N53" si="24">N17*N$6/(N$6+N$7)+N34*N$7/(N$6+N$7)</f>
        <v>-1.357</v>
      </c>
      <c r="O47" s="4">
        <f t="shared" ref="O47:Y47" si="25">O17*O$6/(O$6+O$7)+O34*O$7/(O$6+O$7)</f>
        <v>-1.3569999999999998</v>
      </c>
      <c r="P47" s="4">
        <f t="shared" si="25"/>
        <v>-1.357</v>
      </c>
      <c r="Q47" s="4">
        <f t="shared" si="25"/>
        <v>-1.357</v>
      </c>
      <c r="R47" s="4">
        <f t="shared" si="25"/>
        <v>-1.3569999999999998</v>
      </c>
      <c r="S47" s="4">
        <f t="shared" si="25"/>
        <v>-1.357</v>
      </c>
      <c r="T47" s="4">
        <f t="shared" si="25"/>
        <v>-1.357</v>
      </c>
      <c r="U47" s="4">
        <f t="shared" si="25"/>
        <v>-1.357</v>
      </c>
      <c r="V47" s="4">
        <f t="shared" si="25"/>
        <v>-0.68508313310372937</v>
      </c>
      <c r="W47" s="4">
        <f t="shared" si="25"/>
        <v>-0.68508313310372959</v>
      </c>
      <c r="X47" s="4">
        <f t="shared" si="25"/>
        <v>-0.68508313310372948</v>
      </c>
      <c r="Y47" s="4">
        <f t="shared" si="25"/>
        <v>-0.68508313310372948</v>
      </c>
      <c r="Z47" s="89"/>
      <c r="AA47" s="4">
        <f t="shared" si="18"/>
        <v>-0.68508313310372948</v>
      </c>
      <c r="AB47" s="4">
        <f t="shared" ref="AB47:AL47" si="26">AB17*AB$6/(AB$6+AB$7)+AB34*AB$7/(AB$6+AB$7)</f>
        <v>-0.68508313310372948</v>
      </c>
      <c r="AC47" s="4">
        <f t="shared" si="26"/>
        <v>-0.68508313310372948</v>
      </c>
      <c r="AD47" s="4">
        <f t="shared" si="26"/>
        <v>-0.68508313310372948</v>
      </c>
      <c r="AE47" s="4">
        <f t="shared" si="26"/>
        <v>-0.68508313310372948</v>
      </c>
      <c r="AF47" s="4">
        <f t="shared" si="26"/>
        <v>-0.68508313310372959</v>
      </c>
      <c r="AG47" s="4">
        <f t="shared" si="26"/>
        <v>-0.68508313310372959</v>
      </c>
      <c r="AH47" s="4">
        <f t="shared" si="26"/>
        <v>-0.68508313310372937</v>
      </c>
      <c r="AI47" s="4">
        <f t="shared" si="26"/>
        <v>-0.3199518966283213</v>
      </c>
      <c r="AJ47" s="4">
        <f t="shared" si="26"/>
        <v>-0.31995189662832124</v>
      </c>
      <c r="AK47" s="4">
        <f t="shared" si="26"/>
        <v>-0.31995189662832124</v>
      </c>
      <c r="AL47" s="4">
        <f t="shared" si="26"/>
        <v>-0.31995189662832124</v>
      </c>
      <c r="AM47" s="89"/>
      <c r="AN47" s="4">
        <f t="shared" ref="AN47:AX47" si="27">AN17*AN$6/(AN$6+AN$7)+AN34*AN$7/(AN$6+AN$7)</f>
        <v>-0.31995189662832124</v>
      </c>
      <c r="AO47" s="4">
        <f t="shared" si="27"/>
        <v>1.0340520374622204</v>
      </c>
      <c r="AP47" s="4">
        <f t="shared" si="27"/>
        <v>0.98724368665736018</v>
      </c>
      <c r="AQ47" s="4">
        <f t="shared" si="27"/>
        <v>0.98100747577917535</v>
      </c>
      <c r="AR47" s="4">
        <f t="shared" si="27"/>
        <v>1.0689326218597828</v>
      </c>
      <c r="AS47" s="4">
        <f t="shared" si="27"/>
        <v>1.0603839309684941</v>
      </c>
      <c r="AT47" s="4">
        <f t="shared" si="27"/>
        <v>1.0459570615534537</v>
      </c>
      <c r="AU47" s="4">
        <f t="shared" si="27"/>
        <v>1.1348643260993998</v>
      </c>
      <c r="AV47" s="4">
        <f t="shared" si="27"/>
        <v>1.1228930852424654</v>
      </c>
      <c r="AW47" s="4">
        <f t="shared" si="27"/>
        <v>1.112034742502348</v>
      </c>
      <c r="AX47" s="4">
        <f t="shared" si="27"/>
        <v>1.1974052163063931</v>
      </c>
      <c r="AY47" s="837"/>
      <c r="AZ47" s="837"/>
    </row>
    <row r="48" spans="1:52">
      <c r="A48" s="3"/>
      <c r="B48" s="48" t="s">
        <v>412</v>
      </c>
      <c r="E48" s="4"/>
      <c r="F48" s="4"/>
      <c r="G48" s="4"/>
      <c r="H48" s="4"/>
      <c r="I48" s="4"/>
      <c r="J48" s="4"/>
      <c r="K48" s="4"/>
      <c r="L48" s="4"/>
      <c r="N48" s="4">
        <f t="shared" si="24"/>
        <v>0</v>
      </c>
      <c r="O48" s="4">
        <f t="shared" ref="O48:Y48" si="28">O18*O$6/(O$6+O$7)+O35*O$7/(O$6+O$7)</f>
        <v>0</v>
      </c>
      <c r="P48" s="4">
        <f t="shared" si="28"/>
        <v>0</v>
      </c>
      <c r="Q48" s="4">
        <f t="shared" si="28"/>
        <v>0</v>
      </c>
      <c r="R48" s="4">
        <f t="shared" si="28"/>
        <v>0</v>
      </c>
      <c r="S48" s="4">
        <f t="shared" si="28"/>
        <v>0</v>
      </c>
      <c r="T48" s="4">
        <f t="shared" si="28"/>
        <v>0</v>
      </c>
      <c r="U48" s="4">
        <f t="shared" si="28"/>
        <v>0</v>
      </c>
      <c r="V48" s="4">
        <f t="shared" si="28"/>
        <v>0</v>
      </c>
      <c r="W48" s="4">
        <f t="shared" si="28"/>
        <v>0</v>
      </c>
      <c r="X48" s="4">
        <f t="shared" si="28"/>
        <v>0</v>
      </c>
      <c r="Y48" s="4">
        <f t="shared" si="28"/>
        <v>0</v>
      </c>
      <c r="Z48" s="89"/>
      <c r="AA48" s="4">
        <f t="shared" si="18"/>
        <v>0</v>
      </c>
      <c r="AB48" s="4">
        <f t="shared" ref="AB48:AL48" si="29">AB18*AB$6/(AB$6+AB$7)+AB35*AB$7/(AB$6+AB$7)</f>
        <v>0</v>
      </c>
      <c r="AC48" s="4">
        <f t="shared" si="29"/>
        <v>0</v>
      </c>
      <c r="AD48" s="4">
        <f t="shared" si="29"/>
        <v>0</v>
      </c>
      <c r="AE48" s="4">
        <f t="shared" si="29"/>
        <v>0</v>
      </c>
      <c r="AF48" s="4">
        <f t="shared" si="29"/>
        <v>0</v>
      </c>
      <c r="AG48" s="4">
        <f t="shared" si="29"/>
        <v>0</v>
      </c>
      <c r="AH48" s="4">
        <f t="shared" si="29"/>
        <v>0</v>
      </c>
      <c r="AI48" s="4">
        <f t="shared" si="29"/>
        <v>0</v>
      </c>
      <c r="AJ48" s="4">
        <f t="shared" si="29"/>
        <v>0</v>
      </c>
      <c r="AK48" s="4">
        <f t="shared" si="29"/>
        <v>0</v>
      </c>
      <c r="AL48" s="4">
        <f t="shared" si="29"/>
        <v>0</v>
      </c>
      <c r="AM48" s="89"/>
      <c r="AN48" s="4">
        <f t="shared" ref="AN48:AX48" si="30">AN18*AN$6/(AN$6+AN$7)+AN35*AN$7/(AN$6+AN$7)</f>
        <v>0</v>
      </c>
      <c r="AO48" s="4">
        <f t="shared" si="30"/>
        <v>0</v>
      </c>
      <c r="AP48" s="4">
        <f t="shared" si="30"/>
        <v>0</v>
      </c>
      <c r="AQ48" s="4">
        <f t="shared" si="30"/>
        <v>0</v>
      </c>
      <c r="AR48" s="4">
        <f t="shared" si="30"/>
        <v>0</v>
      </c>
      <c r="AS48" s="4">
        <f t="shared" si="30"/>
        <v>0</v>
      </c>
      <c r="AT48" s="4">
        <f t="shared" si="30"/>
        <v>0</v>
      </c>
      <c r="AU48" s="4">
        <f t="shared" si="30"/>
        <v>0</v>
      </c>
      <c r="AV48" s="4">
        <f t="shared" si="30"/>
        <v>0</v>
      </c>
      <c r="AW48" s="4">
        <f t="shared" si="30"/>
        <v>0</v>
      </c>
      <c r="AX48" s="4">
        <f t="shared" si="30"/>
        <v>0</v>
      </c>
      <c r="AY48" s="837"/>
      <c r="AZ48" s="837"/>
    </row>
    <row r="49" spans="1:52">
      <c r="A49" s="3"/>
      <c r="B49" s="48" t="s">
        <v>413</v>
      </c>
      <c r="E49" s="4"/>
      <c r="F49" s="4"/>
      <c r="G49" s="4"/>
      <c r="H49" s="4"/>
      <c r="I49" s="4"/>
      <c r="J49" s="4"/>
      <c r="K49" s="4"/>
      <c r="L49" s="4"/>
      <c r="N49" s="4">
        <f t="shared" si="24"/>
        <v>3.7963383636932448</v>
      </c>
      <c r="O49" s="4">
        <f t="shared" ref="O49:Y49" si="31">O19*O$6/(O$6+O$7)+O36*O$7/(O$6+O$7)</f>
        <v>3.9251281468845747</v>
      </c>
      <c r="P49" s="4">
        <f t="shared" si="31"/>
        <v>3.9177526208667715</v>
      </c>
      <c r="Q49" s="4">
        <f t="shared" si="31"/>
        <v>3.9583829858781563</v>
      </c>
      <c r="R49" s="4">
        <f t="shared" si="31"/>
        <v>3.9650535434312602</v>
      </c>
      <c r="S49" s="4">
        <f t="shared" si="31"/>
        <v>4.1057147400882172</v>
      </c>
      <c r="T49" s="4">
        <f t="shared" si="31"/>
        <v>4.6280961821621247</v>
      </c>
      <c r="U49" s="4">
        <f t="shared" si="31"/>
        <v>4.2085144107267354</v>
      </c>
      <c r="V49" s="4">
        <f t="shared" si="31"/>
        <v>4.6894785183502243</v>
      </c>
      <c r="W49" s="4">
        <f t="shared" si="31"/>
        <v>4.4699835305300013</v>
      </c>
      <c r="X49" s="4">
        <f t="shared" si="31"/>
        <v>4.5930663428745611</v>
      </c>
      <c r="Y49" s="4">
        <f t="shared" si="31"/>
        <v>4.6583515678101328</v>
      </c>
      <c r="Z49" s="89"/>
      <c r="AA49" s="4">
        <f t="shared" si="18"/>
        <v>4.8866856798061171</v>
      </c>
      <c r="AB49" s="4">
        <f t="shared" ref="AB49:AL49" si="32">AB19*AB$6/(AB$6+AB$7)+AB36*AB$7/(AB$6+AB$7)</f>
        <v>5.0551684882073182</v>
      </c>
      <c r="AC49" s="4">
        <f t="shared" si="32"/>
        <v>5.2005594622076536</v>
      </c>
      <c r="AD49" s="4">
        <f t="shared" si="32"/>
        <v>5.3225046534309719</v>
      </c>
      <c r="AE49" s="4">
        <f t="shared" si="32"/>
        <v>5.4315731102566787</v>
      </c>
      <c r="AF49" s="4">
        <f t="shared" si="32"/>
        <v>5.6299815605481953</v>
      </c>
      <c r="AG49" s="4">
        <f t="shared" si="32"/>
        <v>5.6517894361783796</v>
      </c>
      <c r="AH49" s="4">
        <f t="shared" si="32"/>
        <v>5.6903441555913821</v>
      </c>
      <c r="AI49" s="4">
        <f t="shared" si="32"/>
        <v>5.7617463416336498</v>
      </c>
      <c r="AJ49" s="4">
        <f t="shared" si="32"/>
        <v>5.3798392292094768</v>
      </c>
      <c r="AK49" s="4">
        <f t="shared" si="32"/>
        <v>5.424671823074668</v>
      </c>
      <c r="AL49" s="4">
        <f t="shared" si="32"/>
        <v>5.4400767169142883</v>
      </c>
      <c r="AM49" s="89"/>
      <c r="AN49" s="4">
        <f t="shared" ref="AN49:AX49" si="33">AN19*AN$6/(AN$6+AN$7)+AN36*AN$7/(AN$6+AN$7)</f>
        <v>6.4429337942454907</v>
      </c>
      <c r="AO49" s="4">
        <f t="shared" si="33"/>
        <v>6.9344556727440256</v>
      </c>
      <c r="AP49" s="4">
        <f t="shared" si="33"/>
        <v>8.1711410789152517</v>
      </c>
      <c r="AQ49" s="4">
        <f t="shared" si="33"/>
        <v>9.089843981659989</v>
      </c>
      <c r="AR49" s="4">
        <f t="shared" si="33"/>
        <v>9.6600154495524251</v>
      </c>
      <c r="AS49" s="4">
        <f t="shared" si="33"/>
        <v>11.262019941767477</v>
      </c>
      <c r="AT49" s="4">
        <f t="shared" si="33"/>
        <v>12.718998434024593</v>
      </c>
      <c r="AU49" s="4">
        <f t="shared" si="33"/>
        <v>13.973213946999406</v>
      </c>
      <c r="AV49" s="4">
        <f t="shared" si="33"/>
        <v>15.594056537842711</v>
      </c>
      <c r="AW49" s="4">
        <f t="shared" si="33"/>
        <v>16.312925925514492</v>
      </c>
      <c r="AX49" s="4">
        <f t="shared" si="33"/>
        <v>19.349098915653869</v>
      </c>
      <c r="AY49" s="837"/>
      <c r="AZ49" s="837"/>
    </row>
    <row r="50" spans="1:52">
      <c r="A50" s="3"/>
      <c r="B50" s="48" t="s">
        <v>414</v>
      </c>
      <c r="E50" s="4"/>
      <c r="F50" s="4"/>
      <c r="G50" s="4"/>
      <c r="H50" s="4"/>
      <c r="I50" s="4"/>
      <c r="J50" s="4"/>
      <c r="K50" s="4"/>
      <c r="L50" s="4"/>
      <c r="N50" s="4">
        <f t="shared" si="24"/>
        <v>3.0705589060072067</v>
      </c>
      <c r="O50" s="4">
        <f t="shared" ref="O50:Y50" si="34">O20*O$6/(O$6+O$7)+O37*O$7/(O$6+O$7)</f>
        <v>3.1366795795984768</v>
      </c>
      <c r="P50" s="4">
        <f t="shared" si="34"/>
        <v>3.1382692250155229</v>
      </c>
      <c r="Q50" s="4">
        <f t="shared" si="34"/>
        <v>2.9251283885173418</v>
      </c>
      <c r="R50" s="4">
        <f t="shared" si="34"/>
        <v>3.0538486905167801</v>
      </c>
      <c r="S50" s="4">
        <f t="shared" si="34"/>
        <v>3.0831675838563455</v>
      </c>
      <c r="T50" s="4">
        <f t="shared" si="34"/>
        <v>2.9406729023348666</v>
      </c>
      <c r="U50" s="4">
        <f t="shared" si="34"/>
        <v>3.4956224406319252</v>
      </c>
      <c r="V50" s="4">
        <f t="shared" si="34"/>
        <v>4.0428162648288675</v>
      </c>
      <c r="W50" s="4">
        <f t="shared" si="34"/>
        <v>3.831012940499738</v>
      </c>
      <c r="X50" s="4">
        <f t="shared" si="34"/>
        <v>3.5052284822739419</v>
      </c>
      <c r="Y50" s="4">
        <f t="shared" si="34"/>
        <v>3.2683010300492943</v>
      </c>
      <c r="Z50" s="89"/>
      <c r="AA50" s="4">
        <f t="shared" si="18"/>
        <v>3.5444426040520312</v>
      </c>
      <c r="AB50" s="4">
        <f t="shared" ref="AB50:AL50" si="35">AB20*AB$6/(AB$6+AB$7)+AB37*AB$7/(AB$6+AB$7)</f>
        <v>3.6629358180951908</v>
      </c>
      <c r="AC50" s="4">
        <f t="shared" si="35"/>
        <v>3.428119963527779</v>
      </c>
      <c r="AD50" s="4">
        <f t="shared" si="35"/>
        <v>3.7056289086937229</v>
      </c>
      <c r="AE50" s="4">
        <f t="shared" si="35"/>
        <v>3.659638484942318</v>
      </c>
      <c r="AF50" s="4">
        <f t="shared" si="35"/>
        <v>3.673177772427171</v>
      </c>
      <c r="AG50" s="4">
        <f t="shared" si="35"/>
        <v>3.5288904312946272</v>
      </c>
      <c r="AH50" s="4">
        <f t="shared" si="35"/>
        <v>4.2879043557418628</v>
      </c>
      <c r="AI50" s="4">
        <f t="shared" si="35"/>
        <v>4.9858748238132309</v>
      </c>
      <c r="AJ50" s="4">
        <f t="shared" si="35"/>
        <v>4.7414099635304918</v>
      </c>
      <c r="AK50" s="4">
        <f t="shared" si="35"/>
        <v>4.3883163500473099</v>
      </c>
      <c r="AL50" s="4">
        <f t="shared" si="35"/>
        <v>4.0383535964766519</v>
      </c>
      <c r="AM50" s="89"/>
      <c r="AN50" s="4">
        <f t="shared" ref="AN50:AX50" si="36">AN20*AN$6/(AN$6+AN$7)+AN37*AN$7/(AN$6+AN$7)</f>
        <v>4.9075887354609513</v>
      </c>
      <c r="AO50" s="4">
        <f t="shared" si="36"/>
        <v>5.1911328499566567</v>
      </c>
      <c r="AP50" s="4">
        <f t="shared" si="36"/>
        <v>5.274452177696916</v>
      </c>
      <c r="AQ50" s="4">
        <f t="shared" si="36"/>
        <v>5.3447300474495458</v>
      </c>
      <c r="AR50" s="4">
        <f t="shared" si="36"/>
        <v>5.4117956783830561</v>
      </c>
      <c r="AS50" s="4">
        <f t="shared" si="36"/>
        <v>5.1633352438678726</v>
      </c>
      <c r="AT50" s="4">
        <f t="shared" si="36"/>
        <v>4.9667201838802102</v>
      </c>
      <c r="AU50" s="4">
        <f t="shared" si="36"/>
        <v>5.0992627990908099</v>
      </c>
      <c r="AV50" s="4">
        <f t="shared" si="36"/>
        <v>5.2652197893339148</v>
      </c>
      <c r="AW50" s="4">
        <f t="shared" si="36"/>
        <v>5.3369250903621817</v>
      </c>
      <c r="AX50" s="4">
        <f t="shared" si="36"/>
        <v>5.4934264182554156</v>
      </c>
      <c r="AY50" s="837"/>
      <c r="AZ50" s="837"/>
    </row>
    <row r="51" spans="1:52">
      <c r="A51" s="3"/>
      <c r="B51" s="48" t="s">
        <v>415</v>
      </c>
      <c r="E51" s="4"/>
      <c r="F51" s="4"/>
      <c r="G51" s="4"/>
      <c r="H51" s="4"/>
      <c r="I51" s="4"/>
      <c r="J51" s="4"/>
      <c r="K51" s="4"/>
      <c r="L51" s="4"/>
      <c r="N51" s="4">
        <f t="shared" si="24"/>
        <v>-3.5419987678431255</v>
      </c>
      <c r="O51" s="4">
        <f t="shared" ref="O51:Y51" si="37">O21*O$6/(O$6+O$7)+O38*O$7/(O$6+O$7)</f>
        <v>-3.8534978053181028</v>
      </c>
      <c r="P51" s="4">
        <f t="shared" si="37"/>
        <v>-4.3303966389368096</v>
      </c>
      <c r="Q51" s="4">
        <f t="shared" si="37"/>
        <v>-5.048932403708319</v>
      </c>
      <c r="R51" s="4">
        <f t="shared" si="37"/>
        <v>-4.7533128779436753</v>
      </c>
      <c r="S51" s="4">
        <f t="shared" si="37"/>
        <v>-3.8706361659587829</v>
      </c>
      <c r="T51" s="4">
        <f t="shared" si="37"/>
        <v>-3.531580707502691</v>
      </c>
      <c r="U51" s="4">
        <f t="shared" si="37"/>
        <v>-2.8660062033734497</v>
      </c>
      <c r="V51" s="4">
        <f t="shared" si="37"/>
        <v>-1.9099490423013317</v>
      </c>
      <c r="W51" s="4">
        <f t="shared" si="37"/>
        <v>-2.1420632362953818</v>
      </c>
      <c r="X51" s="4">
        <f t="shared" si="37"/>
        <v>-1.9063198549526459</v>
      </c>
      <c r="Y51" s="4">
        <f t="shared" si="37"/>
        <v>-1.5368370338124206</v>
      </c>
      <c r="Z51" s="89"/>
      <c r="AA51" s="4">
        <f t="shared" si="18"/>
        <v>-1.5004831843630528</v>
      </c>
      <c r="AB51" s="4">
        <f t="shared" ref="AB51:AL51" si="38">AB21*AB$6/(AB$6+AB$7)+AB38*AB$7/(AB$6+AB$7)</f>
        <v>-1.6368182323109093</v>
      </c>
      <c r="AC51" s="4">
        <f t="shared" si="38"/>
        <v>-1.8398813480720406</v>
      </c>
      <c r="AD51" s="4">
        <f t="shared" si="38"/>
        <v>-2.1467870053988767</v>
      </c>
      <c r="AE51" s="4">
        <f t="shared" si="38"/>
        <v>-2.0202342508791742</v>
      </c>
      <c r="AF51" s="4">
        <f t="shared" si="38"/>
        <v>-1.6435781306420623</v>
      </c>
      <c r="AG51" s="4">
        <f t="shared" si="38"/>
        <v>-1.5106951013206491</v>
      </c>
      <c r="AH51" s="4">
        <f t="shared" si="38"/>
        <v>-1.5579589524549675</v>
      </c>
      <c r="AI51" s="4">
        <f t="shared" si="38"/>
        <v>-1.8885160009979582</v>
      </c>
      <c r="AJ51" s="4">
        <f t="shared" si="38"/>
        <v>-2.1193805839546793</v>
      </c>
      <c r="AK51" s="4">
        <f t="shared" si="38"/>
        <v>-1.8850186614847981</v>
      </c>
      <c r="AL51" s="4">
        <f t="shared" si="38"/>
        <v>-1.5183662190185225</v>
      </c>
      <c r="AM51" s="89"/>
      <c r="AN51" s="4">
        <f t="shared" ref="AN51:AX51" si="39">AN21*AN$6/(AN$6+AN$7)+AN38*AN$7/(AN$6+AN$7)</f>
        <v>-1.7270976087488248</v>
      </c>
      <c r="AO51" s="4">
        <f t="shared" si="39"/>
        <v>-1.7100561832913619</v>
      </c>
      <c r="AP51" s="4">
        <f t="shared" si="39"/>
        <v>-2.194161608862812</v>
      </c>
      <c r="AQ51" s="4">
        <f t="shared" si="39"/>
        <v>-2.3243394891963254</v>
      </c>
      <c r="AR51" s="4">
        <f t="shared" si="39"/>
        <v>-2.3064338386218677</v>
      </c>
      <c r="AS51" s="4">
        <f t="shared" si="39"/>
        <v>-2.2870896642681657</v>
      </c>
      <c r="AT51" s="4">
        <f t="shared" si="39"/>
        <v>-2.2622949474014744</v>
      </c>
      <c r="AU51" s="4">
        <f t="shared" si="39"/>
        <v>-2.2398610526860865</v>
      </c>
      <c r="AV51" s="4">
        <f t="shared" si="39"/>
        <v>-2.2174078410732232</v>
      </c>
      <c r="AW51" s="4">
        <f t="shared" si="39"/>
        <v>-2.197370348866766</v>
      </c>
      <c r="AX51" s="4">
        <f t="shared" si="39"/>
        <v>-2.172887928901718</v>
      </c>
      <c r="AY51" s="837"/>
      <c r="AZ51" s="837"/>
    </row>
    <row r="52" spans="1:52">
      <c r="A52" s="3"/>
      <c r="B52" s="48" t="s">
        <v>160</v>
      </c>
      <c r="E52" s="4"/>
      <c r="F52" s="4"/>
      <c r="G52" s="4"/>
      <c r="H52" s="4"/>
      <c r="I52" s="4"/>
      <c r="J52" s="4"/>
      <c r="K52" s="4"/>
      <c r="L52" s="4"/>
      <c r="N52" s="4">
        <f t="shared" si="24"/>
        <v>0</v>
      </c>
      <c r="O52" s="4">
        <f t="shared" ref="O52:Y52" si="40">O22*O$6/(O$6+O$7)+O39*O$7/(O$6+O$7)</f>
        <v>0</v>
      </c>
      <c r="P52" s="4">
        <f t="shared" si="40"/>
        <v>0</v>
      </c>
      <c r="Q52" s="4">
        <f t="shared" si="40"/>
        <v>0</v>
      </c>
      <c r="R52" s="4">
        <f t="shared" si="40"/>
        <v>0</v>
      </c>
      <c r="S52" s="4">
        <f t="shared" si="40"/>
        <v>0</v>
      </c>
      <c r="T52" s="4">
        <f t="shared" si="40"/>
        <v>0</v>
      </c>
      <c r="U52" s="4">
        <f t="shared" si="40"/>
        <v>0</v>
      </c>
      <c r="V52" s="4">
        <f t="shared" si="40"/>
        <v>0</v>
      </c>
      <c r="W52" s="4">
        <f t="shared" si="40"/>
        <v>0</v>
      </c>
      <c r="X52" s="4">
        <f t="shared" si="40"/>
        <v>0</v>
      </c>
      <c r="Y52" s="4">
        <f t="shared" si="40"/>
        <v>0</v>
      </c>
      <c r="Z52" s="89"/>
      <c r="AA52" s="4">
        <f t="shared" si="18"/>
        <v>0</v>
      </c>
      <c r="AB52" s="4">
        <f t="shared" ref="AB52:AL52" si="41">AB22*AB$6/(AB$6+AB$7)+AB39*AB$7/(AB$6+AB$7)</f>
        <v>0</v>
      </c>
      <c r="AC52" s="4">
        <f t="shared" si="41"/>
        <v>0</v>
      </c>
      <c r="AD52" s="4">
        <f t="shared" si="41"/>
        <v>0</v>
      </c>
      <c r="AE52" s="4">
        <f t="shared" si="41"/>
        <v>0</v>
      </c>
      <c r="AF52" s="4">
        <f t="shared" si="41"/>
        <v>0</v>
      </c>
      <c r="AG52" s="4">
        <f t="shared" si="41"/>
        <v>0</v>
      </c>
      <c r="AH52" s="4">
        <f t="shared" si="41"/>
        <v>0</v>
      </c>
      <c r="AI52" s="4">
        <f t="shared" si="41"/>
        <v>0</v>
      </c>
      <c r="AJ52" s="4">
        <f t="shared" si="41"/>
        <v>0</v>
      </c>
      <c r="AK52" s="4">
        <f t="shared" si="41"/>
        <v>0</v>
      </c>
      <c r="AL52" s="4">
        <f t="shared" si="41"/>
        <v>0</v>
      </c>
      <c r="AM52" s="89"/>
      <c r="AN52" s="4">
        <f t="shared" ref="AN52:AX52" si="42">AN22*AN$6/(AN$6+AN$7)+AN39*AN$7/(AN$6+AN$7)</f>
        <v>0</v>
      </c>
      <c r="AO52" s="4">
        <f t="shared" si="42"/>
        <v>0</v>
      </c>
      <c r="AP52" s="4">
        <f t="shared" si="42"/>
        <v>0</v>
      </c>
      <c r="AQ52" s="4">
        <f t="shared" si="42"/>
        <v>0</v>
      </c>
      <c r="AR52" s="4">
        <f t="shared" si="42"/>
        <v>0</v>
      </c>
      <c r="AS52" s="4">
        <f t="shared" si="42"/>
        <v>-0.31012421724556927</v>
      </c>
      <c r="AT52" s="4">
        <f t="shared" si="42"/>
        <v>-8.4511660003302413</v>
      </c>
      <c r="AU52" s="4">
        <f t="shared" si="42"/>
        <v>-12.1830076140585</v>
      </c>
      <c r="AV52" s="4">
        <f t="shared" si="42"/>
        <v>-12.666140470599549</v>
      </c>
      <c r="AW52" s="4">
        <f t="shared" si="42"/>
        <v>-9.6804182401873167</v>
      </c>
      <c r="AX52" s="4">
        <f t="shared" si="42"/>
        <v>-7.0633602782878526</v>
      </c>
      <c r="AY52" s="837"/>
      <c r="AZ52" s="837"/>
    </row>
    <row r="53" spans="1:52">
      <c r="A53" s="3"/>
      <c r="B53" s="48" t="s">
        <v>146</v>
      </c>
      <c r="E53" s="4"/>
      <c r="F53" s="4"/>
      <c r="G53" s="4"/>
      <c r="H53" s="4"/>
      <c r="I53" s="4"/>
      <c r="J53" s="4"/>
      <c r="K53" s="4"/>
      <c r="L53" s="4"/>
      <c r="N53" s="4">
        <f t="shared" si="24"/>
        <v>-7.5368985018573262</v>
      </c>
      <c r="O53" s="4">
        <f t="shared" ref="O53:Y53" si="43">O23*O$6/(O$6+O$7)+O40*O$7/(O$6+O$7)</f>
        <v>-7.4203099211649493</v>
      </c>
      <c r="P53" s="4">
        <f t="shared" si="43"/>
        <v>-6.9376252069454853</v>
      </c>
      <c r="Q53" s="4">
        <f t="shared" si="43"/>
        <v>-6.0465789706871789</v>
      </c>
      <c r="R53" s="4">
        <f t="shared" si="43"/>
        <v>-6.4775893560043656</v>
      </c>
      <c r="S53" s="4">
        <f t="shared" si="43"/>
        <v>-7.5302461579857809</v>
      </c>
      <c r="T53" s="4">
        <f t="shared" si="43"/>
        <v>-7.2491883769943</v>
      </c>
      <c r="U53" s="4">
        <f t="shared" si="43"/>
        <v>-8.0501306479852097</v>
      </c>
      <c r="V53" s="4">
        <f t="shared" si="43"/>
        <v>-10.034345740877757</v>
      </c>
      <c r="W53" s="4">
        <f t="shared" si="43"/>
        <v>-9.3709332347343572</v>
      </c>
      <c r="X53" s="4">
        <f t="shared" si="43"/>
        <v>-9.4039749701958542</v>
      </c>
      <c r="Y53" s="4">
        <f t="shared" si="43"/>
        <v>-9.6018155640470049</v>
      </c>
      <c r="Z53" s="89"/>
      <c r="AA53" s="4">
        <f t="shared" si="18"/>
        <v>-10.142645099495095</v>
      </c>
      <c r="AB53" s="4">
        <f t="shared" ref="AB53:AL53" si="44">AB23*AB$6/(AB$6+AB$7)+AB40*AB$7/(AB$6+AB$7)</f>
        <v>-10.293286073991601</v>
      </c>
      <c r="AC53" s="4">
        <f t="shared" si="44"/>
        <v>-10.000798077663392</v>
      </c>
      <c r="AD53" s="4">
        <f t="shared" si="44"/>
        <v>-10.093346556725816</v>
      </c>
      <c r="AE53" s="4">
        <f t="shared" si="44"/>
        <v>-10.282977344319821</v>
      </c>
      <c r="AF53" s="4">
        <f t="shared" si="44"/>
        <v>-10.871581202333303</v>
      </c>
      <c r="AG53" s="4">
        <f t="shared" si="44"/>
        <v>-8.8819847661523568</v>
      </c>
      <c r="AH53" s="4">
        <f t="shared" si="44"/>
        <v>-9.6322895588782771</v>
      </c>
      <c r="AI53" s="4">
        <f t="shared" si="44"/>
        <v>-10.071105164448923</v>
      </c>
      <c r="AJ53" s="4">
        <f t="shared" si="44"/>
        <v>-9.2138686087852903</v>
      </c>
      <c r="AK53" s="4">
        <f t="shared" si="44"/>
        <v>-9.1399695116371795</v>
      </c>
      <c r="AL53" s="4">
        <f t="shared" si="44"/>
        <v>-9.1720640943724163</v>
      </c>
      <c r="AM53" s="89"/>
      <c r="AN53" s="4">
        <f t="shared" ref="AN53:AX53" si="45">AN23*AN$6/(AN$6+AN$7)+AN40*AN$7/(AN$6+AN$7)</f>
        <v>-6.2570983071537745</v>
      </c>
      <c r="AO53" s="4">
        <f t="shared" si="45"/>
        <v>0</v>
      </c>
      <c r="AP53" s="4">
        <f t="shared" si="45"/>
        <v>0</v>
      </c>
      <c r="AQ53" s="4">
        <f t="shared" si="45"/>
        <v>0</v>
      </c>
      <c r="AR53" s="4">
        <f t="shared" si="45"/>
        <v>0</v>
      </c>
      <c r="AS53" s="4">
        <f t="shared" si="45"/>
        <v>0</v>
      </c>
      <c r="AT53" s="4">
        <f t="shared" si="45"/>
        <v>0</v>
      </c>
      <c r="AU53" s="4">
        <f t="shared" si="45"/>
        <v>0</v>
      </c>
      <c r="AV53" s="4">
        <f t="shared" si="45"/>
        <v>0</v>
      </c>
      <c r="AW53" s="4">
        <f t="shared" si="45"/>
        <v>0</v>
      </c>
      <c r="AX53" s="4">
        <f t="shared" si="45"/>
        <v>0</v>
      </c>
      <c r="AY53" s="837"/>
      <c r="AZ53" s="837"/>
    </row>
    <row r="54" spans="1:52">
      <c r="A54" s="3"/>
      <c r="B54" s="48" t="s">
        <v>283</v>
      </c>
      <c r="E54" s="4"/>
      <c r="F54" s="4"/>
      <c r="G54" s="4"/>
      <c r="H54" s="4"/>
      <c r="I54" s="4"/>
      <c r="J54" s="4"/>
      <c r="K54" s="4"/>
      <c r="L54" s="4"/>
      <c r="N54" s="4">
        <f>SUM(N49:N53)</f>
        <v>-4.2119999999999997</v>
      </c>
      <c r="O54" s="4">
        <f t="shared" ref="O54:Y54" si="46">SUM(O49:O53)</f>
        <v>-4.2120000000000006</v>
      </c>
      <c r="P54" s="4">
        <f t="shared" si="46"/>
        <v>-4.2120000000000006</v>
      </c>
      <c r="Q54" s="4">
        <f t="shared" si="46"/>
        <v>-4.2119999999999997</v>
      </c>
      <c r="R54" s="4">
        <f t="shared" si="46"/>
        <v>-4.2120000000000006</v>
      </c>
      <c r="S54" s="4">
        <f t="shared" si="46"/>
        <v>-4.2120000000000006</v>
      </c>
      <c r="T54" s="4">
        <f t="shared" si="46"/>
        <v>-3.2119999999999997</v>
      </c>
      <c r="U54" s="4">
        <f t="shared" si="46"/>
        <v>-3.2119999999999997</v>
      </c>
      <c r="V54" s="4">
        <f t="shared" si="46"/>
        <v>-3.2119999999999962</v>
      </c>
      <c r="W54" s="4">
        <f t="shared" si="46"/>
        <v>-3.2119999999999997</v>
      </c>
      <c r="X54" s="4">
        <f t="shared" si="46"/>
        <v>-3.2119999999999962</v>
      </c>
      <c r="Y54" s="4">
        <f t="shared" si="46"/>
        <v>-3.2119999999999989</v>
      </c>
      <c r="Z54" s="89"/>
      <c r="AA54" s="4">
        <f t="shared" ref="AA54:AX54" si="47">SUM(AA49:AA53)</f>
        <v>-3.2119999999999989</v>
      </c>
      <c r="AB54" s="4">
        <f t="shared" ref="AB54:AL54" si="48">SUM(AB49:AB53)</f>
        <v>-3.2120000000000006</v>
      </c>
      <c r="AC54" s="4">
        <f t="shared" si="48"/>
        <v>-3.2119999999999997</v>
      </c>
      <c r="AD54" s="4">
        <f t="shared" si="48"/>
        <v>-3.2119999999999989</v>
      </c>
      <c r="AE54" s="4">
        <f t="shared" si="48"/>
        <v>-3.211999999999998</v>
      </c>
      <c r="AF54" s="4">
        <f t="shared" si="48"/>
        <v>-3.2119999999999997</v>
      </c>
      <c r="AG54" s="4">
        <f t="shared" si="48"/>
        <v>-1.2119999999999989</v>
      </c>
      <c r="AH54" s="4">
        <f t="shared" si="48"/>
        <v>-1.2119999999999997</v>
      </c>
      <c r="AI54" s="4">
        <f t="shared" si="48"/>
        <v>-1.2120000000000015</v>
      </c>
      <c r="AJ54" s="4">
        <f t="shared" si="48"/>
        <v>-1.2120000000000015</v>
      </c>
      <c r="AK54" s="4">
        <f t="shared" si="48"/>
        <v>-1.2119999999999997</v>
      </c>
      <c r="AL54" s="4">
        <f t="shared" si="48"/>
        <v>-1.211999999999998</v>
      </c>
      <c r="AM54" s="89"/>
      <c r="AN54" s="4">
        <f t="shared" si="47"/>
        <v>3.3663266138038432</v>
      </c>
      <c r="AO54" s="4">
        <f t="shared" si="47"/>
        <v>10.415532339409319</v>
      </c>
      <c r="AP54" s="4">
        <f t="shared" si="47"/>
        <v>11.251431647749355</v>
      </c>
      <c r="AQ54" s="4">
        <f t="shared" si="47"/>
        <v>12.110234539913208</v>
      </c>
      <c r="AR54" s="4">
        <f t="shared" si="47"/>
        <v>12.765377289313614</v>
      </c>
      <c r="AS54" s="4">
        <f t="shared" si="47"/>
        <v>13.828141304121615</v>
      </c>
      <c r="AT54" s="4">
        <f t="shared" si="47"/>
        <v>6.9722576701730876</v>
      </c>
      <c r="AU54" s="4">
        <f t="shared" si="47"/>
        <v>4.6496080793456294</v>
      </c>
      <c r="AV54" s="4">
        <f t="shared" si="47"/>
        <v>5.9757280155038561</v>
      </c>
      <c r="AW54" s="4">
        <f t="shared" si="47"/>
        <v>9.7720624268225915</v>
      </c>
      <c r="AX54" s="4">
        <f t="shared" si="47"/>
        <v>15.606277126719714</v>
      </c>
      <c r="AY54" s="837"/>
      <c r="AZ54" s="837"/>
    </row>
    <row r="55" spans="1:52" ht="13.5" thickBot="1">
      <c r="A55" s="3"/>
      <c r="B55" s="48" t="s">
        <v>163</v>
      </c>
      <c r="E55" s="52"/>
      <c r="F55" s="52"/>
      <c r="G55" s="52"/>
      <c r="H55" s="52"/>
      <c r="I55" s="52"/>
      <c r="J55" s="52"/>
      <c r="K55" s="52"/>
      <c r="L55" s="52"/>
      <c r="N55" s="52">
        <f>SUM(N45:N48)+N54</f>
        <v>43.034981033797663</v>
      </c>
      <c r="O55" s="52">
        <f t="shared" ref="O55:Y55" si="49">SUM(O45:O48)+O54</f>
        <v>44.215337636904238</v>
      </c>
      <c r="P55" s="52">
        <f t="shared" si="49"/>
        <v>42.890059831763445</v>
      </c>
      <c r="Q55" s="52">
        <f t="shared" si="49"/>
        <v>42.724177927585615</v>
      </c>
      <c r="R55" s="52">
        <f t="shared" si="49"/>
        <v>42.997067913326269</v>
      </c>
      <c r="S55" s="52">
        <f t="shared" si="49"/>
        <v>43.028290286127529</v>
      </c>
      <c r="T55" s="52">
        <f t="shared" si="49"/>
        <v>42.817815921681913</v>
      </c>
      <c r="U55" s="52">
        <f t="shared" si="49"/>
        <v>49.93528090762203</v>
      </c>
      <c r="V55" s="52">
        <f t="shared" si="49"/>
        <v>60.316978545042311</v>
      </c>
      <c r="W55" s="52">
        <f t="shared" si="49"/>
        <v>57.972337646392262</v>
      </c>
      <c r="X55" s="52">
        <f t="shared" si="49"/>
        <v>57.762879941735498</v>
      </c>
      <c r="Y55" s="52">
        <f t="shared" si="49"/>
        <v>57.223090351085489</v>
      </c>
      <c r="Z55" s="176"/>
      <c r="AA55" s="52">
        <f t="shared" ref="AA55:AX55" si="50">SUM(AA45:AA48)+AA54</f>
        <v>59.323652478893941</v>
      </c>
      <c r="AB55" s="52">
        <f t="shared" ref="AB55:AL55" si="51">SUM(AB45:AB48)+AB54</f>
        <v>61.228986376573658</v>
      </c>
      <c r="AC55" s="52">
        <f t="shared" si="51"/>
        <v>59.065336751172325</v>
      </c>
      <c r="AD55" s="52">
        <f t="shared" si="51"/>
        <v>58.538444081143098</v>
      </c>
      <c r="AE55" s="52">
        <f t="shared" si="51"/>
        <v>59.155436650965314</v>
      </c>
      <c r="AF55" s="52">
        <f t="shared" si="51"/>
        <v>59.219812166100766</v>
      </c>
      <c r="AG55" s="52">
        <f t="shared" si="51"/>
        <v>59.195232879229621</v>
      </c>
      <c r="AH55" s="52">
        <f t="shared" si="51"/>
        <v>62.328572166459949</v>
      </c>
      <c r="AI55" s="52">
        <f t="shared" si="51"/>
        <v>62.701393174858943</v>
      </c>
      <c r="AJ55" s="52">
        <f t="shared" si="51"/>
        <v>60.355351917571483</v>
      </c>
      <c r="AK55" s="52">
        <f t="shared" si="51"/>
        <v>60.159657381756588</v>
      </c>
      <c r="AL55" s="52">
        <f t="shared" si="51"/>
        <v>59.610243654780163</v>
      </c>
      <c r="AM55" s="176"/>
      <c r="AN55" s="52">
        <f t="shared" si="50"/>
        <v>65.905512346884706</v>
      </c>
      <c r="AO55" s="52">
        <f t="shared" si="50"/>
        <v>74.325949978138013</v>
      </c>
      <c r="AP55" s="52">
        <f t="shared" si="50"/>
        <v>75.138438970044035</v>
      </c>
      <c r="AQ55" s="52">
        <f t="shared" si="50"/>
        <v>76.007315888763287</v>
      </c>
      <c r="AR55" s="52">
        <f t="shared" si="50"/>
        <v>76.766486110637459</v>
      </c>
      <c r="AS55" s="52">
        <f t="shared" si="50"/>
        <v>77.834397779353935</v>
      </c>
      <c r="AT55" s="52">
        <f t="shared" si="50"/>
        <v>70.985194774035236</v>
      </c>
      <c r="AU55" s="52">
        <f t="shared" si="50"/>
        <v>68.76904005718383</v>
      </c>
      <c r="AV55" s="52">
        <f t="shared" si="50"/>
        <v>70.100747694258317</v>
      </c>
      <c r="AW55" s="52">
        <f t="shared" si="50"/>
        <v>73.900223420760824</v>
      </c>
      <c r="AX55" s="52">
        <f t="shared" si="50"/>
        <v>79.840410783591182</v>
      </c>
      <c r="AY55" s="837"/>
      <c r="AZ55" s="837"/>
    </row>
    <row r="56" spans="1:52" ht="13.5" thickTop="1">
      <c r="A56" s="3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89"/>
    </row>
    <row r="57" spans="1:52">
      <c r="A57" s="3"/>
      <c r="B57" t="s">
        <v>416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89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89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837"/>
      <c r="AZ57" s="837"/>
    </row>
    <row r="58" spans="1:52">
      <c r="A58" s="3"/>
      <c r="B58" t="s">
        <v>133</v>
      </c>
      <c r="E58" s="4"/>
      <c r="F58" s="4"/>
      <c r="G58" s="4"/>
      <c r="H58" s="4"/>
      <c r="I58" s="4"/>
      <c r="J58" s="4"/>
      <c r="K58" s="4"/>
      <c r="L58" s="4"/>
      <c r="M58" s="89"/>
      <c r="N58" s="4">
        <f>'Stmts RUS'!G193-('Stmts RUS'!G7*'Stmts RUS'!G37)</f>
        <v>0</v>
      </c>
      <c r="O58" s="4">
        <f>'Stmts RUS'!H193-('Stmts RUS'!H7*'Stmts RUS'!H37)</f>
        <v>0</v>
      </c>
      <c r="P58" s="4">
        <f>'Stmts RUS'!I193-('Stmts RUS'!I7*'Stmts RUS'!I37)</f>
        <v>0</v>
      </c>
      <c r="Q58" s="4">
        <f>'Stmts RUS'!J193-('Stmts RUS'!J7*'Stmts RUS'!J37)</f>
        <v>0</v>
      </c>
      <c r="R58" s="4">
        <f>'Stmts RUS'!K193-('Stmts RUS'!K7*'Stmts RUS'!K37)</f>
        <v>0</v>
      </c>
      <c r="S58" s="4">
        <f>'Stmts RUS'!L193-('Stmts RUS'!L7*'Stmts RUS'!L37)</f>
        <v>0</v>
      </c>
      <c r="T58" s="4">
        <f>'Stmts RUS'!M193-('Stmts RUS'!M7*'Stmts RUS'!M37)</f>
        <v>0</v>
      </c>
      <c r="U58" s="4">
        <f>'Stmts RUS'!N193-('Stmts RUS'!N7*'Stmts RUS'!N37)</f>
        <v>0</v>
      </c>
      <c r="V58" s="4">
        <f>'Stmts RUS'!O193-('Stmts RUS'!O7*'Stmts RUS'!O37)</f>
        <v>0</v>
      </c>
      <c r="W58" s="4">
        <f>'Stmts RUS'!P193-('Stmts RUS'!P7*'Stmts RUS'!P37)</f>
        <v>0</v>
      </c>
      <c r="X58" s="4">
        <f>'Stmts RUS'!Q193-('Stmts RUS'!Q7*'Stmts RUS'!Q37)</f>
        <v>0</v>
      </c>
      <c r="Y58" s="4">
        <f>'Stmts RUS'!R193-('Stmts RUS'!R7*'Stmts RUS'!R37)</f>
        <v>0</v>
      </c>
      <c r="Z58" s="89">
        <f>SUM(N58:Y58)</f>
        <v>0</v>
      </c>
      <c r="AA58" s="4">
        <f>'Stmts RUS'!T193-('Stmts RUS'!T7*'Stmts RUS'!T37)</f>
        <v>0</v>
      </c>
      <c r="AB58" s="4">
        <f>'Stmts RUS'!U193-('Stmts RUS'!U7*'Stmts RUS'!U37)</f>
        <v>0</v>
      </c>
      <c r="AC58" s="4">
        <f>'Stmts RUS'!V193-('Stmts RUS'!V7*'Stmts RUS'!V37)</f>
        <v>0</v>
      </c>
      <c r="AD58" s="4">
        <f>'Stmts RUS'!W193-('Stmts RUS'!W7*'Stmts RUS'!W37)</f>
        <v>0</v>
      </c>
      <c r="AE58" s="4">
        <f>'Stmts RUS'!X193-('Stmts RUS'!X7*'Stmts RUS'!X37)</f>
        <v>0</v>
      </c>
      <c r="AF58" s="4">
        <f>'Stmts RUS'!Y193-('Stmts RUS'!Y7*'Stmts RUS'!Y37)</f>
        <v>0</v>
      </c>
      <c r="AG58" s="4">
        <f>'Stmts RUS'!Z193-('Stmts RUS'!Z7*'Stmts RUS'!Z37)</f>
        <v>0</v>
      </c>
      <c r="AH58" s="4">
        <f>'Stmts RUS'!AA193-('Stmts RUS'!AA7*'Stmts RUS'!AA37)</f>
        <v>0</v>
      </c>
      <c r="AI58" s="4">
        <f>'Stmts RUS'!AB193-('Stmts RUS'!AB7*'Stmts RUS'!AB37)</f>
        <v>0</v>
      </c>
      <c r="AJ58" s="4">
        <f>'Stmts RUS'!AC193-('Stmts RUS'!AC7*'Stmts RUS'!AC37)</f>
        <v>0</v>
      </c>
      <c r="AK58" s="4">
        <f>'Stmts RUS'!AD193-('Stmts RUS'!AD7*'Stmts RUS'!AD37)</f>
        <v>0</v>
      </c>
      <c r="AL58" s="4">
        <f>'Stmts RUS'!AE193-('Stmts RUS'!AE7*'Stmts RUS'!AE37)</f>
        <v>0</v>
      </c>
      <c r="AM58" s="89">
        <f>SUM(AA58:AL58)</f>
        <v>0</v>
      </c>
      <c r="AN58" s="4">
        <f>'Stmts RUS'!AG193-('Stmts RUS'!AG7*'Stmts RUS'!AG37)</f>
        <v>0</v>
      </c>
      <c r="AO58" s="4">
        <f>'Stmts RUS'!AH193-('Stmts RUS'!AH7*'Stmts RUS'!AH37)</f>
        <v>0</v>
      </c>
      <c r="AP58" s="4">
        <f>'Stmts RUS'!AI193-('Stmts RUS'!AI7*'Stmts RUS'!AI37)</f>
        <v>0</v>
      </c>
      <c r="AQ58" s="4">
        <f>'Stmts RUS'!AJ193-('Stmts RUS'!AJ7*'Stmts RUS'!AJ37)</f>
        <v>0</v>
      </c>
      <c r="AR58" s="4">
        <f>'Stmts RUS'!AK193-('Stmts RUS'!AK7*'Stmts RUS'!AK37)</f>
        <v>0.86897715585163837</v>
      </c>
      <c r="AS58" s="4">
        <f>'Stmts RUS'!AL193-('Stmts RUS'!AL7*'Stmts RUS'!AL37)</f>
        <v>23.105281604453864</v>
      </c>
      <c r="AT58" s="4">
        <f>'Stmts RUS'!AM193-('Stmts RUS'!AM7*'Stmts RUS'!AM37)</f>
        <v>11.031176592223687</v>
      </c>
      <c r="AU58" s="4">
        <f>'Stmts RUS'!AN193-('Stmts RUS'!AN7*'Stmts RUS'!AN37)</f>
        <v>1.8593982073847144</v>
      </c>
      <c r="AV58" s="4">
        <f>'Stmts RUS'!AO193-('Stmts RUS'!AO7*'Stmts RUS'!AO37)</f>
        <v>-8.3176929795836827</v>
      </c>
      <c r="AW58" s="4">
        <f>'Stmts RUS'!AP193-('Stmts RUS'!AP7*'Stmts RUS'!AP37)</f>
        <v>-7.4519032815079527</v>
      </c>
      <c r="AX58" s="4">
        <f>'Stmts RUS'!AQ193-('Stmts RUS'!AQ7*'Stmts RUS'!AQ37)</f>
        <v>-5.5097068688471325</v>
      </c>
      <c r="AY58" s="837"/>
      <c r="AZ58" s="837"/>
    </row>
    <row r="59" spans="1:52">
      <c r="A59" s="3"/>
      <c r="B59" t="s">
        <v>417</v>
      </c>
      <c r="E59" s="4"/>
      <c r="F59" s="4"/>
      <c r="G59" s="4"/>
      <c r="H59" s="4"/>
      <c r="I59" s="4"/>
      <c r="J59" s="4"/>
      <c r="K59" s="4"/>
      <c r="L59" s="4"/>
      <c r="M59" s="89"/>
      <c r="N59" s="4">
        <f>'Stmts RUS'!G194-('Stmts RUS'!G8*'Stmts RUS'!G54)</f>
        <v>0</v>
      </c>
      <c r="O59" s="4">
        <f>'Stmts RUS'!H194-('Stmts RUS'!H8*'Stmts RUS'!H54)</f>
        <v>0</v>
      </c>
      <c r="P59" s="4">
        <f>'Stmts RUS'!I194-('Stmts RUS'!I8*'Stmts RUS'!I54)</f>
        <v>0</v>
      </c>
      <c r="Q59" s="4">
        <f>'Stmts RUS'!J194-('Stmts RUS'!J8*'Stmts RUS'!J54)</f>
        <v>0</v>
      </c>
      <c r="R59" s="4">
        <f>'Stmts RUS'!K194-('Stmts RUS'!K8*'Stmts RUS'!K54)</f>
        <v>0</v>
      </c>
      <c r="S59" s="4">
        <f>'Stmts RUS'!L194-('Stmts RUS'!L8*'Stmts RUS'!L54)</f>
        <v>0</v>
      </c>
      <c r="T59" s="4">
        <f>'Stmts RUS'!M194-('Stmts RUS'!M8*'Stmts RUS'!M54)</f>
        <v>0</v>
      </c>
      <c r="U59" s="4">
        <f>'Stmts RUS'!N194-('Stmts RUS'!N8*'Stmts RUS'!N54)</f>
        <v>0</v>
      </c>
      <c r="V59" s="4">
        <f>'Stmts RUS'!O194-('Stmts RUS'!O8*'Stmts RUS'!O54)</f>
        <v>0</v>
      </c>
      <c r="W59" s="4">
        <f>'Stmts RUS'!P194-('Stmts RUS'!P8*'Stmts RUS'!P54)</f>
        <v>0</v>
      </c>
      <c r="X59" s="4">
        <f>'Stmts RUS'!Q194-('Stmts RUS'!Q8*'Stmts RUS'!Q54)</f>
        <v>0</v>
      </c>
      <c r="Y59" s="4">
        <f>'Stmts RUS'!R194-('Stmts RUS'!R8*'Stmts RUS'!R54)</f>
        <v>0</v>
      </c>
      <c r="Z59" s="89">
        <f>SUM(N59:Y59)</f>
        <v>0</v>
      </c>
      <c r="AA59" s="4">
        <f>'Stmts RUS'!T194-('Stmts RUS'!T8*'Stmts RUS'!T54)</f>
        <v>0</v>
      </c>
      <c r="AB59" s="4">
        <f>'Stmts RUS'!U194-('Stmts RUS'!U8*'Stmts RUS'!U54)</f>
        <v>0</v>
      </c>
      <c r="AC59" s="4">
        <f>'Stmts RUS'!V194-('Stmts RUS'!V8*'Stmts RUS'!V54)</f>
        <v>0</v>
      </c>
      <c r="AD59" s="4">
        <f>'Stmts RUS'!W194-('Stmts RUS'!W8*'Stmts RUS'!W54)</f>
        <v>0</v>
      </c>
      <c r="AE59" s="4">
        <f>'Stmts RUS'!X194-('Stmts RUS'!X8*'Stmts RUS'!X54)</f>
        <v>0</v>
      </c>
      <c r="AF59" s="4">
        <f>'Stmts RUS'!Y194-('Stmts RUS'!Y8*'Stmts RUS'!Y54)</f>
        <v>0</v>
      </c>
      <c r="AG59" s="4">
        <f>'Stmts RUS'!Z194-('Stmts RUS'!Z8*'Stmts RUS'!Z54)</f>
        <v>0</v>
      </c>
      <c r="AH59" s="4">
        <f>'Stmts RUS'!AA194-('Stmts RUS'!AA8*'Stmts RUS'!AA54)</f>
        <v>0</v>
      </c>
      <c r="AI59" s="4">
        <f>'Stmts RUS'!AB194-('Stmts RUS'!AB8*'Stmts RUS'!AB54)</f>
        <v>0</v>
      </c>
      <c r="AJ59" s="4">
        <f>'Stmts RUS'!AC194-('Stmts RUS'!AC8*'Stmts RUS'!AC54)</f>
        <v>0</v>
      </c>
      <c r="AK59" s="4">
        <f>'Stmts RUS'!AD194-('Stmts RUS'!AD8*'Stmts RUS'!AD54)</f>
        <v>0</v>
      </c>
      <c r="AL59" s="4">
        <f>'Stmts RUS'!AE194-('Stmts RUS'!AE8*'Stmts RUS'!AE54)</f>
        <v>0</v>
      </c>
      <c r="AM59" s="89">
        <f>SUM(AA59:AL59)</f>
        <v>0</v>
      </c>
      <c r="AN59" s="4">
        <f>'Stmts RUS'!AG194-('Stmts RUS'!AG8*'Stmts RUS'!AG54)</f>
        <v>0</v>
      </c>
      <c r="AO59" s="4">
        <f>'Stmts RUS'!AH194-('Stmts RUS'!AH8*'Stmts RUS'!AH54)</f>
        <v>0</v>
      </c>
      <c r="AP59" s="4">
        <f>'Stmts RUS'!AI194-('Stmts RUS'!AI8*'Stmts RUS'!AI54)</f>
        <v>0</v>
      </c>
      <c r="AQ59" s="4">
        <f>'Stmts RUS'!AJ194-('Stmts RUS'!AJ8*'Stmts RUS'!AJ54)</f>
        <v>0</v>
      </c>
      <c r="AR59" s="4">
        <f>'Stmts RUS'!AK194-('Stmts RUS'!AK8*'Stmts RUS'!AK54)</f>
        <v>0.2442795902013799</v>
      </c>
      <c r="AS59" s="4">
        <f>'Stmts RUS'!AL194-('Stmts RUS'!AL8*'Stmts RUS'!AL54)</f>
        <v>6.4124126317503283</v>
      </c>
      <c r="AT59" s="4">
        <f>'Stmts RUS'!AM194-('Stmts RUS'!AM8*'Stmts RUS'!AM54)</f>
        <v>2.937015161598822</v>
      </c>
      <c r="AU59" s="4">
        <f>'Stmts RUS'!AN194-('Stmts RUS'!AN8*'Stmts RUS'!AN54)</f>
        <v>0.37875292504645586</v>
      </c>
      <c r="AV59" s="4">
        <f>'Stmts RUS'!AO194-('Stmts RUS'!AO8*'Stmts RUS'!AO54)</f>
        <v>-2.3508336191663659</v>
      </c>
      <c r="AW59" s="4">
        <f>'Stmts RUS'!AP194-('Stmts RUS'!AP8*'Stmts RUS'!AP54)</f>
        <v>-2.0625748212409789</v>
      </c>
      <c r="AX59" s="4">
        <f>'Stmts RUS'!AQ194-('Stmts RUS'!AQ8*'Stmts RUS'!AQ54)</f>
        <v>-1.5060561006858819</v>
      </c>
      <c r="AY59" s="837"/>
      <c r="AZ59" s="837"/>
    </row>
    <row r="60" spans="1:52">
      <c r="A60" s="3"/>
      <c r="B60" t="s">
        <v>131</v>
      </c>
      <c r="N60">
        <f t="shared" ref="N60:Y60" si="52">SUM(N58:N59)</f>
        <v>0</v>
      </c>
      <c r="O60">
        <f t="shared" si="52"/>
        <v>0</v>
      </c>
      <c r="P60">
        <f t="shared" si="52"/>
        <v>0</v>
      </c>
      <c r="Q60">
        <f t="shared" si="52"/>
        <v>0</v>
      </c>
      <c r="R60">
        <f t="shared" si="52"/>
        <v>0</v>
      </c>
      <c r="S60">
        <f t="shared" si="52"/>
        <v>0</v>
      </c>
      <c r="T60">
        <f t="shared" si="52"/>
        <v>0</v>
      </c>
      <c r="U60">
        <f t="shared" si="52"/>
        <v>0</v>
      </c>
      <c r="V60">
        <f t="shared" si="52"/>
        <v>0</v>
      </c>
      <c r="W60">
        <f t="shared" si="52"/>
        <v>0</v>
      </c>
      <c r="X60">
        <f t="shared" si="52"/>
        <v>0</v>
      </c>
      <c r="Y60">
        <f t="shared" si="52"/>
        <v>0</v>
      </c>
      <c r="Z60" s="89">
        <f>SUM(N60:Y60)</f>
        <v>0</v>
      </c>
      <c r="AA60">
        <f t="shared" ref="AA60:AL60" si="53">SUM(AA58:AA59)</f>
        <v>0</v>
      </c>
      <c r="AB60">
        <f t="shared" si="53"/>
        <v>0</v>
      </c>
      <c r="AC60">
        <f t="shared" si="53"/>
        <v>0</v>
      </c>
      <c r="AD60">
        <f t="shared" si="53"/>
        <v>0</v>
      </c>
      <c r="AE60">
        <f t="shared" si="53"/>
        <v>0</v>
      </c>
      <c r="AF60">
        <f t="shared" si="53"/>
        <v>0</v>
      </c>
      <c r="AG60">
        <f t="shared" si="53"/>
        <v>0</v>
      </c>
      <c r="AH60">
        <f t="shared" si="53"/>
        <v>0</v>
      </c>
      <c r="AI60">
        <f t="shared" si="53"/>
        <v>0</v>
      </c>
      <c r="AJ60">
        <f t="shared" si="53"/>
        <v>0</v>
      </c>
      <c r="AK60">
        <f t="shared" si="53"/>
        <v>0</v>
      </c>
      <c r="AL60">
        <f t="shared" si="53"/>
        <v>0</v>
      </c>
      <c r="AM60" s="89">
        <f>SUM(AA60:AL60)</f>
        <v>0</v>
      </c>
      <c r="AN60" s="4">
        <f t="shared" ref="AN60:AX60" si="54">SUM(AN58:AN59)</f>
        <v>0</v>
      </c>
      <c r="AO60" s="82">
        <f t="shared" si="54"/>
        <v>0</v>
      </c>
      <c r="AP60" s="4">
        <f t="shared" si="54"/>
        <v>0</v>
      </c>
      <c r="AQ60" s="4">
        <f t="shared" si="54"/>
        <v>0</v>
      </c>
      <c r="AR60" s="4">
        <f t="shared" si="54"/>
        <v>1.1132567460530183</v>
      </c>
      <c r="AS60" s="4">
        <f t="shared" si="54"/>
        <v>29.517694236204193</v>
      </c>
      <c r="AT60" s="4">
        <f t="shared" si="54"/>
        <v>13.968191753822509</v>
      </c>
      <c r="AU60" s="4">
        <f t="shared" si="54"/>
        <v>2.2381511324311703</v>
      </c>
      <c r="AV60" s="4">
        <f t="shared" si="54"/>
        <v>-10.668526598750049</v>
      </c>
      <c r="AW60" s="4">
        <f t="shared" si="54"/>
        <v>-9.5144781027489316</v>
      </c>
      <c r="AX60" s="4">
        <f t="shared" si="54"/>
        <v>-7.0157629695330144</v>
      </c>
      <c r="AY60" s="837"/>
      <c r="AZ60" s="837"/>
    </row>
    <row r="61" spans="1:52"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85"/>
    </row>
    <row r="62" spans="1:52"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71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171"/>
      <c r="AN62" s="5">
        <f>SUM(N60:AN60)</f>
        <v>0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368"/>
      <c r="AZ62" s="368"/>
    </row>
    <row r="63" spans="1:52"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89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89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837"/>
      <c r="AZ63" s="837"/>
    </row>
    <row r="64" spans="1:52"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89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89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837"/>
      <c r="AZ64" s="837"/>
    </row>
    <row r="65" spans="14:52"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74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174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829"/>
      <c r="AZ65" s="829"/>
    </row>
    <row r="66" spans="14:52"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275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275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939"/>
      <c r="AZ66" s="939"/>
    </row>
    <row r="67" spans="14:52"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89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89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837"/>
      <c r="AZ67" s="837"/>
    </row>
    <row r="68" spans="14:52"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89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89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837"/>
      <c r="AZ68" s="837"/>
    </row>
    <row r="69" spans="14:52"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89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89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837"/>
      <c r="AZ69" s="837"/>
    </row>
    <row r="71" spans="14:52"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89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89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837"/>
      <c r="AZ71" s="837"/>
    </row>
    <row r="73" spans="14:52">
      <c r="AN73" s="7"/>
    </row>
    <row r="78" spans="14:52"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85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185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940"/>
      <c r="AZ78" s="940"/>
    </row>
    <row r="82" spans="14:52"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71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171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368"/>
      <c r="AZ82" s="368"/>
    </row>
    <row r="84" spans="14:52"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89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89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837"/>
      <c r="AZ84" s="837"/>
    </row>
    <row r="85" spans="14:52"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174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174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829"/>
      <c r="AZ85" s="829"/>
    </row>
    <row r="86" spans="14:52"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89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89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837"/>
      <c r="AZ86" s="837"/>
    </row>
    <row r="87" spans="14:52"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89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89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837"/>
      <c r="AZ87" s="837"/>
    </row>
    <row r="88" spans="14:52"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89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89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837"/>
      <c r="AZ88" s="837"/>
    </row>
    <row r="89" spans="14:52"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85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185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940"/>
      <c r="AZ89" s="940"/>
    </row>
  </sheetData>
  <phoneticPr fontId="6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39997558519241921"/>
    <pageSetUpPr fitToPage="1"/>
  </sheetPr>
  <dimension ref="A1:AY62"/>
  <sheetViews>
    <sheetView workbookViewId="0">
      <pane xSplit="2" ySplit="2" topLeftCell="AN3" activePane="bottomRight" state="frozen"/>
      <selection pane="topRight" activeCell="C1" sqref="C1"/>
      <selection pane="bottomLeft" activeCell="A3" sqref="A3"/>
      <selection pane="bottomRight" activeCell="BC23" sqref="BC23"/>
    </sheetView>
  </sheetViews>
  <sheetFormatPr defaultRowHeight="12.75"/>
  <cols>
    <col min="1" max="1" width="3.85546875" customWidth="1"/>
    <col min="2" max="2" width="51.42578125" customWidth="1"/>
    <col min="3" max="3" width="9.28515625" hidden="1" customWidth="1"/>
    <col min="4" max="11" width="9.7109375" hidden="1" customWidth="1"/>
    <col min="12" max="12" width="9.5703125" style="88" customWidth="1"/>
    <col min="13" max="13" width="10.85546875" style="78" customWidth="1"/>
    <col min="14" max="14" width="10.85546875" style="78" bestFit="1" customWidth="1"/>
    <col min="15" max="15" width="11.42578125" style="78" bestFit="1" customWidth="1"/>
    <col min="16" max="16" width="10.85546875" style="78" bestFit="1" customWidth="1"/>
    <col min="17" max="20" width="11.42578125" style="78" bestFit="1" customWidth="1"/>
    <col min="21" max="21" width="10.42578125" style="78" bestFit="1" customWidth="1"/>
    <col min="22" max="22" width="11.42578125" style="78" bestFit="1" customWidth="1"/>
    <col min="23" max="23" width="9.42578125" style="78" customWidth="1"/>
    <col min="24" max="24" width="9.5703125" style="78" customWidth="1"/>
    <col min="25" max="25" width="10.140625" style="211" customWidth="1"/>
    <col min="26" max="26" width="8.140625" style="78" customWidth="1"/>
    <col min="27" max="27" width="9" style="78" customWidth="1"/>
    <col min="28" max="33" width="8.7109375" style="78" customWidth="1"/>
    <col min="34" max="34" width="10.28515625" style="78" customWidth="1"/>
    <col min="35" max="35" width="9.42578125" style="78" customWidth="1"/>
    <col min="36" max="36" width="10.140625" style="78" customWidth="1"/>
    <col min="37" max="37" width="10.7109375" style="78" customWidth="1"/>
    <col min="38" max="38" width="8.7109375" style="211" customWidth="1"/>
    <col min="39" max="39" width="9.28515625" style="78" bestFit="1" customWidth="1"/>
    <col min="40" max="40" width="8.85546875" style="78" customWidth="1"/>
    <col min="41" max="41" width="9.28515625" style="78" bestFit="1" customWidth="1"/>
    <col min="42" max="42" width="9.7109375" style="78" bestFit="1" customWidth="1"/>
    <col min="43" max="43" width="10.7109375" style="78" bestFit="1" customWidth="1"/>
    <col min="44" max="48" width="9.28515625" style="78" bestFit="1" customWidth="1"/>
    <col min="49" max="49" width="9.85546875" style="78" bestFit="1" customWidth="1"/>
    <col min="50" max="51" width="9.85546875" style="780" bestFit="1" customWidth="1"/>
  </cols>
  <sheetData>
    <row r="1" spans="1:51">
      <c r="C1" s="180"/>
      <c r="D1" s="180"/>
      <c r="E1" s="180"/>
      <c r="F1" s="180"/>
      <c r="G1" s="180"/>
      <c r="H1" s="180"/>
      <c r="I1" s="180"/>
      <c r="J1" s="180"/>
      <c r="K1" s="180"/>
      <c r="L1" s="181"/>
      <c r="M1" s="180">
        <f>'Stmts RUS'!G1</f>
        <v>2013</v>
      </c>
      <c r="N1" s="180">
        <f>'Stmts RUS'!H1</f>
        <v>2013</v>
      </c>
      <c r="O1" s="180">
        <f>'Stmts RUS'!I1</f>
        <v>2013</v>
      </c>
      <c r="P1" s="180">
        <f>'Stmts RUS'!J1</f>
        <v>2013</v>
      </c>
      <c r="Q1" s="180">
        <f>'Stmts RUS'!K1</f>
        <v>2013</v>
      </c>
      <c r="R1" s="180">
        <f>'Stmts RUS'!L1</f>
        <v>2013</v>
      </c>
      <c r="S1" s="180">
        <f>'Stmts RUS'!M1</f>
        <v>2013</v>
      </c>
      <c r="T1" s="180">
        <f>'Stmts RUS'!N1</f>
        <v>2013</v>
      </c>
      <c r="U1" s="180">
        <f>'Stmts RUS'!O1</f>
        <v>2013</v>
      </c>
      <c r="V1" s="180">
        <f>'Stmts RUS'!P1</f>
        <v>2013</v>
      </c>
      <c r="W1" s="180">
        <f>'Stmts RUS'!Q1</f>
        <v>2013</v>
      </c>
      <c r="X1" s="180">
        <f>'Stmts RUS'!R1</f>
        <v>2013</v>
      </c>
      <c r="Y1" s="721"/>
      <c r="Z1" s="180">
        <f>'Stmts RUS'!T1</f>
        <v>2014</v>
      </c>
      <c r="AA1" s="180">
        <f>'Stmts RUS'!U1</f>
        <v>2014</v>
      </c>
      <c r="AB1" s="180">
        <f>'Stmts RUS'!V1</f>
        <v>2014</v>
      </c>
      <c r="AC1" s="180">
        <f>'Stmts RUS'!W1</f>
        <v>2014</v>
      </c>
      <c r="AD1" s="180">
        <f>'Stmts RUS'!X1</f>
        <v>2014</v>
      </c>
      <c r="AE1" s="180">
        <f>'Stmts RUS'!Y1</f>
        <v>2014</v>
      </c>
      <c r="AF1" s="180">
        <f>'Stmts RUS'!Z1</f>
        <v>2014</v>
      </c>
      <c r="AG1" s="180">
        <f>'Stmts RUS'!AA1</f>
        <v>2014</v>
      </c>
      <c r="AH1" s="180">
        <f>'Stmts RUS'!AB1</f>
        <v>2014</v>
      </c>
      <c r="AI1" s="180">
        <f>'Stmts RUS'!AC1</f>
        <v>2014</v>
      </c>
      <c r="AJ1" s="180">
        <f>'Stmts RUS'!AD1</f>
        <v>2014</v>
      </c>
      <c r="AK1" s="180">
        <f>'Stmts RUS'!AE1</f>
        <v>2014</v>
      </c>
      <c r="AL1" s="721"/>
    </row>
    <row r="2" spans="1:51">
      <c r="C2" s="1"/>
      <c r="D2" s="1"/>
      <c r="E2" s="1"/>
      <c r="F2" s="1"/>
      <c r="G2" s="1"/>
      <c r="H2" s="1"/>
      <c r="I2" s="1"/>
      <c r="J2" s="1"/>
      <c r="K2" s="1"/>
      <c r="L2" s="169"/>
      <c r="M2" s="720" t="str">
        <f>'Stmts RUS'!G2</f>
        <v>January</v>
      </c>
      <c r="N2" s="720" t="str">
        <f>'Stmts RUS'!H2</f>
        <v>February</v>
      </c>
      <c r="O2" s="720" t="str">
        <f>'Stmts RUS'!I2</f>
        <v>March</v>
      </c>
      <c r="P2" s="720" t="str">
        <f>'Stmts RUS'!J2</f>
        <v>April</v>
      </c>
      <c r="Q2" s="720" t="str">
        <f>'Stmts RUS'!K2</f>
        <v>May</v>
      </c>
      <c r="R2" s="720" t="str">
        <f>'Stmts RUS'!L2</f>
        <v>June</v>
      </c>
      <c r="S2" s="720" t="str">
        <f>'Stmts RUS'!M2</f>
        <v>July</v>
      </c>
      <c r="T2" s="720" t="str">
        <f>'Stmts RUS'!N2</f>
        <v>August</v>
      </c>
      <c r="U2" s="720" t="str">
        <f>'Stmts RUS'!O2</f>
        <v>September</v>
      </c>
      <c r="V2" s="720" t="str">
        <f>'Stmts RUS'!P2</f>
        <v>October</v>
      </c>
      <c r="W2" s="720" t="str">
        <f>'Stmts RUS'!Q2</f>
        <v>November</v>
      </c>
      <c r="X2" s="720" t="str">
        <f>'Stmts RUS'!R2</f>
        <v>December</v>
      </c>
      <c r="Y2" s="181">
        <f>'Stmts RUS'!S2</f>
        <v>2013</v>
      </c>
      <c r="Z2" s="720" t="str">
        <f>'Stmts RUS'!T2</f>
        <v>January</v>
      </c>
      <c r="AA2" s="720" t="str">
        <f>'Stmts RUS'!U2</f>
        <v>February</v>
      </c>
      <c r="AB2" s="720" t="str">
        <f>'Stmts RUS'!V2</f>
        <v>March</v>
      </c>
      <c r="AC2" s="720" t="str">
        <f>'Stmts RUS'!W2</f>
        <v>April</v>
      </c>
      <c r="AD2" s="720" t="str">
        <f>'Stmts RUS'!X2</f>
        <v>May</v>
      </c>
      <c r="AE2" s="720" t="str">
        <f>'Stmts RUS'!Y2</f>
        <v>June</v>
      </c>
      <c r="AF2" s="720" t="str">
        <f>'Stmts RUS'!Z2</f>
        <v>July</v>
      </c>
      <c r="AG2" s="720" t="str">
        <f>'Stmts RUS'!AA2</f>
        <v>August</v>
      </c>
      <c r="AH2" s="720" t="str">
        <f>'Stmts RUS'!AB2</f>
        <v>September</v>
      </c>
      <c r="AI2" s="720" t="str">
        <f>'Stmts RUS'!AC2</f>
        <v>October</v>
      </c>
      <c r="AJ2" s="720" t="str">
        <f>'Stmts RUS'!AD2</f>
        <v>November</v>
      </c>
      <c r="AK2" s="720" t="str">
        <f>'Stmts RUS'!AE2</f>
        <v>December</v>
      </c>
      <c r="AL2" s="181">
        <f>'Stmts RUS'!AF2</f>
        <v>2014</v>
      </c>
      <c r="AM2" s="208">
        <f>'Stmts RUS'!AG2</f>
        <v>2015</v>
      </c>
      <c r="AN2" s="208">
        <f>'Stmts RUS'!AH2</f>
        <v>2016</v>
      </c>
      <c r="AO2" s="208">
        <f>'Stmts RUS'!AI2</f>
        <v>2017</v>
      </c>
      <c r="AP2" s="208">
        <f>'Stmts RUS'!AJ2</f>
        <v>2018</v>
      </c>
      <c r="AQ2" s="208">
        <f>'Stmts RUS'!AK2</f>
        <v>2019</v>
      </c>
      <c r="AR2" s="208">
        <f>'Stmts RUS'!AL2</f>
        <v>2020</v>
      </c>
      <c r="AS2" s="208">
        <f>'Stmts RUS'!AM2</f>
        <v>2021</v>
      </c>
      <c r="AT2" s="208">
        <f>'Stmts RUS'!AN2</f>
        <v>2022</v>
      </c>
      <c r="AU2" s="208">
        <f>'Stmts RUS'!AO2</f>
        <v>2023</v>
      </c>
      <c r="AV2" s="208">
        <f>'Stmts RUS'!AP2</f>
        <v>2024</v>
      </c>
      <c r="AW2" s="208">
        <f>'Stmts RUS'!AQ2</f>
        <v>2025</v>
      </c>
      <c r="AX2" s="905"/>
      <c r="AY2" s="905"/>
    </row>
    <row r="3" spans="1:51">
      <c r="C3" s="165"/>
      <c r="L3" s="169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1"/>
    </row>
    <row r="4" spans="1:51" s="13" customFormat="1">
      <c r="A4" s="12"/>
      <c r="B4" s="49" t="s">
        <v>258</v>
      </c>
      <c r="C4" s="166"/>
      <c r="D4" s="249"/>
      <c r="E4" s="249"/>
      <c r="F4" s="249"/>
      <c r="G4" s="249"/>
      <c r="H4" s="249"/>
      <c r="I4" s="249"/>
      <c r="J4" s="249"/>
      <c r="K4" s="249"/>
      <c r="L4" s="302"/>
      <c r="M4" s="583">
        <f>PCM!N11</f>
        <v>1.0654747000000002</v>
      </c>
      <c r="N4" s="583">
        <f>PCM!O11</f>
        <v>0.95588295000000012</v>
      </c>
      <c r="O4" s="583">
        <f>PCM!P11</f>
        <v>1.02500821</v>
      </c>
      <c r="P4" s="583">
        <f>PCM!Q11</f>
        <v>0.90981940000000006</v>
      </c>
      <c r="Q4" s="583">
        <f>PCM!R11</f>
        <v>0.9378728999999999</v>
      </c>
      <c r="R4" s="583">
        <f>PCM!S11</f>
        <v>0.9610953000000001</v>
      </c>
      <c r="S4" s="583">
        <f>PCM!T11</f>
        <v>1.0288024899999999</v>
      </c>
      <c r="T4" s="583">
        <f>PCM!U11</f>
        <v>0.99671984000000013</v>
      </c>
      <c r="U4" s="583">
        <f>PCM!V11</f>
        <v>0.6796142799999999</v>
      </c>
      <c r="V4" s="583">
        <f>PCM!W11</f>
        <v>0.74664154000000005</v>
      </c>
      <c r="W4" s="583">
        <f>PCM!X11</f>
        <v>0.72361546999999993</v>
      </c>
      <c r="X4" s="583">
        <f>PCM!Y11</f>
        <v>0.74618034999999994</v>
      </c>
      <c r="Y4" s="584">
        <f>SUM(M4:X4)</f>
        <v>10.776727430000001</v>
      </c>
      <c r="Z4" s="583">
        <f>PCM!AA11</f>
        <v>0.76707416999999989</v>
      </c>
      <c r="AA4" s="583">
        <f>PCM!AB11</f>
        <v>0.68527733000000024</v>
      </c>
      <c r="AB4" s="583">
        <f>PCM!AC11</f>
        <v>0.65960163999999999</v>
      </c>
      <c r="AC4" s="583">
        <f>PCM!AD11</f>
        <v>0.59937483999999996</v>
      </c>
      <c r="AD4" s="583">
        <f>PCM!AE11</f>
        <v>0.62600273999999989</v>
      </c>
      <c r="AE4" s="583">
        <f>PCM!AF11</f>
        <v>0.68423530999999982</v>
      </c>
      <c r="AF4" s="583">
        <f>PCM!AG11</f>
        <v>0.71171100999999981</v>
      </c>
      <c r="AG4" s="583">
        <f>PCM!AH11</f>
        <v>0.71046324999999999</v>
      </c>
      <c r="AH4" s="583">
        <f>PCM!AI11</f>
        <v>0.67689159999999982</v>
      </c>
      <c r="AI4" s="583">
        <f>PCM!AJ11</f>
        <v>0.74237478000000001</v>
      </c>
      <c r="AJ4" s="583">
        <f>PCM!AK11</f>
        <v>0.71684278999999995</v>
      </c>
      <c r="AK4" s="583">
        <f>PCM!AL11</f>
        <v>0.7386604699999999</v>
      </c>
      <c r="AL4" s="584">
        <f>SUM(Z4:AK4)</f>
        <v>8.3185099300000012</v>
      </c>
      <c r="AM4" s="583">
        <f>PCM!AN11</f>
        <v>8.2907969999999995</v>
      </c>
      <c r="AN4" s="583">
        <f>PCM!AO11</f>
        <v>8.2587811699999989</v>
      </c>
      <c r="AO4" s="583">
        <f>PCM!AP11</f>
        <v>8.2148043099999981</v>
      </c>
      <c r="AP4" s="583">
        <f>PCM!AQ11</f>
        <v>8.2876864499999989</v>
      </c>
      <c r="AQ4" s="583">
        <f>PCM!AR11</f>
        <v>11.693420679999999</v>
      </c>
      <c r="AR4" s="583">
        <f>PCM!AS11</f>
        <v>12.407277679999996</v>
      </c>
      <c r="AS4" s="583">
        <f>PCM!AT11</f>
        <v>12.051503369999997</v>
      </c>
      <c r="AT4" s="583">
        <f>PCM!AU11</f>
        <v>12.377644609999997</v>
      </c>
      <c r="AU4" s="583">
        <f>PCM!AV11</f>
        <v>11.96704089</v>
      </c>
      <c r="AV4" s="583">
        <f>PCM!AW11</f>
        <v>12.146048830000002</v>
      </c>
      <c r="AW4" s="583">
        <f>PCM!AX11</f>
        <v>11.791768979999999</v>
      </c>
      <c r="AX4" s="920"/>
      <c r="AY4" s="920"/>
    </row>
    <row r="5" spans="1:51">
      <c r="A5" s="3"/>
      <c r="B5" s="33" t="s">
        <v>408</v>
      </c>
      <c r="C5" s="165"/>
      <c r="M5" s="722">
        <f>M4-PCM!N10</f>
        <v>0.95476348339999995</v>
      </c>
      <c r="N5" s="722">
        <f>N4-PCM!O10</f>
        <v>0.84869390560000002</v>
      </c>
      <c r="O5" s="722">
        <f>O4-PCM!P10</f>
        <v>0.89509828519999979</v>
      </c>
      <c r="P5" s="722">
        <f>P4-PCM!Q10</f>
        <v>0.83191550800000003</v>
      </c>
      <c r="Q5" s="722">
        <f>Q4-PCM!R10</f>
        <v>0.87124863519999995</v>
      </c>
      <c r="R5" s="722">
        <f>R4-PCM!S10</f>
        <v>0.90044013599999995</v>
      </c>
      <c r="S5" s="722">
        <f>S4-PCM!T10</f>
        <v>0.94596156319999991</v>
      </c>
      <c r="T5" s="722">
        <f>T4-PCM!U10</f>
        <v>0.80004994319999989</v>
      </c>
      <c r="U5" s="722">
        <f>U4-PCM!V10</f>
        <v>0.51536288899999994</v>
      </c>
      <c r="V5" s="722">
        <f>V4-PCM!W10</f>
        <v>0.50115914219999991</v>
      </c>
      <c r="W5" s="722">
        <f>W4-PCM!X10</f>
        <v>0.51584968599999992</v>
      </c>
      <c r="X5" s="722">
        <f>X4-PCM!Y10</f>
        <v>0.59285570519999986</v>
      </c>
      <c r="Y5" s="584">
        <f>SUM(M5:X5)</f>
        <v>9.173398882199999</v>
      </c>
      <c r="Z5" s="722">
        <f>Z4-PCM!AA10</f>
        <v>0.60071868019999997</v>
      </c>
      <c r="AA5" s="722">
        <f>AA4-PCM!AB10</f>
        <v>0.52802938560000001</v>
      </c>
      <c r="AB5" s="722">
        <f>AB4-PCM!AC10</f>
        <v>0.53940124519999999</v>
      </c>
      <c r="AC5" s="722">
        <f>AC4-PCM!AD10</f>
        <v>0.48715330799999995</v>
      </c>
      <c r="AD5" s="722">
        <f>AD4-PCM!AE10</f>
        <v>0.51520059520000006</v>
      </c>
      <c r="AE5" s="722">
        <f>AE4-PCM!AF10</f>
        <v>0.55680393599999989</v>
      </c>
      <c r="AF5" s="722">
        <f>AF4-PCM!AG10</f>
        <v>0.59847172319999997</v>
      </c>
      <c r="AG5" s="722">
        <f>AG4-PCM!AH10</f>
        <v>0.58845578319999992</v>
      </c>
      <c r="AH5" s="722">
        <f>AH4-PCM!AI10</f>
        <v>0.5182648889999999</v>
      </c>
      <c r="AI5" s="722">
        <f>AI4-PCM!AJ10</f>
        <v>0.50365114219999996</v>
      </c>
      <c r="AJ5" s="722">
        <f>AJ4-PCM!AK10</f>
        <v>0.51874468600000001</v>
      </c>
      <c r="AK5" s="722">
        <f>AK4-PCM!AL10</f>
        <v>0.59680370519999992</v>
      </c>
      <c r="AL5" s="584">
        <f>SUM(Z5:AK5)</f>
        <v>6.5516990789999996</v>
      </c>
      <c r="AM5" s="722">
        <f>AM4-PCM!AN10</f>
        <v>6.5825610789999995</v>
      </c>
      <c r="AN5" s="722">
        <f>AN4-PCM!AO10</f>
        <v>6.6314053381999987</v>
      </c>
      <c r="AO5" s="722">
        <f>AO4-PCM!AP10</f>
        <v>6.6594406803638897</v>
      </c>
      <c r="AP5" s="722">
        <f>AP4-PCM!AQ10</f>
        <v>6.686921571605648</v>
      </c>
      <c r="AQ5" s="722">
        <f>AQ4-PCM!AR10</f>
        <v>6.7143084552574788</v>
      </c>
      <c r="AR5" s="722">
        <f>AR4-PCM!AS10</f>
        <v>6.7575741531199567</v>
      </c>
      <c r="AS5" s="722">
        <f>AS4-PCM!AT10</f>
        <v>6.7836708799380663</v>
      </c>
      <c r="AT5" s="722">
        <f>AT4-PCM!AU10</f>
        <v>6.8199726203719573</v>
      </c>
      <c r="AU5" s="722">
        <f>AU4-PCM!AV10</f>
        <v>6.8570411095730472</v>
      </c>
      <c r="AV5" s="722">
        <f>AV4-PCM!AW10</f>
        <v>6.9041432276342913</v>
      </c>
      <c r="AW5" s="722">
        <f>AW4-PCM!AX10</f>
        <v>6.9328053836090975</v>
      </c>
      <c r="AX5" s="941"/>
      <c r="AY5" s="941"/>
    </row>
    <row r="6" spans="1:51">
      <c r="A6" s="3"/>
      <c r="B6" s="33" t="s">
        <v>747</v>
      </c>
      <c r="C6" s="165"/>
      <c r="M6" s="723">
        <v>1.0195163900000002</v>
      </c>
      <c r="N6" s="723">
        <v>0.91239011000000003</v>
      </c>
      <c r="O6" s="723">
        <v>0.98146279000000003</v>
      </c>
      <c r="P6" s="723">
        <v>0.85445959999999987</v>
      </c>
      <c r="Q6" s="723">
        <v>0.86825562000000001</v>
      </c>
      <c r="R6" s="723">
        <v>0.92969849000000004</v>
      </c>
      <c r="S6" s="723">
        <v>0.99830459000000005</v>
      </c>
      <c r="T6" s="723">
        <v>0.97270007000000003</v>
      </c>
      <c r="U6" s="723">
        <v>0.67516438999999995</v>
      </c>
      <c r="V6" s="723">
        <v>0.7176708100000001</v>
      </c>
      <c r="W6" s="723">
        <v>0.69479721999999999</v>
      </c>
      <c r="X6" s="723">
        <v>0.71250958999999991</v>
      </c>
      <c r="Y6" s="584">
        <f>SUM(M6:X6)</f>
        <v>10.33692967</v>
      </c>
      <c r="Z6" s="723">
        <v>0.73229299999999997</v>
      </c>
      <c r="AA6" s="723">
        <v>0.65675211000000011</v>
      </c>
      <c r="AB6" s="723">
        <v>0.62189936999999995</v>
      </c>
      <c r="AC6" s="723">
        <v>0.56132523999999995</v>
      </c>
      <c r="AD6" s="723">
        <v>0.58641356999999994</v>
      </c>
      <c r="AE6" s="723">
        <v>0.67621844999999992</v>
      </c>
      <c r="AF6" s="723">
        <v>0.70376622</v>
      </c>
      <c r="AG6" s="723">
        <v>0.70145725999999997</v>
      </c>
      <c r="AH6" s="723">
        <v>0.67263238999999986</v>
      </c>
      <c r="AI6" s="723">
        <v>0.71346681000000001</v>
      </c>
      <c r="AJ6" s="723">
        <v>0.68798261999999999</v>
      </c>
      <c r="AK6" s="723">
        <v>0.70179698999999995</v>
      </c>
      <c r="AL6" s="584">
        <f>SUM(Z6:AK6)</f>
        <v>8.0160040299999977</v>
      </c>
      <c r="AM6" s="724">
        <v>8.0064037800000012</v>
      </c>
      <c r="AN6" s="724">
        <v>7.9518467799999994</v>
      </c>
      <c r="AO6" s="842">
        <v>7.8802230999999985</v>
      </c>
      <c r="AP6" s="842">
        <v>7.9696404899999989</v>
      </c>
      <c r="AQ6" s="842">
        <v>11.50139716</v>
      </c>
      <c r="AR6" s="842">
        <v>12.218479709999997</v>
      </c>
      <c r="AS6" s="842">
        <v>11.862343119999997</v>
      </c>
      <c r="AT6" s="842">
        <v>12.189637259999998</v>
      </c>
      <c r="AU6" s="842">
        <v>11.77920469</v>
      </c>
      <c r="AV6" s="842">
        <v>11.958020830000002</v>
      </c>
      <c r="AW6" s="842">
        <v>11.602790539999997</v>
      </c>
      <c r="AX6" s="842"/>
      <c r="AY6" s="842"/>
    </row>
    <row r="7" spans="1:51">
      <c r="A7" s="3"/>
      <c r="B7" s="33" t="s">
        <v>748</v>
      </c>
      <c r="C7" s="165"/>
      <c r="M7" s="723">
        <v>5.6972340000000017E-2</v>
      </c>
      <c r="N7" s="723">
        <v>5.3285909999999992E-2</v>
      </c>
      <c r="O7" s="723">
        <v>5.3851049999999998E-2</v>
      </c>
      <c r="P7" s="723">
        <v>6.4931239999999987E-2</v>
      </c>
      <c r="Q7" s="723">
        <v>7.9650249999999964E-2</v>
      </c>
      <c r="R7" s="723">
        <v>4.1839820000000007E-2</v>
      </c>
      <c r="S7" s="723">
        <v>4.144620999999999E-2</v>
      </c>
      <c r="T7" s="723">
        <v>3.3409360000000006E-2</v>
      </c>
      <c r="U7" s="723">
        <v>1.0652070000000001E-2</v>
      </c>
      <c r="V7" s="723">
        <v>3.4954800000000001E-2</v>
      </c>
      <c r="W7" s="723">
        <v>3.4940979999999996E-2</v>
      </c>
      <c r="X7" s="723">
        <v>4.0698160000000004E-2</v>
      </c>
      <c r="Y7" s="725">
        <f>SUM(M7:X7)</f>
        <v>0.54663219000000007</v>
      </c>
      <c r="Z7" s="723">
        <v>4.192092E-2</v>
      </c>
      <c r="AA7" s="723">
        <v>3.4825689999999999E-2</v>
      </c>
      <c r="AB7" s="723">
        <v>4.4122710000000002E-2</v>
      </c>
      <c r="AC7" s="723">
        <v>4.3859579999999995E-2</v>
      </c>
      <c r="AD7" s="723">
        <v>4.5747810000000007E-2</v>
      </c>
      <c r="AE7" s="723">
        <v>1.4709629999999998E-2</v>
      </c>
      <c r="AF7" s="723">
        <v>1.5106340000000003E-2</v>
      </c>
      <c r="AG7" s="723">
        <v>1.6091410000000004E-2</v>
      </c>
      <c r="AH7" s="723">
        <v>1.0494080000000001E-2</v>
      </c>
      <c r="AI7" s="723">
        <v>3.4913990000000006E-2</v>
      </c>
      <c r="AJ7" s="723">
        <v>3.5018729999999998E-2</v>
      </c>
      <c r="AK7" s="723">
        <v>4.392689000000001E-2</v>
      </c>
      <c r="AL7" s="725">
        <f>SUM(Z7:AK7)</f>
        <v>0.38073778000000003</v>
      </c>
      <c r="AM7" s="724">
        <v>0.36299157999999998</v>
      </c>
      <c r="AN7" s="724">
        <v>0.38612137999999996</v>
      </c>
      <c r="AO7" s="842">
        <v>0.41406093999999999</v>
      </c>
      <c r="AP7" s="842">
        <v>0.39785486999999997</v>
      </c>
      <c r="AQ7" s="842">
        <v>0.27216143999999998</v>
      </c>
      <c r="AR7" s="842">
        <v>0.26939984</v>
      </c>
      <c r="AS7" s="842">
        <v>0.27010022000000006</v>
      </c>
      <c r="AT7" s="842">
        <v>0.26935175</v>
      </c>
      <c r="AU7" s="842">
        <v>0.2696268</v>
      </c>
      <c r="AV7" s="842">
        <v>0.27033926000000003</v>
      </c>
      <c r="AW7" s="842">
        <v>0.27162955999999999</v>
      </c>
      <c r="AX7" s="842"/>
      <c r="AY7" s="842"/>
    </row>
    <row r="8" spans="1:51">
      <c r="A8" s="3"/>
      <c r="B8" s="33" t="s">
        <v>749</v>
      </c>
      <c r="C8" s="165"/>
      <c r="M8" s="723">
        <v>1.1014030000000001E-2</v>
      </c>
      <c r="N8" s="723">
        <v>9.7930699999999992E-3</v>
      </c>
      <c r="O8" s="723">
        <v>1.030563E-2</v>
      </c>
      <c r="P8" s="723">
        <v>9.5714400000000005E-3</v>
      </c>
      <c r="Q8" s="723">
        <v>1.0032969999999999E-2</v>
      </c>
      <c r="R8" s="723">
        <v>1.0443010000000001E-2</v>
      </c>
      <c r="S8" s="723">
        <v>1.0948309999999999E-2</v>
      </c>
      <c r="T8" s="723">
        <v>9.3895899999999997E-3</v>
      </c>
      <c r="U8" s="723">
        <v>6.2021800000000007E-3</v>
      </c>
      <c r="V8" s="723">
        <v>5.9840699999999993E-3</v>
      </c>
      <c r="W8" s="723">
        <v>6.1227299999999998E-3</v>
      </c>
      <c r="X8" s="723">
        <v>7.0273999999999996E-3</v>
      </c>
      <c r="Y8" s="725">
        <f>SUM(M8:X8)</f>
        <v>0.10683443000000002</v>
      </c>
      <c r="Z8" s="723">
        <v>7.1397500000000003E-3</v>
      </c>
      <c r="AA8" s="723">
        <v>6.3004699999999999E-3</v>
      </c>
      <c r="AB8" s="723">
        <v>6.4204399999999995E-3</v>
      </c>
      <c r="AC8" s="723">
        <v>5.8099799999999993E-3</v>
      </c>
      <c r="AD8" s="723">
        <v>6.1586399999999999E-3</v>
      </c>
      <c r="AE8" s="723">
        <v>6.6927700000000007E-3</v>
      </c>
      <c r="AF8" s="723">
        <v>7.16155E-3</v>
      </c>
      <c r="AG8" s="723">
        <v>7.0854200000000003E-3</v>
      </c>
      <c r="AH8" s="723">
        <v>6.23487E-3</v>
      </c>
      <c r="AI8" s="723">
        <v>6.0060200000000008E-3</v>
      </c>
      <c r="AJ8" s="723">
        <v>6.1585600000000004E-3</v>
      </c>
      <c r="AK8" s="723">
        <v>7.06341E-3</v>
      </c>
      <c r="AL8" s="725">
        <f>SUM(Z8:AK8)</f>
        <v>7.8231880000000018E-2</v>
      </c>
      <c r="AM8" s="724">
        <v>7.8598360000000006E-2</v>
      </c>
      <c r="AN8" s="724">
        <v>7.9186989999999999E-2</v>
      </c>
      <c r="AO8" s="842">
        <v>7.9479729999999998E-2</v>
      </c>
      <c r="AP8" s="842">
        <v>7.9808909999999997E-2</v>
      </c>
      <c r="AQ8" s="842">
        <v>8.0137920000000015E-2</v>
      </c>
      <c r="AR8" s="842">
        <v>8.0601870000000006E-2</v>
      </c>
      <c r="AS8" s="842">
        <v>8.093997E-2</v>
      </c>
      <c r="AT8" s="842">
        <v>8.1344399999999997E-2</v>
      </c>
      <c r="AU8" s="842">
        <v>8.1790599999999991E-2</v>
      </c>
      <c r="AV8" s="842">
        <v>8.2311259999999997E-2</v>
      </c>
      <c r="AW8" s="842">
        <v>8.2651120000000008E-2</v>
      </c>
      <c r="AX8" s="842"/>
      <c r="AY8" s="842"/>
    </row>
    <row r="9" spans="1:51">
      <c r="A9" s="3"/>
      <c r="C9" s="165"/>
      <c r="M9" s="78">
        <f>M4-M6-M7+M8</f>
        <v>4.163336342344337E-17</v>
      </c>
      <c r="N9" s="78">
        <f t="shared" ref="N9:Z9" si="0">N4-N6-N7+N8</f>
        <v>9.540979117872439E-17</v>
      </c>
      <c r="O9" s="78">
        <f t="shared" si="0"/>
        <v>-5.2041704279304213E-17</v>
      </c>
      <c r="P9" s="78">
        <f t="shared" si="0"/>
        <v>1.9428902930940239E-16</v>
      </c>
      <c r="Q9" s="78">
        <f t="shared" si="0"/>
        <v>-7.2858385991025898E-17</v>
      </c>
      <c r="R9" s="78">
        <f t="shared" si="0"/>
        <v>4.6837533851373792E-17</v>
      </c>
      <c r="S9" s="78">
        <f t="shared" si="0"/>
        <v>-1.3530843112619095E-16</v>
      </c>
      <c r="T9" s="78">
        <f t="shared" si="0"/>
        <v>1.0061396160665481E-16</v>
      </c>
      <c r="U9" s="78">
        <f t="shared" si="0"/>
        <v>-4.4235448637408581E-17</v>
      </c>
      <c r="V9" s="78">
        <f t="shared" si="0"/>
        <v>-5.7245874707234634E-17</v>
      </c>
      <c r="W9" s="78">
        <f t="shared" si="0"/>
        <v>-6.2450045135165055E-17</v>
      </c>
      <c r="X9" s="78">
        <f t="shared" si="0"/>
        <v>1.7347234759768071E-17</v>
      </c>
      <c r="Z9" s="78">
        <f t="shared" si="0"/>
        <v>-8.3266726846886741E-17</v>
      </c>
      <c r="AA9" s="78">
        <f t="shared" ref="AA9" si="1">AA4-AA6-AA7+AA8</f>
        <v>1.2923689896027213E-16</v>
      </c>
      <c r="AB9" s="78">
        <f t="shared" ref="AB9" si="2">AB4-AB6-AB7+AB8</f>
        <v>3.4694469519536142E-17</v>
      </c>
      <c r="AC9" s="78">
        <f t="shared" ref="AC9" si="3">AC4-AC6-AC7+AC8</f>
        <v>2.0816681711721685E-17</v>
      </c>
      <c r="AD9" s="78">
        <f t="shared" ref="AD9" si="4">AD4-AD6-AD7+AD8</f>
        <v>-5.5511151231257827E-17</v>
      </c>
      <c r="AE9" s="78">
        <f t="shared" ref="AE9" si="5">AE4-AE6-AE7+AE8</f>
        <v>-9.3675067702747583E-17</v>
      </c>
      <c r="AF9" s="78">
        <f t="shared" ref="AF9" si="6">AF4-AF6-AF7+AF8</f>
        <v>-1.8995222061946038E-16</v>
      </c>
      <c r="AG9" s="78">
        <f t="shared" ref="AG9" si="7">AG4-AG6-AG7+AG8</f>
        <v>1.5612511283791264E-17</v>
      </c>
      <c r="AH9" s="78">
        <f t="shared" ref="AH9" si="8">AH4-AH6-AH7+AH8</f>
        <v>-4.3368086899420177E-17</v>
      </c>
      <c r="AI9" s="78">
        <f t="shared" ref="AI9" si="9">AI4-AI6-AI7+AI8</f>
        <v>0</v>
      </c>
      <c r="AJ9" s="78">
        <f t="shared" ref="AJ9" si="10">AJ4-AJ6-AJ7+AJ8</f>
        <v>-3.4694469519536142E-17</v>
      </c>
      <c r="AK9" s="78">
        <f t="shared" ref="AK9:AW9" si="11">AK4-AK6-AK7+AK8</f>
        <v>-6.1582683397176652E-17</v>
      </c>
      <c r="AM9" s="78">
        <f t="shared" si="11"/>
        <v>-1.6375789613221059E-15</v>
      </c>
      <c r="AN9" s="78">
        <f t="shared" si="11"/>
        <v>-5.134781488891349E-16</v>
      </c>
      <c r="AO9" s="78">
        <f t="shared" si="11"/>
        <v>-3.6082248300317588E-16</v>
      </c>
      <c r="AP9" s="78">
        <f t="shared" si="11"/>
        <v>0</v>
      </c>
      <c r="AQ9" s="78">
        <f t="shared" si="11"/>
        <v>-6.2450045135165055E-16</v>
      </c>
      <c r="AR9" s="78">
        <f t="shared" si="11"/>
        <v>-4.5796699765787707E-16</v>
      </c>
      <c r="AS9" s="78">
        <f t="shared" si="11"/>
        <v>4.163336342344337E-16</v>
      </c>
      <c r="AT9" s="78">
        <f t="shared" si="11"/>
        <v>-5.4123372450476381E-16</v>
      </c>
      <c r="AU9" s="78">
        <f t="shared" si="11"/>
        <v>-4.4408920985006262E-16</v>
      </c>
      <c r="AV9" s="78">
        <f t="shared" si="11"/>
        <v>-8.3266726846886741E-16</v>
      </c>
      <c r="AW9" s="78">
        <f t="shared" si="11"/>
        <v>1.429412144204889E-15</v>
      </c>
    </row>
    <row r="10" spans="1:51">
      <c r="A10" s="3"/>
      <c r="B10" s="33" t="s">
        <v>197</v>
      </c>
      <c r="C10" s="166"/>
      <c r="D10" s="33"/>
      <c r="E10" s="33"/>
      <c r="F10" s="33"/>
      <c r="G10" s="33"/>
      <c r="H10" s="33"/>
      <c r="I10" s="33"/>
      <c r="J10" s="33"/>
      <c r="K10" s="33"/>
      <c r="L10" s="303"/>
    </row>
    <row r="11" spans="1:51" s="13" customFormat="1">
      <c r="A11" s="12"/>
      <c r="B11" s="13" t="s">
        <v>198</v>
      </c>
      <c r="C11" s="165"/>
      <c r="D11" s="250"/>
      <c r="E11" s="250"/>
      <c r="F11" s="250"/>
      <c r="G11" s="250"/>
      <c r="H11" s="250"/>
      <c r="I11" s="250"/>
      <c r="J11" s="250"/>
      <c r="K11" s="250"/>
      <c r="L11" s="304"/>
      <c r="M11" s="74">
        <f>Fuel!M50+PCM!N66</f>
        <v>25.113392422954558</v>
      </c>
      <c r="N11" s="74">
        <f>Fuel!N50+PCM!O66</f>
        <v>22.616034825372065</v>
      </c>
      <c r="O11" s="74">
        <f>Fuel!O50+PCM!P66</f>
        <v>24.407636931757459</v>
      </c>
      <c r="P11" s="74">
        <f>Fuel!P50+PCM!Q66</f>
        <v>21.311475079581871</v>
      </c>
      <c r="Q11" s="74">
        <f>Fuel!Q50+PCM!R66</f>
        <v>21.568327921833152</v>
      </c>
      <c r="R11" s="74">
        <f>Fuel!R50+PCM!S66</f>
        <v>23.149581825439508</v>
      </c>
      <c r="S11" s="74">
        <f>Fuel!S50+PCM!T66</f>
        <v>25.277172425147885</v>
      </c>
      <c r="T11" s="74">
        <f>Fuel!T50+PCM!U66</f>
        <v>24.257240767277246</v>
      </c>
      <c r="U11" s="74">
        <f>Fuel!U50+PCM!V66</f>
        <v>17.198468471984057</v>
      </c>
      <c r="V11" s="74">
        <f>Fuel!V50+PCM!W66</f>
        <v>18.345805477089559</v>
      </c>
      <c r="W11" s="74">
        <f>Fuel!W50+PCM!X66</f>
        <v>17.841437784980361</v>
      </c>
      <c r="X11" s="74">
        <f>Fuel!X50+PCM!Y66</f>
        <v>18.336793560391612</v>
      </c>
      <c r="Y11" s="211">
        <f>SUM(M11:X11)</f>
        <v>259.42336749380934</v>
      </c>
      <c r="Z11" s="74">
        <f>Fuel!Z50+PCM!AA66</f>
        <v>18.973003182128164</v>
      </c>
      <c r="AA11" s="74">
        <f>Fuel!AA50+PCM!AB66</f>
        <v>17.168811465258852</v>
      </c>
      <c r="AB11" s="74">
        <f>Fuel!AB50+PCM!AC66</f>
        <v>16.396255136669687</v>
      </c>
      <c r="AC11" s="74">
        <f>Fuel!AC50+PCM!AD66</f>
        <v>14.896273880829446</v>
      </c>
      <c r="AD11" s="74">
        <f>Fuel!AD50+PCM!AE66</f>
        <v>15.601913345511006</v>
      </c>
      <c r="AE11" s="74">
        <f>Fuel!AE50+PCM!AF66</f>
        <v>17.885102671895979</v>
      </c>
      <c r="AF11" s="74">
        <f>Fuel!AF50+PCM!AG66</f>
        <v>18.616847702349848</v>
      </c>
      <c r="AG11" s="74">
        <f>Fuel!AG50+PCM!AH66</f>
        <v>18.56842847289996</v>
      </c>
      <c r="AH11" s="74">
        <f>Fuel!AH50+PCM!AI66</f>
        <v>17.861306221382545</v>
      </c>
      <c r="AI11" s="74">
        <f>Fuel!AI50+PCM!AJ66</f>
        <v>18.913997906179759</v>
      </c>
      <c r="AJ11" s="74">
        <f>Fuel!AJ50+PCM!AK66</f>
        <v>18.265236563167232</v>
      </c>
      <c r="AK11" s="74">
        <f>Fuel!AK50+PCM!AL66</f>
        <v>18.642165603891964</v>
      </c>
      <c r="AL11" s="211">
        <f>SUM(Z11:AK11)</f>
        <v>211.78934215216441</v>
      </c>
      <c r="AM11" s="74">
        <f>Fuel!AM50+PCM!AN66</f>
        <v>224.45413771892913</v>
      </c>
      <c r="AN11" s="74">
        <f>Fuel!AN50+PCM!AO66</f>
        <v>227.01466077559803</v>
      </c>
      <c r="AO11" s="74">
        <f>Fuel!AO50+PCM!AP66</f>
        <v>235.33391194561108</v>
      </c>
      <c r="AP11" s="74">
        <f>Fuel!AP50+PCM!AQ66</f>
        <v>245.20120389911753</v>
      </c>
      <c r="AQ11" s="74">
        <f>Fuel!AQ50+PCM!AR66</f>
        <v>357.54335004477582</v>
      </c>
      <c r="AR11" s="74">
        <f>Fuel!AR50+PCM!AS66</f>
        <v>399.32828924956647</v>
      </c>
      <c r="AS11" s="74">
        <f>Fuel!AS50+PCM!AT66</f>
        <v>405.44186513971198</v>
      </c>
      <c r="AT11" s="74">
        <f>Fuel!AT50+PCM!AU66</f>
        <v>431.96819721397401</v>
      </c>
      <c r="AU11" s="74">
        <f>Fuel!AU50+PCM!AV66</f>
        <v>437.01445666471557</v>
      </c>
      <c r="AV11" s="74">
        <f>Fuel!AV50+PCM!AW66</f>
        <v>452.25799034013204</v>
      </c>
      <c r="AW11" s="74">
        <f>Fuel!AW50+PCM!AX66</f>
        <v>474.80552014171883</v>
      </c>
      <c r="AX11" s="726"/>
      <c r="AY11" s="726"/>
    </row>
    <row r="12" spans="1:51" s="13" customFormat="1">
      <c r="A12" s="12"/>
      <c r="C12" s="165"/>
      <c r="L12" s="88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211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211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26"/>
      <c r="AY12" s="726"/>
    </row>
    <row r="13" spans="1:51" s="13" customFormat="1">
      <c r="A13" s="12"/>
      <c r="B13" s="13" t="s">
        <v>199</v>
      </c>
      <c r="C13" s="165"/>
      <c r="D13" s="31"/>
      <c r="E13" s="31"/>
      <c r="F13" s="31"/>
      <c r="G13" s="31"/>
      <c r="H13" s="31"/>
      <c r="I13" s="31"/>
      <c r="J13" s="31"/>
      <c r="K13" s="31"/>
      <c r="L13" s="172"/>
      <c r="M13" s="726">
        <f>M11/(M6-(M8/(M4+M8)*M6))</f>
        <v>24.88728474422787</v>
      </c>
      <c r="N13" s="726">
        <f>N11/(N6-(N8/(N4+N8)*N6))</f>
        <v>25.041631880121678</v>
      </c>
      <c r="O13" s="726">
        <f t="shared" ref="O13:V13" si="12">O11/(O6-(O8/(O4+O8)*O6))</f>
        <v>25.118666001932258</v>
      </c>
      <c r="P13" s="726">
        <f t="shared" si="12"/>
        <v>25.203854078878713</v>
      </c>
      <c r="Q13" s="726">
        <f t="shared" si="12"/>
        <v>25.10672701037042</v>
      </c>
      <c r="R13" s="726">
        <f t="shared" si="12"/>
        <v>25.170654115013527</v>
      </c>
      <c r="S13" s="726">
        <f t="shared" si="12"/>
        <v>25.589551812393566</v>
      </c>
      <c r="T13" s="726">
        <f t="shared" si="12"/>
        <v>25.17297637157699</v>
      </c>
      <c r="U13" s="726">
        <f t="shared" si="12"/>
        <v>25.705476266937751</v>
      </c>
      <c r="V13" s="726">
        <f t="shared" si="12"/>
        <v>25.76785960091896</v>
      </c>
      <c r="W13" s="726">
        <f>W11/(W6-(W8/(W4+W8)*W6))</f>
        <v>25.89590039273445</v>
      </c>
      <c r="X13" s="726">
        <f>X11/(X6-(X8/(X4+X8)*X6))</f>
        <v>25.977876834771607</v>
      </c>
      <c r="Y13" s="727">
        <f>SUMPRODUCT(M13:X13,M4:X4)/Y4</f>
        <v>25.343386623847959</v>
      </c>
      <c r="Z13" s="726">
        <f>Z11/(Z6-(Z8/(Z4+Z8)*Z6))</f>
        <v>26.150187880070074</v>
      </c>
      <c r="AA13" s="726">
        <f t="shared" ref="AA13:AW13" si="13">AA11/(AA6-(AA8/(AA4+AA8)*AA6))</f>
        <v>26.382347329187354</v>
      </c>
      <c r="AB13" s="726">
        <f t="shared" si="13"/>
        <v>26.621434336674753</v>
      </c>
      <c r="AC13" s="726">
        <f t="shared" si="13"/>
        <v>26.794928053164622</v>
      </c>
      <c r="AD13" s="726">
        <f t="shared" si="13"/>
        <v>26.867395979896319</v>
      </c>
      <c r="AE13" s="726">
        <f t="shared" si="13"/>
        <v>26.707410561029722</v>
      </c>
      <c r="AF13" s="726">
        <f t="shared" si="13"/>
        <v>26.719353811449945</v>
      </c>
      <c r="AG13" s="726">
        <f t="shared" si="13"/>
        <v>26.73521495264421</v>
      </c>
      <c r="AH13" s="726">
        <f t="shared" si="13"/>
        <v>26.798928430409422</v>
      </c>
      <c r="AI13" s="726">
        <f t="shared" si="13"/>
        <v>26.72446311743704</v>
      </c>
      <c r="AJ13" s="726">
        <f t="shared" si="13"/>
        <v>26.777067971283433</v>
      </c>
      <c r="AK13" s="726">
        <f t="shared" si="13"/>
        <v>26.817485404944215</v>
      </c>
      <c r="AL13" s="727">
        <f>SUMPRODUCT(Z13:AK13,Z4:AK4)/AL4</f>
        <v>26.668919292446944</v>
      </c>
      <c r="AM13" s="726">
        <f t="shared" si="13"/>
        <v>28.300097347951102</v>
      </c>
      <c r="AN13" s="726">
        <f t="shared" si="13"/>
        <v>28.822402274063457</v>
      </c>
      <c r="AO13" s="726">
        <f t="shared" si="13"/>
        <v>30.152802458893756</v>
      </c>
      <c r="AP13" s="726">
        <f t="shared" si="13"/>
        <v>31.063188748969718</v>
      </c>
      <c r="AQ13" s="726">
        <f t="shared" si="13"/>
        <v>31.299995864277104</v>
      </c>
      <c r="AR13" s="726">
        <f t="shared" si="13"/>
        <v>32.894637495500604</v>
      </c>
      <c r="AS13" s="726">
        <f t="shared" si="13"/>
        <v>34.40845356858118</v>
      </c>
      <c r="AT13" s="726">
        <f t="shared" si="13"/>
        <v>35.670219816065071</v>
      </c>
      <c r="AU13" s="726">
        <f t="shared" si="13"/>
        <v>37.354075375816748</v>
      </c>
      <c r="AV13" s="726">
        <f t="shared" si="13"/>
        <v>38.076773376224786</v>
      </c>
      <c r="AW13" s="726">
        <f t="shared" si="13"/>
        <v>41.208495105293366</v>
      </c>
      <c r="AX13" s="726"/>
      <c r="AY13" s="726"/>
    </row>
    <row r="14" spans="1:51" s="13" customFormat="1">
      <c r="A14" s="12"/>
      <c r="B14" s="13" t="s">
        <v>124</v>
      </c>
      <c r="C14" s="165"/>
      <c r="D14" s="31"/>
      <c r="E14" s="31"/>
      <c r="F14" s="31"/>
      <c r="G14" s="31"/>
      <c r="H14" s="31"/>
      <c r="I14" s="31"/>
      <c r="J14" s="31"/>
      <c r="K14" s="31"/>
      <c r="L14" s="172"/>
      <c r="M14" s="726">
        <f t="shared" ref="M14:X14" si="14">MIN((M11+M19)/(M6+M7-M8),M13)</f>
        <v>24.728338363693247</v>
      </c>
      <c r="N14" s="726">
        <f t="shared" si="14"/>
        <v>24.857128146884577</v>
      </c>
      <c r="O14" s="726">
        <f t="shared" si="14"/>
        <v>24.849752620866774</v>
      </c>
      <c r="P14" s="726">
        <f t="shared" si="14"/>
        <v>24.890382985878158</v>
      </c>
      <c r="Q14" s="726">
        <f t="shared" si="14"/>
        <v>24.897053543431262</v>
      </c>
      <c r="R14" s="726">
        <f t="shared" si="14"/>
        <v>25.037714740088219</v>
      </c>
      <c r="S14" s="726">
        <f t="shared" si="14"/>
        <v>25.560096182162127</v>
      </c>
      <c r="T14" s="726">
        <f t="shared" si="14"/>
        <v>25.140514410726738</v>
      </c>
      <c r="U14" s="726">
        <f t="shared" si="14"/>
        <v>25.621478518350226</v>
      </c>
      <c r="V14" s="726">
        <f t="shared" si="14"/>
        <v>25.401983530530003</v>
      </c>
      <c r="W14" s="726">
        <f t="shared" si="14"/>
        <v>25.525066342874563</v>
      </c>
      <c r="X14" s="726">
        <f t="shared" si="14"/>
        <v>25.590351567810135</v>
      </c>
      <c r="Y14" s="727">
        <f>SUMPRODUCT(M14:X14,M4:X4)/Y4</f>
        <v>25.140968853427641</v>
      </c>
      <c r="Z14" s="726">
        <f t="shared" ref="Z14:AK14" si="15">MIN((Z11+Z19)/(Z6+Z7-Z8),Z13)</f>
        <v>25.818685679806119</v>
      </c>
      <c r="AA14" s="726">
        <f t="shared" si="15"/>
        <v>25.98716848820732</v>
      </c>
      <c r="AB14" s="726">
        <f t="shared" si="15"/>
        <v>26.132559462207656</v>
      </c>
      <c r="AC14" s="726">
        <f t="shared" si="15"/>
        <v>26.254504653430974</v>
      </c>
      <c r="AD14" s="726">
        <f t="shared" si="15"/>
        <v>26.363573110256681</v>
      </c>
      <c r="AE14" s="726">
        <f t="shared" si="15"/>
        <v>26.561981560548197</v>
      </c>
      <c r="AF14" s="726">
        <f t="shared" si="15"/>
        <v>26.583789436178382</v>
      </c>
      <c r="AG14" s="726">
        <f t="shared" si="15"/>
        <v>26.622344155591385</v>
      </c>
      <c r="AH14" s="726">
        <f t="shared" si="15"/>
        <v>26.693746341633652</v>
      </c>
      <c r="AI14" s="726">
        <f t="shared" si="15"/>
        <v>26.311839229209479</v>
      </c>
      <c r="AJ14" s="726">
        <f t="shared" si="15"/>
        <v>26.35667182307467</v>
      </c>
      <c r="AK14" s="726">
        <f t="shared" si="15"/>
        <v>26.37207671691429</v>
      </c>
      <c r="AL14" s="727">
        <f>SUMPRODUCT(Z14:AK14,Z4:AK4)/AL4</f>
        <v>26.335815130494705</v>
      </c>
      <c r="AM14" s="726">
        <f t="shared" ref="AM14:AW14" si="16">MIN((AM11+AM19)/(AM6+AM7-AM8),AM13)</f>
        <v>27.374933794245493</v>
      </c>
      <c r="AN14" s="726">
        <f t="shared" si="16"/>
        <v>27.866455672744028</v>
      </c>
      <c r="AO14" s="726">
        <f t="shared" si="16"/>
        <v>29.103141078915254</v>
      </c>
      <c r="AP14" s="726">
        <f t="shared" si="16"/>
        <v>30.021843981659991</v>
      </c>
      <c r="AQ14" s="726">
        <f t="shared" si="16"/>
        <v>30.592015449552427</v>
      </c>
      <c r="AR14" s="726">
        <f t="shared" si="16"/>
        <v>32.194019941767479</v>
      </c>
      <c r="AS14" s="726">
        <f t="shared" si="16"/>
        <v>33.650998434024594</v>
      </c>
      <c r="AT14" s="726">
        <f t="shared" si="16"/>
        <v>34.90521394699941</v>
      </c>
      <c r="AU14" s="726">
        <f t="shared" si="16"/>
        <v>36.526056537842713</v>
      </c>
      <c r="AV14" s="726">
        <f t="shared" si="16"/>
        <v>37.244925925514494</v>
      </c>
      <c r="AW14" s="726">
        <f t="shared" si="16"/>
        <v>40.281098915653871</v>
      </c>
      <c r="AX14" s="726"/>
      <c r="AY14" s="726"/>
    </row>
    <row r="15" spans="1:51" s="13" customFormat="1">
      <c r="A15" s="12"/>
      <c r="B15" s="13" t="s">
        <v>200</v>
      </c>
      <c r="C15" s="165"/>
      <c r="D15" s="57"/>
      <c r="E15" s="57"/>
      <c r="F15" s="57"/>
      <c r="G15" s="57"/>
      <c r="H15" s="57"/>
      <c r="I15" s="57"/>
      <c r="J15" s="57"/>
      <c r="K15" s="57"/>
      <c r="L15" s="173"/>
      <c r="M15" s="578">
        <f>-10.72-10.212</f>
        <v>-20.932000000000002</v>
      </c>
      <c r="N15" s="578">
        <f t="shared" ref="N15:AW15" si="17">-10.72-10.212</f>
        <v>-20.932000000000002</v>
      </c>
      <c r="O15" s="578">
        <f t="shared" si="17"/>
        <v>-20.932000000000002</v>
      </c>
      <c r="P15" s="578">
        <f t="shared" si="17"/>
        <v>-20.932000000000002</v>
      </c>
      <c r="Q15" s="578">
        <f t="shared" si="17"/>
        <v>-20.932000000000002</v>
      </c>
      <c r="R15" s="578">
        <f t="shared" si="17"/>
        <v>-20.932000000000002</v>
      </c>
      <c r="S15" s="578">
        <f t="shared" si="17"/>
        <v>-20.932000000000002</v>
      </c>
      <c r="T15" s="578">
        <f t="shared" si="17"/>
        <v>-20.932000000000002</v>
      </c>
      <c r="U15" s="578">
        <f t="shared" si="17"/>
        <v>-20.932000000000002</v>
      </c>
      <c r="V15" s="578">
        <f t="shared" si="17"/>
        <v>-20.932000000000002</v>
      </c>
      <c r="W15" s="578">
        <f t="shared" si="17"/>
        <v>-20.932000000000002</v>
      </c>
      <c r="X15" s="578">
        <f t="shared" si="17"/>
        <v>-20.932000000000002</v>
      </c>
      <c r="Y15" s="731"/>
      <c r="Z15" s="578">
        <f t="shared" si="17"/>
        <v>-20.932000000000002</v>
      </c>
      <c r="AA15" s="578">
        <f t="shared" si="17"/>
        <v>-20.932000000000002</v>
      </c>
      <c r="AB15" s="578">
        <f t="shared" si="17"/>
        <v>-20.932000000000002</v>
      </c>
      <c r="AC15" s="578">
        <f t="shared" si="17"/>
        <v>-20.932000000000002</v>
      </c>
      <c r="AD15" s="578">
        <f t="shared" si="17"/>
        <v>-20.932000000000002</v>
      </c>
      <c r="AE15" s="578">
        <f t="shared" si="17"/>
        <v>-20.932000000000002</v>
      </c>
      <c r="AF15" s="578">
        <f t="shared" si="17"/>
        <v>-20.932000000000002</v>
      </c>
      <c r="AG15" s="578">
        <f t="shared" si="17"/>
        <v>-20.932000000000002</v>
      </c>
      <c r="AH15" s="578">
        <f t="shared" si="17"/>
        <v>-20.932000000000002</v>
      </c>
      <c r="AI15" s="578">
        <f t="shared" si="17"/>
        <v>-20.932000000000002</v>
      </c>
      <c r="AJ15" s="578">
        <f t="shared" si="17"/>
        <v>-20.932000000000002</v>
      </c>
      <c r="AK15" s="578">
        <f t="shared" si="17"/>
        <v>-20.932000000000002</v>
      </c>
      <c r="AL15" s="731"/>
      <c r="AM15" s="578">
        <f t="shared" si="17"/>
        <v>-20.932000000000002</v>
      </c>
      <c r="AN15" s="578">
        <f t="shared" si="17"/>
        <v>-20.932000000000002</v>
      </c>
      <c r="AO15" s="578">
        <f t="shared" si="17"/>
        <v>-20.932000000000002</v>
      </c>
      <c r="AP15" s="578">
        <f t="shared" si="17"/>
        <v>-20.932000000000002</v>
      </c>
      <c r="AQ15" s="578">
        <f t="shared" si="17"/>
        <v>-20.932000000000002</v>
      </c>
      <c r="AR15" s="578">
        <f t="shared" si="17"/>
        <v>-20.932000000000002</v>
      </c>
      <c r="AS15" s="578">
        <f t="shared" si="17"/>
        <v>-20.932000000000002</v>
      </c>
      <c r="AT15" s="578">
        <f t="shared" si="17"/>
        <v>-20.932000000000002</v>
      </c>
      <c r="AU15" s="578">
        <f t="shared" si="17"/>
        <v>-20.932000000000002</v>
      </c>
      <c r="AV15" s="578">
        <f t="shared" si="17"/>
        <v>-20.932000000000002</v>
      </c>
      <c r="AW15" s="578">
        <f t="shared" si="17"/>
        <v>-20.932000000000002</v>
      </c>
      <c r="AX15" s="519"/>
      <c r="AY15" s="519"/>
    </row>
    <row r="16" spans="1:51" s="13" customFormat="1">
      <c r="A16" s="12"/>
      <c r="B16" s="13" t="s">
        <v>201</v>
      </c>
      <c r="C16" s="165"/>
      <c r="D16" s="57"/>
      <c r="E16" s="57"/>
      <c r="F16" s="57"/>
      <c r="G16" s="57"/>
      <c r="H16" s="57"/>
      <c r="I16" s="57"/>
      <c r="J16" s="57"/>
      <c r="K16" s="57"/>
      <c r="L16" s="173"/>
      <c r="M16" s="74">
        <f>SUM(M14:M15)</f>
        <v>3.7963383636932448</v>
      </c>
      <c r="N16" s="74">
        <f t="shared" ref="N16:AK16" si="18">SUM(N14:N15)</f>
        <v>3.9251281468845747</v>
      </c>
      <c r="O16" s="74">
        <f t="shared" si="18"/>
        <v>3.9177526208667715</v>
      </c>
      <c r="P16" s="74">
        <f t="shared" si="18"/>
        <v>3.9583829858781563</v>
      </c>
      <c r="Q16" s="74">
        <f t="shared" si="18"/>
        <v>3.9650535434312602</v>
      </c>
      <c r="R16" s="74">
        <f t="shared" si="18"/>
        <v>4.1057147400882172</v>
      </c>
      <c r="S16" s="74">
        <f t="shared" si="18"/>
        <v>4.6280961821621247</v>
      </c>
      <c r="T16" s="74">
        <f t="shared" si="18"/>
        <v>4.2085144107267354</v>
      </c>
      <c r="U16" s="74">
        <f t="shared" si="18"/>
        <v>4.6894785183502243</v>
      </c>
      <c r="V16" s="74">
        <f t="shared" si="18"/>
        <v>4.4699835305300013</v>
      </c>
      <c r="W16" s="74">
        <f>SUM(W14:W15)</f>
        <v>4.5930663428745611</v>
      </c>
      <c r="X16" s="74">
        <f t="shared" si="18"/>
        <v>4.6583515678101328</v>
      </c>
      <c r="Y16" s="211"/>
      <c r="Z16" s="74">
        <f t="shared" si="18"/>
        <v>4.8866856798061171</v>
      </c>
      <c r="AA16" s="74">
        <f t="shared" si="18"/>
        <v>5.0551684882073182</v>
      </c>
      <c r="AB16" s="74">
        <f t="shared" si="18"/>
        <v>5.2005594622076536</v>
      </c>
      <c r="AC16" s="74">
        <f t="shared" si="18"/>
        <v>5.3225046534309719</v>
      </c>
      <c r="AD16" s="74">
        <f t="shared" si="18"/>
        <v>5.4315731102566787</v>
      </c>
      <c r="AE16" s="74">
        <f t="shared" si="18"/>
        <v>5.6299815605481953</v>
      </c>
      <c r="AF16" s="74">
        <f t="shared" si="18"/>
        <v>5.6517894361783796</v>
      </c>
      <c r="AG16" s="74">
        <f t="shared" si="18"/>
        <v>5.690344155591383</v>
      </c>
      <c r="AH16" s="74">
        <f t="shared" si="18"/>
        <v>5.7617463416336498</v>
      </c>
      <c r="AI16" s="74">
        <f t="shared" si="18"/>
        <v>5.3798392292094768</v>
      </c>
      <c r="AJ16" s="74">
        <f t="shared" si="18"/>
        <v>5.424671823074668</v>
      </c>
      <c r="AK16" s="74">
        <f t="shared" si="18"/>
        <v>5.4400767169142874</v>
      </c>
      <c r="AL16" s="211"/>
      <c r="AM16" s="74">
        <f>SUM(AM14:AM15)</f>
        <v>6.4429337942454907</v>
      </c>
      <c r="AN16" s="74">
        <f>SUM(AN14:AN15)</f>
        <v>6.9344556727440256</v>
      </c>
      <c r="AO16" s="74">
        <f t="shared" ref="AO16:AW16" si="19">SUM(AO14:AO15)</f>
        <v>8.1711410789152517</v>
      </c>
      <c r="AP16" s="74">
        <f t="shared" si="19"/>
        <v>9.089843981659989</v>
      </c>
      <c r="AQ16" s="74">
        <f t="shared" si="19"/>
        <v>9.6600154495524251</v>
      </c>
      <c r="AR16" s="74">
        <f t="shared" si="19"/>
        <v>11.262019941767477</v>
      </c>
      <c r="AS16" s="74">
        <f t="shared" si="19"/>
        <v>12.718998434024591</v>
      </c>
      <c r="AT16" s="74">
        <f t="shared" si="19"/>
        <v>13.973213946999408</v>
      </c>
      <c r="AU16" s="74">
        <f t="shared" si="19"/>
        <v>15.594056537842711</v>
      </c>
      <c r="AV16" s="74">
        <f t="shared" si="19"/>
        <v>16.312925925514492</v>
      </c>
      <c r="AW16" s="74">
        <f t="shared" si="19"/>
        <v>19.349098915653869</v>
      </c>
      <c r="AX16" s="726"/>
      <c r="AY16" s="726"/>
    </row>
    <row r="17" spans="1:51" s="13" customFormat="1">
      <c r="A17" s="12"/>
      <c r="C17" s="165"/>
      <c r="L17" s="88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211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211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26"/>
      <c r="AY17" s="726"/>
    </row>
    <row r="18" spans="1:51" s="13" customFormat="1">
      <c r="A18" s="12"/>
      <c r="B18" s="49" t="s">
        <v>202</v>
      </c>
      <c r="C18" s="166"/>
      <c r="D18" s="49"/>
      <c r="E18" s="49"/>
      <c r="F18" s="49"/>
      <c r="G18" s="49"/>
      <c r="H18" s="49"/>
      <c r="I18" s="49"/>
      <c r="J18" s="49"/>
      <c r="K18" s="49"/>
      <c r="L18" s="30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211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211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26"/>
      <c r="AY18" s="726"/>
    </row>
    <row r="19" spans="1:51" s="13" customFormat="1">
      <c r="A19" s="12"/>
      <c r="B19" s="13" t="s">
        <v>74</v>
      </c>
      <c r="C19" s="165"/>
      <c r="D19" s="14"/>
      <c r="E19" s="14"/>
      <c r="F19" s="14"/>
      <c r="G19" s="14"/>
      <c r="H19" s="14"/>
      <c r="I19" s="14"/>
      <c r="J19" s="14"/>
      <c r="K19" s="14"/>
      <c r="L19" s="171"/>
      <c r="M19" s="74">
        <f>PCM!N65-M20</f>
        <v>1.2340264766000002</v>
      </c>
      <c r="N19" s="74">
        <f>PCM!O65-N20</f>
        <v>1.1444701562000004</v>
      </c>
      <c r="O19" s="74">
        <f>PCM!P65-O20</f>
        <v>1.0635635211000001</v>
      </c>
      <c r="P19" s="74">
        <f>PCM!Q65-P20</f>
        <v>1.3342782344000002</v>
      </c>
      <c r="Q19" s="74">
        <f>PCM!R65-Q20</f>
        <v>1.7819438863999999</v>
      </c>
      <c r="R19" s="74">
        <f>PCM!S65-R20</f>
        <v>0.9140481340000004</v>
      </c>
      <c r="S19" s="74">
        <f>PCM!T65-S20</f>
        <v>1.0191181716999995</v>
      </c>
      <c r="T19" s="74">
        <f>PCM!U65-T20</f>
        <v>0.80080873370000027</v>
      </c>
      <c r="U19" s="74">
        <f>PCM!V65-U20</f>
        <v>0.21425420379999999</v>
      </c>
      <c r="V19" s="74">
        <f>PCM!W65-V20</f>
        <v>0.62037062520000008</v>
      </c>
      <c r="W19" s="74">
        <f>PCM!X65-W20</f>
        <v>0.62889509349999995</v>
      </c>
      <c r="X19" s="74">
        <f>PCM!Y65-X20</f>
        <v>0.75822392910000014</v>
      </c>
      <c r="Y19" s="211">
        <f>SUM(M19:X19)</f>
        <v>11.5140011657</v>
      </c>
      <c r="Z19" s="74">
        <f>PCM!AA65-Z20</f>
        <v>0.83184370620000014</v>
      </c>
      <c r="AA19" s="74">
        <f>PCM!AB65-AA20</f>
        <v>0.63960597060000013</v>
      </c>
      <c r="AB19" s="74">
        <f>PCM!AC65-AB20</f>
        <v>0.84082394199999988</v>
      </c>
      <c r="AC19" s="74">
        <f>PCM!AD65-AC20</f>
        <v>0.84001564510000004</v>
      </c>
      <c r="AD19" s="74">
        <f>PCM!AE65-AD20</f>
        <v>0.90175565769999988</v>
      </c>
      <c r="AE19" s="74">
        <f>PCM!AF65-AE20</f>
        <v>0.2895430154000001</v>
      </c>
      <c r="AF19" s="74">
        <f>PCM!AG65-AF20</f>
        <v>0.30312792689999996</v>
      </c>
      <c r="AG19" s="74">
        <f>PCM!AH65-AG20</f>
        <v>0.34576867850000009</v>
      </c>
      <c r="AH19" s="74">
        <f>PCM!AI65-AH20</f>
        <v>0.20746644980000001</v>
      </c>
      <c r="AI19" s="74">
        <f>PCM!AJ65-AI20</f>
        <v>0.61924795299999991</v>
      </c>
      <c r="AJ19" s="74">
        <f>PCM!AK65-AJ20</f>
        <v>0.62835360159999998</v>
      </c>
      <c r="AK19" s="74">
        <f>PCM!AL65-AK20</f>
        <v>0.83784497870000019</v>
      </c>
      <c r="AL19" s="211">
        <f>SUM(Z19:AK19)</f>
        <v>7.2853975255000005</v>
      </c>
      <c r="AM19" s="74">
        <f>PCM!AN65-AM20</f>
        <v>2.5058812575999987</v>
      </c>
      <c r="AN19" s="74">
        <f>PCM!AO65-AN20</f>
        <v>3.1282986090999998</v>
      </c>
      <c r="AO19" s="74">
        <f>PCM!AP65-AO20</f>
        <v>3.7426968240000011</v>
      </c>
      <c r="AP19" s="74">
        <f>PCM!AQ65-AP20</f>
        <v>3.6104256716999998</v>
      </c>
      <c r="AQ19" s="74">
        <f>PCM!AR65-AQ20</f>
        <v>0.18195605590000064</v>
      </c>
      <c r="AR19" s="74">
        <f>PCM!AS65-AR20</f>
        <v>0.11185580339999923</v>
      </c>
      <c r="AS19" s="74">
        <f>PCM!AT65-AS20</f>
        <v>0.10325589179999994</v>
      </c>
      <c r="AT19" s="74">
        <f>PCM!AU65-AT20</f>
        <v>7.6136057999999451E-2</v>
      </c>
      <c r="AU19" s="74">
        <f>PCM!AV65-AU20</f>
        <v>9.4355474100000336E-2</v>
      </c>
      <c r="AV19" s="74">
        <f>PCM!AW65-AV20</f>
        <v>0.12069862090000072</v>
      </c>
      <c r="AW19" s="74">
        <f>PCM!AX65-AW20</f>
        <v>0.17989253220000023</v>
      </c>
      <c r="AX19" s="726"/>
      <c r="AY19" s="726"/>
    </row>
    <row r="20" spans="1:51" s="13" customFormat="1">
      <c r="A20" s="12"/>
      <c r="B20" s="13" t="s">
        <v>71</v>
      </c>
      <c r="C20" s="165"/>
      <c r="D20" s="14"/>
      <c r="E20" s="14"/>
      <c r="F20" s="14"/>
      <c r="G20" s="14"/>
      <c r="H20" s="14"/>
      <c r="I20" s="14"/>
      <c r="J20" s="14"/>
      <c r="K20" s="14"/>
      <c r="L20" s="171"/>
      <c r="M20" s="74">
        <f>PCM!N61</f>
        <v>0.26876499999999998</v>
      </c>
      <c r="N20" s="74">
        <f>PCM!O61</f>
        <v>0.26876499999999998</v>
      </c>
      <c r="O20" s="74">
        <f>PCM!P61</f>
        <v>0.26876499999999998</v>
      </c>
      <c r="P20" s="74">
        <f>PCM!Q61</f>
        <v>0.26876499999999998</v>
      </c>
      <c r="Q20" s="74">
        <f>PCM!R61</f>
        <v>0.26876499999999998</v>
      </c>
      <c r="R20" s="74">
        <f>PCM!S61</f>
        <v>0.26876499999999998</v>
      </c>
      <c r="S20" s="74">
        <f>PCM!T61</f>
        <v>0.26876499999999998</v>
      </c>
      <c r="T20" s="74">
        <f>PCM!U61</f>
        <v>0.26876499999999998</v>
      </c>
      <c r="U20" s="74">
        <f>PCM!V61</f>
        <v>0.26876499999999998</v>
      </c>
      <c r="V20" s="74">
        <f>PCM!W61</f>
        <v>0.26876499999999998</v>
      </c>
      <c r="W20" s="74">
        <f>PCM!X61</f>
        <v>0.26876499999999998</v>
      </c>
      <c r="X20" s="74">
        <f>PCM!Y61</f>
        <v>0.26876499999999998</v>
      </c>
      <c r="Y20" s="211">
        <f>SUM(M20:X20)</f>
        <v>3.2251800000000004</v>
      </c>
      <c r="Z20" s="74">
        <f>PCM!AA61</f>
        <v>0.27682800000000002</v>
      </c>
      <c r="AA20" s="74">
        <f>PCM!AB61</f>
        <v>0.27682800000000002</v>
      </c>
      <c r="AB20" s="74">
        <f>PCM!AC61</f>
        <v>0.27682800000000002</v>
      </c>
      <c r="AC20" s="74">
        <f>PCM!AD61</f>
        <v>0.27682800000000002</v>
      </c>
      <c r="AD20" s="74">
        <f>PCM!AE61</f>
        <v>0.27682800000000002</v>
      </c>
      <c r="AE20" s="74">
        <f>PCM!AF61</f>
        <v>0.27682800000000002</v>
      </c>
      <c r="AF20" s="74">
        <f>PCM!AG61</f>
        <v>0.27682800000000002</v>
      </c>
      <c r="AG20" s="74">
        <f>PCM!AH61</f>
        <v>0.27682800000000002</v>
      </c>
      <c r="AH20" s="74">
        <f>PCM!AI61</f>
        <v>0.27682800000000002</v>
      </c>
      <c r="AI20" s="74">
        <f>PCM!AJ61</f>
        <v>0.27682800000000002</v>
      </c>
      <c r="AJ20" s="74">
        <f>PCM!AK61</f>
        <v>0.27682800000000002</v>
      </c>
      <c r="AK20" s="74">
        <f>PCM!AL61</f>
        <v>0.27682800000000002</v>
      </c>
      <c r="AL20" s="211">
        <f>SUM(Z20:AK20)</f>
        <v>3.3219360000000004</v>
      </c>
      <c r="AM20" s="74">
        <f>PCM!AN61</f>
        <v>12.422228399999998</v>
      </c>
      <c r="AN20" s="74">
        <f>PCM!AO61</f>
        <v>12.422228399999998</v>
      </c>
      <c r="AO20" s="74">
        <f>PCM!AP61</f>
        <v>12.4222284</v>
      </c>
      <c r="AP20" s="74">
        <f>PCM!AQ61</f>
        <v>13.04333982</v>
      </c>
      <c r="AQ20" s="74">
        <f>PCM!AR61</f>
        <v>13.04333982</v>
      </c>
      <c r="AR20" s="74">
        <f>PCM!AS61</f>
        <v>13.04333982</v>
      </c>
      <c r="AS20" s="74">
        <f>PCM!AT61</f>
        <v>13.695506811000001</v>
      </c>
      <c r="AT20" s="74">
        <f>PCM!AU61</f>
        <v>13.695506811000001</v>
      </c>
      <c r="AU20" s="74">
        <f>PCM!AV61</f>
        <v>13.695506811000001</v>
      </c>
      <c r="AV20" s="74">
        <f>PCM!AW61</f>
        <v>14.38028215155</v>
      </c>
      <c r="AW20" s="74">
        <f>PCM!AX61</f>
        <v>14.38028215155</v>
      </c>
      <c r="AX20" s="726"/>
      <c r="AY20" s="726"/>
    </row>
    <row r="21" spans="1:51" s="13" customFormat="1">
      <c r="A21" s="12"/>
      <c r="B21" s="13" t="s">
        <v>829</v>
      </c>
      <c r="C21" s="165"/>
      <c r="L21" s="88"/>
      <c r="M21" s="74">
        <f>MIN(M11/M6*M7,M19)</f>
        <v>1.2340264766000002</v>
      </c>
      <c r="N21" s="74">
        <f t="shared" ref="N21:AK21" si="20">MIN(N11/N6*N7,N19)</f>
        <v>1.1444701562000004</v>
      </c>
      <c r="O21" s="74">
        <f t="shared" si="20"/>
        <v>1.0635635211000001</v>
      </c>
      <c r="P21" s="74">
        <f>MIN(P11/P6*P7,P19)</f>
        <v>1.3342782344000002</v>
      </c>
      <c r="Q21" s="74">
        <f>MIN(Q11/Q6*Q7,Q19)</f>
        <v>1.7819438863999999</v>
      </c>
      <c r="R21" s="74">
        <f>MIN(R11/R6*R7,R19)</f>
        <v>0.9140481340000004</v>
      </c>
      <c r="S21" s="74">
        <f t="shared" si="20"/>
        <v>1.0191181716999995</v>
      </c>
      <c r="T21" s="74">
        <f t="shared" si="20"/>
        <v>0.80080873370000027</v>
      </c>
      <c r="U21" s="74">
        <f t="shared" si="20"/>
        <v>0.21425420379999999</v>
      </c>
      <c r="V21" s="74">
        <f t="shared" si="20"/>
        <v>0.62037062520000008</v>
      </c>
      <c r="W21" s="74">
        <f t="shared" si="20"/>
        <v>0.62889509349999995</v>
      </c>
      <c r="X21" s="74">
        <f t="shared" si="20"/>
        <v>0.75822392910000014</v>
      </c>
      <c r="Y21" s="211">
        <f>SUM(M21:X21)</f>
        <v>11.5140011657</v>
      </c>
      <c r="Z21" s="74">
        <f t="shared" si="20"/>
        <v>0.83184370620000014</v>
      </c>
      <c r="AA21" s="74">
        <f t="shared" si="20"/>
        <v>0.63960597060000013</v>
      </c>
      <c r="AB21" s="74">
        <f t="shared" si="20"/>
        <v>0.84082394199999988</v>
      </c>
      <c r="AC21" s="74">
        <f t="shared" si="20"/>
        <v>0.84001564510000004</v>
      </c>
      <c r="AD21" s="74">
        <f t="shared" si="20"/>
        <v>0.90175565769999988</v>
      </c>
      <c r="AE21" s="74">
        <f t="shared" si="20"/>
        <v>0.2895430154000001</v>
      </c>
      <c r="AF21" s="74">
        <f t="shared" si="20"/>
        <v>0.30312792689999996</v>
      </c>
      <c r="AG21" s="74">
        <f t="shared" si="20"/>
        <v>0.34576867850000009</v>
      </c>
      <c r="AH21" s="74">
        <f t="shared" si="20"/>
        <v>0.20746644980000001</v>
      </c>
      <c r="AI21" s="74">
        <f t="shared" si="20"/>
        <v>0.61924795299999991</v>
      </c>
      <c r="AJ21" s="74">
        <f t="shared" si="20"/>
        <v>0.62835360159999998</v>
      </c>
      <c r="AK21" s="74">
        <f t="shared" si="20"/>
        <v>0.83784497870000019</v>
      </c>
      <c r="AL21" s="211">
        <f>SUM(Z21:AK21)</f>
        <v>7.2853975255000005</v>
      </c>
      <c r="AM21" s="74">
        <f>MIN(AM11/AM6*AM7,AM19)</f>
        <v>2.5058812575999987</v>
      </c>
      <c r="AN21" s="74">
        <f>MIN(AN11/AN6*AN7,AN19)</f>
        <v>3.1282986090999998</v>
      </c>
      <c r="AO21" s="74">
        <f t="shared" ref="AO21:AW21" si="21">MIN(AO11/AO6*AO7,AO19)</f>
        <v>3.7426968240000011</v>
      </c>
      <c r="AP21" s="74">
        <f t="shared" si="21"/>
        <v>3.6104256716999998</v>
      </c>
      <c r="AQ21" s="74">
        <f t="shared" si="21"/>
        <v>0.18195605590000064</v>
      </c>
      <c r="AR21" s="74">
        <f t="shared" si="21"/>
        <v>0.11185580339999923</v>
      </c>
      <c r="AS21" s="74">
        <f t="shared" si="21"/>
        <v>0.10325589179999994</v>
      </c>
      <c r="AT21" s="74">
        <f t="shared" si="21"/>
        <v>7.6136057999999451E-2</v>
      </c>
      <c r="AU21" s="74">
        <f t="shared" si="21"/>
        <v>9.4355474100000336E-2</v>
      </c>
      <c r="AV21" s="74">
        <f t="shared" si="21"/>
        <v>0.12069862090000072</v>
      </c>
      <c r="AW21" s="74">
        <f t="shared" si="21"/>
        <v>0.17989253220000023</v>
      </c>
      <c r="AX21" s="726"/>
      <c r="AY21" s="726"/>
    </row>
    <row r="22" spans="1:51" s="13" customFormat="1">
      <c r="A22" s="12"/>
      <c r="B22" s="13" t="s">
        <v>199</v>
      </c>
      <c r="C22" s="165"/>
      <c r="D22" s="31"/>
      <c r="E22" s="31"/>
      <c r="F22" s="31"/>
      <c r="G22" s="31"/>
      <c r="H22" s="31"/>
      <c r="I22" s="31"/>
      <c r="J22" s="31"/>
      <c r="K22" s="31"/>
      <c r="L22" s="172"/>
      <c r="M22" s="74">
        <f>(M19+M20-M21)/M5</f>
        <v>0.28149903580612784</v>
      </c>
      <c r="N22" s="74">
        <f t="shared" ref="N22:AW22" si="22">(N19+N20-N21)/N5</f>
        <v>0.31668072343466575</v>
      </c>
      <c r="O22" s="74">
        <f t="shared" si="22"/>
        <v>0.3002631157314164</v>
      </c>
      <c r="P22" s="74">
        <f t="shared" si="22"/>
        <v>0.32306766422245842</v>
      </c>
      <c r="Q22" s="74">
        <f t="shared" si="22"/>
        <v>0.3084825492303967</v>
      </c>
      <c r="R22" s="74">
        <f t="shared" si="22"/>
        <v>0.29848180823427883</v>
      </c>
      <c r="S22" s="74">
        <f t="shared" si="22"/>
        <v>0.28411830930087834</v>
      </c>
      <c r="T22" s="74">
        <f t="shared" si="22"/>
        <v>0.33593527789653616</v>
      </c>
      <c r="U22" s="74">
        <f t="shared" si="22"/>
        <v>0.52150631280709081</v>
      </c>
      <c r="V22" s="74">
        <f t="shared" si="22"/>
        <v>0.53628673482871958</v>
      </c>
      <c r="W22" s="74">
        <f t="shared" si="22"/>
        <v>0.52101417776185288</v>
      </c>
      <c r="X22" s="74">
        <f t="shared" si="22"/>
        <v>0.45333965354914152</v>
      </c>
      <c r="Y22" s="211"/>
      <c r="Z22" s="726">
        <f t="shared" si="22"/>
        <v>0.4608280200439821</v>
      </c>
      <c r="AA22" s="726">
        <f t="shared" si="22"/>
        <v>0.52426627674412529</v>
      </c>
      <c r="AB22" s="726">
        <f t="shared" si="22"/>
        <v>0.51321349823239171</v>
      </c>
      <c r="AC22" s="726">
        <f t="shared" si="22"/>
        <v>0.56825643068403453</v>
      </c>
      <c r="AD22" s="726">
        <f t="shared" si="22"/>
        <v>0.53732080781571279</v>
      </c>
      <c r="AE22" s="726">
        <f t="shared" si="22"/>
        <v>0.49717320963765615</v>
      </c>
      <c r="AF22" s="726">
        <f t="shared" si="22"/>
        <v>0.46255819492993555</v>
      </c>
      <c r="AG22" s="726">
        <f t="shared" si="22"/>
        <v>0.47043126757055559</v>
      </c>
      <c r="AH22" s="726">
        <f t="shared" si="22"/>
        <v>0.53414384396007208</v>
      </c>
      <c r="AI22" s="726">
        <f t="shared" si="22"/>
        <v>0.54964235520401461</v>
      </c>
      <c r="AJ22" s="726">
        <f t="shared" si="22"/>
        <v>0.5336498039808355</v>
      </c>
      <c r="AK22" s="726">
        <f t="shared" si="22"/>
        <v>0.46385100760597642</v>
      </c>
      <c r="AL22" s="211"/>
      <c r="AM22" s="726">
        <f>(AM19+AM20-AM21)/AM5</f>
        <v>1.8871421398017838</v>
      </c>
      <c r="AN22" s="726">
        <f t="shared" si="22"/>
        <v>1.8732422113367355</v>
      </c>
      <c r="AO22" s="726">
        <f t="shared" si="22"/>
        <v>1.8653561156612353</v>
      </c>
      <c r="AP22" s="726">
        <f t="shared" si="22"/>
        <v>1.9505746673305253</v>
      </c>
      <c r="AQ22" s="726">
        <f t="shared" si="22"/>
        <v>1.9426185000164424</v>
      </c>
      <c r="AR22" s="726">
        <f t="shared" si="22"/>
        <v>1.9301807903917592</v>
      </c>
      <c r="AS22" s="726">
        <f t="shared" si="22"/>
        <v>2.0188931705845139</v>
      </c>
      <c r="AT22" s="726">
        <f t="shared" si="22"/>
        <v>2.0081468905153841</v>
      </c>
      <c r="AU22" s="726">
        <f t="shared" si="22"/>
        <v>1.9972910461160631</v>
      </c>
      <c r="AV22" s="726">
        <f t="shared" si="22"/>
        <v>2.0828481793355569</v>
      </c>
      <c r="AW22" s="726">
        <f t="shared" si="22"/>
        <v>2.0742371025658124</v>
      </c>
      <c r="AX22" s="726"/>
      <c r="AY22" s="726"/>
    </row>
    <row r="23" spans="1:51" s="13" customFormat="1">
      <c r="A23" s="12"/>
      <c r="B23" s="13" t="s">
        <v>211</v>
      </c>
      <c r="C23" s="165"/>
      <c r="D23" s="57"/>
      <c r="E23" s="57"/>
      <c r="F23" s="57"/>
      <c r="G23" s="57"/>
      <c r="H23" s="57"/>
      <c r="I23" s="57"/>
      <c r="J23" s="57"/>
      <c r="K23" s="57"/>
      <c r="L23" s="173"/>
      <c r="M23" s="578">
        <v>-0.874</v>
      </c>
      <c r="N23" s="578">
        <v>-0.874</v>
      </c>
      <c r="O23" s="578">
        <v>-0.874</v>
      </c>
      <c r="P23" s="578">
        <v>-0.874</v>
      </c>
      <c r="Q23" s="578">
        <v>-0.874</v>
      </c>
      <c r="R23" s="578">
        <v>-0.874</v>
      </c>
      <c r="S23" s="578">
        <v>-0.874</v>
      </c>
      <c r="T23" s="578">
        <v>-0.874</v>
      </c>
      <c r="U23" s="578">
        <v>-0.874</v>
      </c>
      <c r="V23" s="578">
        <f>$U$23</f>
        <v>-0.874</v>
      </c>
      <c r="W23" s="578">
        <f>$U$23</f>
        <v>-0.874</v>
      </c>
      <c r="X23" s="578">
        <f>$U$23</f>
        <v>-0.874</v>
      </c>
      <c r="Y23" s="732"/>
      <c r="Z23" s="578">
        <f>$U$23</f>
        <v>-0.874</v>
      </c>
      <c r="AA23" s="578">
        <f t="shared" ref="AA23:AW23" si="23">$U$23</f>
        <v>-0.874</v>
      </c>
      <c r="AB23" s="578">
        <f t="shared" si="23"/>
        <v>-0.874</v>
      </c>
      <c r="AC23" s="578">
        <f t="shared" si="23"/>
        <v>-0.874</v>
      </c>
      <c r="AD23" s="578">
        <f t="shared" si="23"/>
        <v>-0.874</v>
      </c>
      <c r="AE23" s="578">
        <f t="shared" si="23"/>
        <v>-0.874</v>
      </c>
      <c r="AF23" s="578">
        <f t="shared" si="23"/>
        <v>-0.874</v>
      </c>
      <c r="AG23" s="578">
        <f t="shared" si="23"/>
        <v>-0.874</v>
      </c>
      <c r="AH23" s="578">
        <f t="shared" si="23"/>
        <v>-0.874</v>
      </c>
      <c r="AI23" s="578">
        <f t="shared" si="23"/>
        <v>-0.874</v>
      </c>
      <c r="AJ23" s="578">
        <f t="shared" si="23"/>
        <v>-0.874</v>
      </c>
      <c r="AK23" s="578">
        <f t="shared" si="23"/>
        <v>-0.874</v>
      </c>
      <c r="AL23" s="732"/>
      <c r="AM23" s="578">
        <f t="shared" si="23"/>
        <v>-0.874</v>
      </c>
      <c r="AN23" s="578">
        <f t="shared" si="23"/>
        <v>-0.874</v>
      </c>
      <c r="AO23" s="578">
        <f t="shared" si="23"/>
        <v>-0.874</v>
      </c>
      <c r="AP23" s="578">
        <f t="shared" si="23"/>
        <v>-0.874</v>
      </c>
      <c r="AQ23" s="578">
        <f t="shared" si="23"/>
        <v>-0.874</v>
      </c>
      <c r="AR23" s="578">
        <f t="shared" si="23"/>
        <v>-0.874</v>
      </c>
      <c r="AS23" s="578">
        <f t="shared" si="23"/>
        <v>-0.874</v>
      </c>
      <c r="AT23" s="578">
        <f t="shared" si="23"/>
        <v>-0.874</v>
      </c>
      <c r="AU23" s="578">
        <f t="shared" si="23"/>
        <v>-0.874</v>
      </c>
      <c r="AV23" s="578">
        <f t="shared" si="23"/>
        <v>-0.874</v>
      </c>
      <c r="AW23" s="578">
        <f t="shared" si="23"/>
        <v>-0.874</v>
      </c>
      <c r="AX23" s="519"/>
      <c r="AY23" s="519"/>
    </row>
    <row r="24" spans="1:51" s="13" customFormat="1">
      <c r="A24" s="12"/>
      <c r="B24" s="13" t="s">
        <v>212</v>
      </c>
      <c r="C24" s="165"/>
      <c r="D24" s="57"/>
      <c r="E24" s="57"/>
      <c r="F24" s="57"/>
      <c r="G24" s="57"/>
      <c r="H24" s="57"/>
      <c r="I24" s="57"/>
      <c r="J24" s="57"/>
      <c r="K24" s="57"/>
      <c r="L24" s="173"/>
      <c r="M24" s="74">
        <f>SUM(M22:M23)</f>
        <v>-0.5925009641938721</v>
      </c>
      <c r="N24" s="74">
        <f t="shared" ref="N24:Z24" si="24">SUM(N22:N23)</f>
        <v>-0.55731927656533431</v>
      </c>
      <c r="O24" s="74">
        <f t="shared" si="24"/>
        <v>-0.5737368842685836</v>
      </c>
      <c r="P24" s="74">
        <f t="shared" si="24"/>
        <v>-0.55093233577754153</v>
      </c>
      <c r="Q24" s="74">
        <f t="shared" si="24"/>
        <v>-0.56551745076960325</v>
      </c>
      <c r="R24" s="74">
        <f t="shared" si="24"/>
        <v>-0.57551819176572117</v>
      </c>
      <c r="S24" s="74">
        <f t="shared" si="24"/>
        <v>-0.58988169069912166</v>
      </c>
      <c r="T24" s="74">
        <f t="shared" si="24"/>
        <v>-0.53806472210346379</v>
      </c>
      <c r="U24" s="74">
        <f t="shared" si="24"/>
        <v>-0.35249368719290919</v>
      </c>
      <c r="V24" s="74">
        <f t="shared" si="24"/>
        <v>-0.33771326517128042</v>
      </c>
      <c r="W24" s="74">
        <f t="shared" si="24"/>
        <v>-0.35298582223814712</v>
      </c>
      <c r="X24" s="74">
        <f t="shared" si="24"/>
        <v>-0.42066034645085848</v>
      </c>
      <c r="Y24" s="211"/>
      <c r="Z24" s="74">
        <f t="shared" si="24"/>
        <v>-0.4131719799560179</v>
      </c>
      <c r="AA24" s="74">
        <f t="shared" ref="AA24:AJ24" si="25">SUM(AA22:AA23)</f>
        <v>-0.34973372325587471</v>
      </c>
      <c r="AB24" s="74">
        <f t="shared" si="25"/>
        <v>-0.36078650176760829</v>
      </c>
      <c r="AC24" s="74">
        <f t="shared" si="25"/>
        <v>-0.30574356931596547</v>
      </c>
      <c r="AD24" s="74">
        <f t="shared" si="25"/>
        <v>-0.33667919218428721</v>
      </c>
      <c r="AE24" s="74">
        <f t="shared" si="25"/>
        <v>-0.37682679036234384</v>
      </c>
      <c r="AF24" s="74">
        <f t="shared" si="25"/>
        <v>-0.41144180507006445</v>
      </c>
      <c r="AG24" s="74">
        <f t="shared" si="25"/>
        <v>-0.40356873242944441</v>
      </c>
      <c r="AH24" s="74">
        <f t="shared" si="25"/>
        <v>-0.33985615603992791</v>
      </c>
      <c r="AI24" s="74">
        <f t="shared" si="25"/>
        <v>-0.32435764479598539</v>
      </c>
      <c r="AJ24" s="74">
        <f t="shared" si="25"/>
        <v>-0.3403501960191645</v>
      </c>
      <c r="AK24" s="74">
        <f>SUM(AK22:AK23)</f>
        <v>-0.41014899239402358</v>
      </c>
      <c r="AL24" s="211"/>
      <c r="AM24" s="74">
        <f>SUM(AM22:AM23)</f>
        <v>1.0131421398017837</v>
      </c>
      <c r="AN24" s="74">
        <f t="shared" ref="AN24:AW24" si="26">SUM(AN22:AN23)</f>
        <v>0.99924221133673552</v>
      </c>
      <c r="AO24" s="74">
        <f t="shared" si="26"/>
        <v>0.99135611566123527</v>
      </c>
      <c r="AP24" s="74">
        <f t="shared" si="26"/>
        <v>1.0765746673305254</v>
      </c>
      <c r="AQ24" s="74">
        <f t="shared" si="26"/>
        <v>1.0686185000164423</v>
      </c>
      <c r="AR24" s="74">
        <f t="shared" si="26"/>
        <v>1.0561807903917591</v>
      </c>
      <c r="AS24" s="74">
        <f t="shared" si="26"/>
        <v>1.1448931705845138</v>
      </c>
      <c r="AT24" s="74">
        <f t="shared" si="26"/>
        <v>1.134146890515384</v>
      </c>
      <c r="AU24" s="74">
        <f t="shared" si="26"/>
        <v>1.123291046116063</v>
      </c>
      <c r="AV24" s="74">
        <f t="shared" si="26"/>
        <v>1.2088481793355568</v>
      </c>
      <c r="AW24" s="74">
        <f t="shared" si="26"/>
        <v>1.2002371025658123</v>
      </c>
      <c r="AX24" s="726"/>
      <c r="AY24" s="726"/>
    </row>
    <row r="25" spans="1:51" s="13" customFormat="1">
      <c r="A25" s="12"/>
      <c r="C25" s="165"/>
      <c r="L25" s="88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211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211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26"/>
      <c r="AY25" s="726"/>
    </row>
    <row r="26" spans="1:51" s="13" customFormat="1">
      <c r="A26" s="12"/>
      <c r="B26" s="49" t="s">
        <v>225</v>
      </c>
      <c r="C26" s="166"/>
      <c r="D26" s="49"/>
      <c r="E26" s="49"/>
      <c r="F26" s="49"/>
      <c r="G26" s="49"/>
      <c r="H26" s="49"/>
      <c r="I26" s="49"/>
      <c r="J26" s="49"/>
      <c r="K26" s="49"/>
      <c r="L26" s="30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211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211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26"/>
      <c r="AY26" s="726"/>
    </row>
    <row r="27" spans="1:51" s="13" customFormat="1">
      <c r="A27" s="12"/>
      <c r="B27" s="13" t="s">
        <v>226</v>
      </c>
      <c r="C27" s="165"/>
      <c r="D27" s="23"/>
      <c r="E27" s="23"/>
      <c r="F27" s="23"/>
      <c r="G27" s="23"/>
      <c r="H27" s="23"/>
      <c r="I27" s="23"/>
      <c r="J27" s="23"/>
      <c r="K27" s="23"/>
      <c r="L27" s="89"/>
      <c r="M27" s="74">
        <f>ECP!G69</f>
        <v>2.7736626636362782</v>
      </c>
      <c r="N27" s="74">
        <f>ECP!H69</f>
        <v>2.4898656217256958</v>
      </c>
      <c r="O27" s="74">
        <f>ECP!I69</f>
        <v>2.675318924353363</v>
      </c>
      <c r="P27" s="74">
        <f>ECP!J69</f>
        <v>2.2430401612416508</v>
      </c>
      <c r="Q27" s="74">
        <f>ECP!K69</f>
        <v>2.4127462639708792</v>
      </c>
      <c r="R27" s="74">
        <f>ECP!L69</f>
        <v>2.5376100587329957</v>
      </c>
      <c r="S27" s="74">
        <f>ECP!M69</f>
        <v>2.666813155238605</v>
      </c>
      <c r="T27" s="74">
        <f>ECP!N69</f>
        <v>2.8127833273032099</v>
      </c>
      <c r="U27" s="74">
        <f>ECP!O69</f>
        <v>2.0953659241076008</v>
      </c>
      <c r="V27" s="74">
        <f>ECP!P69</f>
        <v>2.0877881541372521</v>
      </c>
      <c r="W27" s="74">
        <f>ECP!Q69</f>
        <v>1.9132811045264166</v>
      </c>
      <c r="X27" s="74">
        <f>ECP!R69</f>
        <v>1.982372762356885</v>
      </c>
      <c r="Y27" s="211">
        <f>SUM(M27:X27)</f>
        <v>28.690648121330831</v>
      </c>
      <c r="Z27" s="74">
        <f>ECP!T69</f>
        <v>2.2013764319473044</v>
      </c>
      <c r="AA27" s="74">
        <f>ECP!U69</f>
        <v>1.9812766015526129</v>
      </c>
      <c r="AB27" s="74">
        <f>ECP!V69</f>
        <v>1.8260177287231725</v>
      </c>
      <c r="AC27" s="74">
        <f>ECP!W69</f>
        <v>1.7825575153956927</v>
      </c>
      <c r="AD27" s="74">
        <f>ECP!X69</f>
        <v>1.8327219268851291</v>
      </c>
      <c r="AE27" s="74">
        <f>ECP!Y69</f>
        <v>2.0423931590976823</v>
      </c>
      <c r="AF27" s="74">
        <f>ECP!Z69</f>
        <v>2.1279333758883094</v>
      </c>
      <c r="AG27" s="74">
        <f>ECP!AA69</f>
        <v>2.4919355362532749</v>
      </c>
      <c r="AH27" s="74">
        <f>ECP!AB69</f>
        <v>2.6008838596773103</v>
      </c>
      <c r="AI27" s="74">
        <f>ECP!AC69</f>
        <v>2.6009315040670122</v>
      </c>
      <c r="AJ27" s="74">
        <f>ECP!AD69</f>
        <v>2.4101504186779796</v>
      </c>
      <c r="AK27" s="74">
        <f>ECP!AE69</f>
        <v>2.4600723972092386</v>
      </c>
      <c r="AL27" s="211">
        <f>SUM(Z27:AK27)</f>
        <v>26.358250455374719</v>
      </c>
      <c r="AM27" s="74">
        <f>ECP!AG69</f>
        <v>33.296340854774655</v>
      </c>
      <c r="AN27" s="74">
        <f>ECP!AH69</f>
        <v>35.041288513304842</v>
      </c>
      <c r="AO27" s="74">
        <f>ECP!AI69</f>
        <v>35.85792113786745</v>
      </c>
      <c r="AP27" s="74">
        <f>ECP!AJ69</f>
        <v>36.890310125075331</v>
      </c>
      <c r="AQ27" s="74">
        <f>ECP!AK69</f>
        <v>49.730636248075577</v>
      </c>
      <c r="AR27" s="74">
        <f>ECP!AL69</f>
        <v>53.739512530712283</v>
      </c>
      <c r="AS27" s="74">
        <f>ECP!AM69</f>
        <v>53.045856094622025</v>
      </c>
      <c r="AT27" s="74">
        <f>ECP!AN69</f>
        <v>55.967353490779011</v>
      </c>
      <c r="AU27" s="74">
        <f>ECP!AO69</f>
        <v>55.951758302083142</v>
      </c>
      <c r="AV27" s="74">
        <f>ECP!AP69</f>
        <v>57.56994431408301</v>
      </c>
      <c r="AW27" s="74">
        <f>ECP!AQ69</f>
        <v>57.996060471123137</v>
      </c>
      <c r="AX27" s="726"/>
      <c r="AY27" s="726"/>
    </row>
    <row r="28" spans="1:51">
      <c r="A28" s="3"/>
      <c r="C28" s="165"/>
    </row>
    <row r="29" spans="1:51">
      <c r="A29" s="3"/>
      <c r="B29" t="s">
        <v>199</v>
      </c>
      <c r="C29" s="165"/>
      <c r="D29" s="31"/>
      <c r="E29" s="31"/>
      <c r="F29" s="31"/>
      <c r="G29" s="31"/>
      <c r="H29" s="31"/>
      <c r="I29" s="31"/>
      <c r="J29" s="31"/>
      <c r="K29" s="31"/>
      <c r="L29" s="172"/>
      <c r="M29" s="726">
        <f>M27/M4</f>
        <v>2.6032177616571071</v>
      </c>
      <c r="N29" s="726">
        <f t="shared" ref="N29:Y29" si="27">N27/N4</f>
        <v>2.6047808695883692</v>
      </c>
      <c r="O29" s="726">
        <f t="shared" si="27"/>
        <v>2.6100463374370078</v>
      </c>
      <c r="P29" s="726">
        <f t="shared" si="27"/>
        <v>2.4653685789087931</v>
      </c>
      <c r="Q29" s="726">
        <f t="shared" si="27"/>
        <v>2.5725727483658813</v>
      </c>
      <c r="R29" s="726">
        <f t="shared" si="27"/>
        <v>2.6403313581212973</v>
      </c>
      <c r="S29" s="726">
        <f t="shared" si="27"/>
        <v>2.5921527029338791</v>
      </c>
      <c r="T29" s="726">
        <f t="shared" si="27"/>
        <v>2.8220400702600736</v>
      </c>
      <c r="U29" s="726">
        <f t="shared" si="27"/>
        <v>3.0831693591070528</v>
      </c>
      <c r="V29" s="726">
        <f t="shared" si="27"/>
        <v>2.7962389477248371</v>
      </c>
      <c r="W29" s="726">
        <f t="shared" si="27"/>
        <v>2.6440577680386199</v>
      </c>
      <c r="X29" s="726">
        <f t="shared" si="27"/>
        <v>2.6566938708006518</v>
      </c>
      <c r="Y29" s="727">
        <f t="shared" si="27"/>
        <v>2.6622783500548115</v>
      </c>
      <c r="Z29" s="726">
        <f t="shared" ref="Z29:AL29" si="28">Z27/Z4</f>
        <v>2.8698351711507959</v>
      </c>
      <c r="AA29" s="726">
        <f t="shared" si="28"/>
        <v>2.8912040641306671</v>
      </c>
      <c r="AB29" s="726">
        <f t="shared" si="28"/>
        <v>2.7683644460362054</v>
      </c>
      <c r="AC29" s="726">
        <f t="shared" si="28"/>
        <v>2.9740279311618969</v>
      </c>
      <c r="AD29" s="726">
        <f t="shared" si="28"/>
        <v>2.9276579953709621</v>
      </c>
      <c r="AE29" s="726">
        <f t="shared" si="28"/>
        <v>2.9849280346225959</v>
      </c>
      <c r="AF29" s="726">
        <f t="shared" si="28"/>
        <v>2.9898840203249208</v>
      </c>
      <c r="AG29" s="726">
        <f t="shared" si="28"/>
        <v>3.507479853818301</v>
      </c>
      <c r="AH29" s="726">
        <f t="shared" si="28"/>
        <v>3.8423934640011947</v>
      </c>
      <c r="AI29" s="726">
        <f t="shared" si="28"/>
        <v>3.5035289103800271</v>
      </c>
      <c r="AJ29" s="726">
        <f t="shared" si="28"/>
        <v>3.3621743181346355</v>
      </c>
      <c r="AK29" s="726">
        <f t="shared" si="28"/>
        <v>3.3304508595258104</v>
      </c>
      <c r="AL29" s="727">
        <f t="shared" si="28"/>
        <v>3.1686264339621597</v>
      </c>
      <c r="AM29" s="726">
        <f t="shared" ref="AM29:AW29" si="29">AM27/AM4</f>
        <v>4.0160603202291236</v>
      </c>
      <c r="AN29" s="726">
        <f t="shared" si="29"/>
        <v>4.2429128211548006</v>
      </c>
      <c r="AO29" s="726">
        <f t="shared" si="29"/>
        <v>4.3650365589618598</v>
      </c>
      <c r="AP29" s="726">
        <f t="shared" si="29"/>
        <v>4.4512193297413338</v>
      </c>
      <c r="AQ29" s="726">
        <f t="shared" si="29"/>
        <v>4.2528732702769387</v>
      </c>
      <c r="AR29" s="726">
        <f t="shared" si="29"/>
        <v>4.3312895799324371</v>
      </c>
      <c r="AS29" s="726">
        <f t="shared" si="29"/>
        <v>4.4015965864200757</v>
      </c>
      <c r="AT29" s="726">
        <f t="shared" si="29"/>
        <v>4.5216481208034152</v>
      </c>
      <c r="AU29" s="726">
        <f t="shared" si="29"/>
        <v>4.6754881859589892</v>
      </c>
      <c r="AV29" s="726">
        <f t="shared" si="29"/>
        <v>4.7398084035269763</v>
      </c>
      <c r="AW29" s="726">
        <f t="shared" si="29"/>
        <v>4.9183511455736761</v>
      </c>
      <c r="AX29" s="726"/>
      <c r="AY29" s="726"/>
    </row>
    <row r="30" spans="1:51">
      <c r="A30" s="3"/>
      <c r="B30" t="s">
        <v>227</v>
      </c>
      <c r="C30" s="165"/>
      <c r="D30" s="57"/>
      <c r="E30" s="57"/>
      <c r="F30" s="57"/>
      <c r="G30" s="57"/>
      <c r="H30" s="57"/>
      <c r="I30" s="57"/>
      <c r="J30" s="57"/>
      <c r="K30" s="57"/>
      <c r="L30" s="173"/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211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74">
        <v>0</v>
      </c>
      <c r="AG30" s="74">
        <v>0</v>
      </c>
      <c r="AH30" s="74">
        <v>0</v>
      </c>
      <c r="AI30" s="74">
        <v>0</v>
      </c>
      <c r="AJ30" s="74">
        <v>0</v>
      </c>
      <c r="AK30" s="74">
        <v>0</v>
      </c>
      <c r="AL30" s="211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</row>
    <row r="31" spans="1:51">
      <c r="A31" s="3"/>
      <c r="B31" t="s">
        <v>228</v>
      </c>
      <c r="C31" s="165"/>
      <c r="D31" s="57"/>
      <c r="E31" s="57"/>
      <c r="F31" s="57"/>
      <c r="G31" s="57"/>
      <c r="H31" s="57"/>
      <c r="I31" s="57"/>
      <c r="J31" s="57"/>
      <c r="K31" s="57"/>
      <c r="L31" s="173"/>
      <c r="M31" s="74">
        <f>SUM(M29:M30)</f>
        <v>2.6032177616571071</v>
      </c>
      <c r="N31" s="74">
        <f t="shared" ref="N31:Z31" si="30">SUM(N29:N30)</f>
        <v>2.6047808695883692</v>
      </c>
      <c r="O31" s="74">
        <f t="shared" si="30"/>
        <v>2.6100463374370078</v>
      </c>
      <c r="P31" s="74">
        <f t="shared" si="30"/>
        <v>2.4653685789087931</v>
      </c>
      <c r="Q31" s="74">
        <f t="shared" si="30"/>
        <v>2.5725727483658813</v>
      </c>
      <c r="R31" s="74">
        <f t="shared" si="30"/>
        <v>2.6403313581212973</v>
      </c>
      <c r="S31" s="74">
        <f t="shared" si="30"/>
        <v>2.5921527029338791</v>
      </c>
      <c r="T31" s="74">
        <f t="shared" si="30"/>
        <v>2.8220400702600736</v>
      </c>
      <c r="U31" s="74">
        <f t="shared" si="30"/>
        <v>3.0831693591070528</v>
      </c>
      <c r="V31" s="74">
        <f t="shared" si="30"/>
        <v>2.7962389477248371</v>
      </c>
      <c r="W31" s="74">
        <f t="shared" si="30"/>
        <v>2.6440577680386199</v>
      </c>
      <c r="X31" s="74">
        <f t="shared" si="30"/>
        <v>2.6566938708006518</v>
      </c>
      <c r="Y31" s="211">
        <f t="shared" si="30"/>
        <v>2.6622783500548115</v>
      </c>
      <c r="Z31" s="74">
        <f t="shared" si="30"/>
        <v>2.8698351711507959</v>
      </c>
      <c r="AA31" s="74">
        <f t="shared" ref="AA31:AL31" si="31">SUM(AA29:AA30)</f>
        <v>2.8912040641306671</v>
      </c>
      <c r="AB31" s="74">
        <f t="shared" si="31"/>
        <v>2.7683644460362054</v>
      </c>
      <c r="AC31" s="74">
        <f t="shared" si="31"/>
        <v>2.9740279311618969</v>
      </c>
      <c r="AD31" s="74">
        <f t="shared" si="31"/>
        <v>2.9276579953709621</v>
      </c>
      <c r="AE31" s="74">
        <f t="shared" si="31"/>
        <v>2.9849280346225959</v>
      </c>
      <c r="AF31" s="74">
        <f t="shared" si="31"/>
        <v>2.9898840203249208</v>
      </c>
      <c r="AG31" s="74">
        <f t="shared" si="31"/>
        <v>3.507479853818301</v>
      </c>
      <c r="AH31" s="74">
        <f t="shared" si="31"/>
        <v>3.8423934640011947</v>
      </c>
      <c r="AI31" s="74">
        <f t="shared" si="31"/>
        <v>3.5035289103800271</v>
      </c>
      <c r="AJ31" s="74">
        <f t="shared" si="31"/>
        <v>3.3621743181346355</v>
      </c>
      <c r="AK31" s="74">
        <f t="shared" si="31"/>
        <v>3.3304508595258104</v>
      </c>
      <c r="AL31" s="211">
        <f t="shared" si="31"/>
        <v>3.1686264339621597</v>
      </c>
      <c r="AM31" s="78">
        <f t="shared" ref="AM31:AW31" si="32">SUM(AM29:AM30)</f>
        <v>4.0160603202291236</v>
      </c>
      <c r="AN31" s="78">
        <f t="shared" si="32"/>
        <v>4.2429128211548006</v>
      </c>
      <c r="AO31" s="78">
        <f t="shared" si="32"/>
        <v>4.3650365589618598</v>
      </c>
      <c r="AP31" s="78">
        <f t="shared" si="32"/>
        <v>4.4512193297413338</v>
      </c>
      <c r="AQ31" s="78">
        <f t="shared" si="32"/>
        <v>4.2528732702769387</v>
      </c>
      <c r="AR31" s="78">
        <f t="shared" si="32"/>
        <v>4.3312895799324371</v>
      </c>
      <c r="AS31" s="78">
        <f t="shared" si="32"/>
        <v>4.4015965864200757</v>
      </c>
      <c r="AT31" s="78">
        <f t="shared" si="32"/>
        <v>4.5216481208034152</v>
      </c>
      <c r="AU31" s="78">
        <f t="shared" si="32"/>
        <v>4.6754881859589892</v>
      </c>
      <c r="AV31" s="78">
        <f t="shared" si="32"/>
        <v>4.7398084035269763</v>
      </c>
      <c r="AW31" s="78">
        <f t="shared" si="32"/>
        <v>4.9183511455736761</v>
      </c>
    </row>
    <row r="32" spans="1:51">
      <c r="A32" s="3"/>
      <c r="C32" s="165"/>
    </row>
    <row r="33" spans="1:51">
      <c r="A33" s="3"/>
      <c r="B33" s="231" t="s">
        <v>75</v>
      </c>
      <c r="C33" s="165"/>
      <c r="M33" s="78">
        <f>M14*M4+M22*M5-M11-M20-M19</f>
        <v>0</v>
      </c>
      <c r="N33" s="78">
        <f t="shared" ref="N33:AW33" si="33">N14*N4+N22*N5-N11-N20-N19</f>
        <v>0</v>
      </c>
      <c r="O33" s="78">
        <f t="shared" si="33"/>
        <v>0</v>
      </c>
      <c r="P33" s="78">
        <f t="shared" si="33"/>
        <v>0</v>
      </c>
      <c r="Q33" s="78">
        <f t="shared" si="33"/>
        <v>0</v>
      </c>
      <c r="R33" s="78">
        <f t="shared" si="33"/>
        <v>3.1086244689504383E-15</v>
      </c>
      <c r="S33" s="78">
        <f t="shared" si="33"/>
        <v>0</v>
      </c>
      <c r="T33" s="78">
        <f t="shared" si="33"/>
        <v>3.7747582837255322E-15</v>
      </c>
      <c r="U33" s="78">
        <f t="shared" si="33"/>
        <v>-5.6621374255882984E-15</v>
      </c>
      <c r="V33" s="78">
        <f t="shared" si="33"/>
        <v>-1.9984014443252818E-15</v>
      </c>
      <c r="W33" s="78">
        <f t="shared" si="33"/>
        <v>-6.2172489379008766E-15</v>
      </c>
      <c r="X33" s="78">
        <f>X14*X4+X22*X5-X11-X20-X19</f>
        <v>0</v>
      </c>
      <c r="Y33" s="211">
        <f>SUM(M33:X33)</f>
        <v>-6.9944050551384862E-15</v>
      </c>
      <c r="Z33" s="78">
        <f t="shared" si="33"/>
        <v>-4.6629367034256575E-15</v>
      </c>
      <c r="AA33" s="78">
        <f t="shared" si="33"/>
        <v>6.8833827526759706E-15</v>
      </c>
      <c r="AB33" s="78">
        <f t="shared" si="33"/>
        <v>1.9984014443252818E-15</v>
      </c>
      <c r="AC33" s="78">
        <f t="shared" si="33"/>
        <v>0</v>
      </c>
      <c r="AD33" s="78">
        <f t="shared" si="33"/>
        <v>-2.6645352591003757E-15</v>
      </c>
      <c r="AE33" s="78">
        <f t="shared" si="33"/>
        <v>-5.773159728050814E-15</v>
      </c>
      <c r="AF33" s="78">
        <f>AF14*AF4+AF22*AF5-AF11-AF20-AF19</f>
        <v>-8.5487172896137054E-15</v>
      </c>
      <c r="AG33" s="78">
        <f t="shared" si="33"/>
        <v>-1.1102230246251565E-15</v>
      </c>
      <c r="AH33" s="78">
        <f t="shared" si="33"/>
        <v>-3.4416913763379853E-15</v>
      </c>
      <c r="AI33" s="78">
        <f t="shared" si="33"/>
        <v>0</v>
      </c>
      <c r="AJ33" s="78">
        <f t="shared" si="33"/>
        <v>2.4424906541753444E-15</v>
      </c>
      <c r="AK33" s="78">
        <f t="shared" si="33"/>
        <v>-3.9968028886505635E-15</v>
      </c>
      <c r="AL33" s="211">
        <f>SUM(Z33:AK33)</f>
        <v>-1.8873791418627661E-14</v>
      </c>
      <c r="AM33" s="78">
        <f t="shared" si="33"/>
        <v>7.1054273576010019E-15</v>
      </c>
      <c r="AN33" s="78">
        <f>AN14*AN4+AN22*AN5-AN11-AN20-AN19</f>
        <v>-3.5527136788005009E-15</v>
      </c>
      <c r="AO33" s="78">
        <f t="shared" si="33"/>
        <v>-5.6843418860808015E-14</v>
      </c>
      <c r="AP33" s="78">
        <f t="shared" si="33"/>
        <v>0</v>
      </c>
      <c r="AQ33" s="78">
        <f t="shared" si="33"/>
        <v>-2.6645352591003757E-14</v>
      </c>
      <c r="AR33" s="78">
        <f t="shared" si="33"/>
        <v>-5.1514348342607263E-14</v>
      </c>
      <c r="AS33" s="78">
        <f t="shared" si="33"/>
        <v>4.6185277824406512E-14</v>
      </c>
      <c r="AT33" s="78">
        <f t="shared" si="33"/>
        <v>-5.3290705182007514E-14</v>
      </c>
      <c r="AU33" s="78">
        <f t="shared" si="33"/>
        <v>-4.4408920985006262E-14</v>
      </c>
      <c r="AV33" s="78">
        <f t="shared" si="33"/>
        <v>-3.730349362740526E-14</v>
      </c>
      <c r="AW33" s="78">
        <f t="shared" si="33"/>
        <v>6.2172489379008766E-14</v>
      </c>
    </row>
    <row r="34" spans="1:51">
      <c r="A34" s="3"/>
      <c r="C34" s="165"/>
    </row>
    <row r="35" spans="1:51">
      <c r="A35" s="3"/>
      <c r="B35" s="34" t="s">
        <v>229</v>
      </c>
      <c r="C35" s="167"/>
      <c r="D35" s="34"/>
      <c r="E35" s="34"/>
      <c r="F35" s="34"/>
      <c r="G35" s="34"/>
      <c r="H35" s="34"/>
      <c r="I35" s="34"/>
      <c r="J35" s="34"/>
      <c r="K35" s="34"/>
      <c r="L35" s="305"/>
    </row>
    <row r="36" spans="1:51">
      <c r="A36" s="3"/>
      <c r="B36" s="33" t="s">
        <v>230</v>
      </c>
      <c r="C36" s="166"/>
      <c r="D36" s="33"/>
      <c r="E36" s="33"/>
      <c r="F36" s="33"/>
      <c r="G36" s="33"/>
      <c r="H36" s="33"/>
      <c r="I36" s="33"/>
      <c r="J36" s="33"/>
      <c r="K36" s="33"/>
      <c r="L36" s="303"/>
    </row>
    <row r="37" spans="1:51">
      <c r="A37" s="3"/>
      <c r="B37" t="s">
        <v>231</v>
      </c>
      <c r="C37" s="165"/>
      <c r="D37" s="32"/>
      <c r="E37" s="32"/>
      <c r="F37" s="32"/>
      <c r="G37" s="32"/>
      <c r="H37" s="32"/>
      <c r="I37" s="32"/>
      <c r="J37" s="32"/>
      <c r="K37" s="32"/>
      <c r="L37" s="175"/>
      <c r="M37" s="482">
        <f>M16</f>
        <v>3.7963383636932448</v>
      </c>
      <c r="N37" s="482">
        <f t="shared" ref="N37:Y37" si="34">N16</f>
        <v>3.9251281468845747</v>
      </c>
      <c r="O37" s="482">
        <f t="shared" si="34"/>
        <v>3.9177526208667715</v>
      </c>
      <c r="P37" s="482">
        <f t="shared" si="34"/>
        <v>3.9583829858781563</v>
      </c>
      <c r="Q37" s="482">
        <f t="shared" si="34"/>
        <v>3.9650535434312602</v>
      </c>
      <c r="R37" s="482">
        <f t="shared" si="34"/>
        <v>4.1057147400882172</v>
      </c>
      <c r="S37" s="482">
        <f t="shared" si="34"/>
        <v>4.6280961821621247</v>
      </c>
      <c r="T37" s="482">
        <f t="shared" si="34"/>
        <v>4.2085144107267354</v>
      </c>
      <c r="U37" s="482">
        <f t="shared" si="34"/>
        <v>4.6894785183502243</v>
      </c>
      <c r="V37" s="482">
        <f t="shared" si="34"/>
        <v>4.4699835305300013</v>
      </c>
      <c r="W37" s="482">
        <f t="shared" si="34"/>
        <v>4.5930663428745611</v>
      </c>
      <c r="X37" s="482">
        <f t="shared" si="34"/>
        <v>4.6583515678101328</v>
      </c>
      <c r="Y37" s="729">
        <f t="shared" si="34"/>
        <v>0</v>
      </c>
      <c r="Z37" s="482">
        <f t="shared" ref="Z37:AL37" si="35">Z16</f>
        <v>4.8866856798061171</v>
      </c>
      <c r="AA37" s="482">
        <f t="shared" si="35"/>
        <v>5.0551684882073182</v>
      </c>
      <c r="AB37" s="482">
        <f t="shared" si="35"/>
        <v>5.2005594622076536</v>
      </c>
      <c r="AC37" s="482">
        <f t="shared" si="35"/>
        <v>5.3225046534309719</v>
      </c>
      <c r="AD37" s="482">
        <f t="shared" si="35"/>
        <v>5.4315731102566787</v>
      </c>
      <c r="AE37" s="482">
        <f t="shared" si="35"/>
        <v>5.6299815605481953</v>
      </c>
      <c r="AF37" s="482">
        <f t="shared" si="35"/>
        <v>5.6517894361783796</v>
      </c>
      <c r="AG37" s="482">
        <f t="shared" si="35"/>
        <v>5.690344155591383</v>
      </c>
      <c r="AH37" s="482">
        <f t="shared" si="35"/>
        <v>5.7617463416336498</v>
      </c>
      <c r="AI37" s="482">
        <f t="shared" si="35"/>
        <v>5.3798392292094768</v>
      </c>
      <c r="AJ37" s="482">
        <f t="shared" si="35"/>
        <v>5.424671823074668</v>
      </c>
      <c r="AK37" s="482">
        <f t="shared" si="35"/>
        <v>5.4400767169142874</v>
      </c>
      <c r="AL37" s="729">
        <f t="shared" si="35"/>
        <v>0</v>
      </c>
      <c r="AM37" s="482">
        <f t="shared" ref="AM37:AW37" si="36">AM16</f>
        <v>6.4429337942454907</v>
      </c>
      <c r="AN37" s="482">
        <f t="shared" si="36"/>
        <v>6.9344556727440256</v>
      </c>
      <c r="AO37" s="482">
        <f t="shared" si="36"/>
        <v>8.1711410789152517</v>
      </c>
      <c r="AP37" s="482">
        <f t="shared" si="36"/>
        <v>9.089843981659989</v>
      </c>
      <c r="AQ37" s="482">
        <f t="shared" si="36"/>
        <v>9.6600154495524251</v>
      </c>
      <c r="AR37" s="482">
        <f t="shared" si="36"/>
        <v>11.262019941767477</v>
      </c>
      <c r="AS37" s="482">
        <f t="shared" si="36"/>
        <v>12.718998434024591</v>
      </c>
      <c r="AT37" s="482">
        <f t="shared" si="36"/>
        <v>13.973213946999408</v>
      </c>
      <c r="AU37" s="482">
        <f t="shared" si="36"/>
        <v>15.594056537842711</v>
      </c>
      <c r="AV37" s="482">
        <f t="shared" si="36"/>
        <v>16.312925925514492</v>
      </c>
      <c r="AW37" s="482">
        <f t="shared" si="36"/>
        <v>19.349098915653869</v>
      </c>
      <c r="AX37" s="482"/>
      <c r="AY37" s="482"/>
    </row>
    <row r="38" spans="1:51">
      <c r="A38" s="3"/>
      <c r="B38" t="s">
        <v>232</v>
      </c>
      <c r="C38" s="165"/>
      <c r="D38" s="23"/>
      <c r="E38" s="23"/>
      <c r="F38" s="23"/>
      <c r="G38" s="23"/>
      <c r="H38" s="23"/>
      <c r="I38" s="23"/>
      <c r="J38" s="23"/>
      <c r="K38" s="23"/>
      <c r="L38" s="89"/>
      <c r="M38" s="74">
        <f>M31</f>
        <v>2.6032177616571071</v>
      </c>
      <c r="N38" s="74">
        <f t="shared" ref="N38:Y38" si="37">N31</f>
        <v>2.6047808695883692</v>
      </c>
      <c r="O38" s="74">
        <f t="shared" si="37"/>
        <v>2.6100463374370078</v>
      </c>
      <c r="P38" s="74">
        <f t="shared" si="37"/>
        <v>2.4653685789087931</v>
      </c>
      <c r="Q38" s="74">
        <f t="shared" si="37"/>
        <v>2.5725727483658813</v>
      </c>
      <c r="R38" s="74">
        <f t="shared" si="37"/>
        <v>2.6403313581212973</v>
      </c>
      <c r="S38" s="74">
        <f t="shared" si="37"/>
        <v>2.5921527029338791</v>
      </c>
      <c r="T38" s="74">
        <f t="shared" si="37"/>
        <v>2.8220400702600736</v>
      </c>
      <c r="U38" s="74">
        <f t="shared" si="37"/>
        <v>3.0831693591070528</v>
      </c>
      <c r="V38" s="74">
        <f t="shared" si="37"/>
        <v>2.7962389477248371</v>
      </c>
      <c r="W38" s="74">
        <f t="shared" si="37"/>
        <v>2.6440577680386199</v>
      </c>
      <c r="X38" s="74">
        <f t="shared" si="37"/>
        <v>2.6566938708006518</v>
      </c>
      <c r="Y38" s="211">
        <f t="shared" si="37"/>
        <v>2.6622783500548115</v>
      </c>
      <c r="Z38" s="74">
        <f t="shared" ref="Z38:AW38" si="38">Z31</f>
        <v>2.8698351711507959</v>
      </c>
      <c r="AA38" s="74">
        <f t="shared" ref="AA38:AL38" si="39">AA31</f>
        <v>2.8912040641306671</v>
      </c>
      <c r="AB38" s="74">
        <f t="shared" si="39"/>
        <v>2.7683644460362054</v>
      </c>
      <c r="AC38" s="74">
        <f t="shared" si="39"/>
        <v>2.9740279311618969</v>
      </c>
      <c r="AD38" s="74">
        <f t="shared" si="39"/>
        <v>2.9276579953709621</v>
      </c>
      <c r="AE38" s="74">
        <f t="shared" si="39"/>
        <v>2.9849280346225959</v>
      </c>
      <c r="AF38" s="74">
        <f t="shared" si="39"/>
        <v>2.9898840203249208</v>
      </c>
      <c r="AG38" s="74">
        <f t="shared" si="39"/>
        <v>3.507479853818301</v>
      </c>
      <c r="AH38" s="74">
        <f t="shared" si="39"/>
        <v>3.8423934640011947</v>
      </c>
      <c r="AI38" s="74">
        <f t="shared" si="39"/>
        <v>3.5035289103800271</v>
      </c>
      <c r="AJ38" s="74">
        <f t="shared" si="39"/>
        <v>3.3621743181346355</v>
      </c>
      <c r="AK38" s="74">
        <f t="shared" si="39"/>
        <v>3.3304508595258104</v>
      </c>
      <c r="AL38" s="211">
        <f t="shared" si="39"/>
        <v>3.1686264339621597</v>
      </c>
      <c r="AM38" s="78">
        <f t="shared" si="38"/>
        <v>4.0160603202291236</v>
      </c>
      <c r="AN38" s="78">
        <f t="shared" si="38"/>
        <v>4.2429128211548006</v>
      </c>
      <c r="AO38" s="78">
        <f t="shared" si="38"/>
        <v>4.3650365589618598</v>
      </c>
      <c r="AP38" s="78">
        <f t="shared" si="38"/>
        <v>4.4512193297413338</v>
      </c>
      <c r="AQ38" s="78">
        <f t="shared" si="38"/>
        <v>4.2528732702769387</v>
      </c>
      <c r="AR38" s="78">
        <f t="shared" si="38"/>
        <v>4.3312895799324371</v>
      </c>
      <c r="AS38" s="78">
        <f t="shared" si="38"/>
        <v>4.4015965864200757</v>
      </c>
      <c r="AT38" s="78">
        <f t="shared" si="38"/>
        <v>4.5216481208034152</v>
      </c>
      <c r="AU38" s="78">
        <f t="shared" si="38"/>
        <v>4.6754881859589892</v>
      </c>
      <c r="AV38" s="78">
        <f t="shared" si="38"/>
        <v>4.7398084035269763</v>
      </c>
      <c r="AW38" s="78">
        <f t="shared" si="38"/>
        <v>4.9183511455736761</v>
      </c>
    </row>
    <row r="39" spans="1:51">
      <c r="A39" s="3"/>
      <c r="B39" t="s">
        <v>131</v>
      </c>
      <c r="C39" s="165"/>
      <c r="D39" s="23"/>
      <c r="E39" s="23"/>
      <c r="F39" s="23"/>
      <c r="G39" s="23"/>
      <c r="H39" s="23"/>
      <c r="I39" s="23"/>
      <c r="J39" s="23"/>
      <c r="K39" s="23"/>
      <c r="L39" s="89"/>
      <c r="M39" s="74">
        <f>SUM(M37:M38)</f>
        <v>6.3995561253503519</v>
      </c>
      <c r="N39" s="74">
        <f t="shared" ref="N39:Z39" si="40">SUM(N37:N38)</f>
        <v>6.5299090164729439</v>
      </c>
      <c r="O39" s="74">
        <f t="shared" si="40"/>
        <v>6.5277989583037792</v>
      </c>
      <c r="P39" s="74">
        <f t="shared" si="40"/>
        <v>6.423751564786949</v>
      </c>
      <c r="Q39" s="74">
        <f t="shared" si="40"/>
        <v>6.5376262917971415</v>
      </c>
      <c r="R39" s="74">
        <f t="shared" si="40"/>
        <v>6.746046098209515</v>
      </c>
      <c r="S39" s="74">
        <f t="shared" si="40"/>
        <v>7.2202488850960034</v>
      </c>
      <c r="T39" s="74">
        <f t="shared" si="40"/>
        <v>7.030554480986809</v>
      </c>
      <c r="U39" s="74">
        <f t="shared" si="40"/>
        <v>7.7726478774572776</v>
      </c>
      <c r="V39" s="74">
        <f t="shared" si="40"/>
        <v>7.2662224782548384</v>
      </c>
      <c r="W39" s="74">
        <f t="shared" si="40"/>
        <v>7.2371241109131805</v>
      </c>
      <c r="X39" s="74">
        <f t="shared" si="40"/>
        <v>7.3150454386107846</v>
      </c>
      <c r="Y39" s="211">
        <f t="shared" si="40"/>
        <v>2.6622783500548115</v>
      </c>
      <c r="Z39" s="74">
        <f t="shared" si="40"/>
        <v>7.756520850956913</v>
      </c>
      <c r="AA39" s="74">
        <f t="shared" ref="AA39:AL39" si="41">SUM(AA37:AA38)</f>
        <v>7.9463725523379853</v>
      </c>
      <c r="AB39" s="74">
        <f t="shared" si="41"/>
        <v>7.968923908243859</v>
      </c>
      <c r="AC39" s="74">
        <f t="shared" si="41"/>
        <v>8.2965325845928692</v>
      </c>
      <c r="AD39" s="74">
        <f t="shared" si="41"/>
        <v>8.3592311056276412</v>
      </c>
      <c r="AE39" s="74">
        <f t="shared" si="41"/>
        <v>8.6149095951707917</v>
      </c>
      <c r="AF39" s="74">
        <f t="shared" si="41"/>
        <v>8.6416734565033</v>
      </c>
      <c r="AG39" s="74">
        <f t="shared" si="41"/>
        <v>9.1978240094096844</v>
      </c>
      <c r="AH39" s="74">
        <f t="shared" si="41"/>
        <v>9.6041398056348442</v>
      </c>
      <c r="AI39" s="74">
        <f t="shared" si="41"/>
        <v>8.8833681395895034</v>
      </c>
      <c r="AJ39" s="74">
        <f t="shared" si="41"/>
        <v>8.7868461412093026</v>
      </c>
      <c r="AK39" s="74">
        <f t="shared" si="41"/>
        <v>8.7705275764400987</v>
      </c>
      <c r="AL39" s="211">
        <f t="shared" si="41"/>
        <v>3.1686264339621597</v>
      </c>
      <c r="AM39" s="78">
        <f t="shared" ref="AM39:AW39" si="42">SUM(AM37:AM38)</f>
        <v>10.458994114474613</v>
      </c>
      <c r="AN39" s="78">
        <f t="shared" si="42"/>
        <v>11.177368493898825</v>
      </c>
      <c r="AO39" s="78">
        <f t="shared" si="42"/>
        <v>12.536177637877111</v>
      </c>
      <c r="AP39" s="78">
        <f t="shared" si="42"/>
        <v>13.541063311401324</v>
      </c>
      <c r="AQ39" s="78">
        <f t="shared" si="42"/>
        <v>13.912888719829365</v>
      </c>
      <c r="AR39" s="78">
        <f t="shared" si="42"/>
        <v>15.593309521699915</v>
      </c>
      <c r="AS39" s="78">
        <f t="shared" si="42"/>
        <v>17.120595020444668</v>
      </c>
      <c r="AT39" s="78">
        <f t="shared" si="42"/>
        <v>18.494862067802824</v>
      </c>
      <c r="AU39" s="78">
        <f t="shared" si="42"/>
        <v>20.269544723801701</v>
      </c>
      <c r="AV39" s="78">
        <f t="shared" si="42"/>
        <v>21.052734329041467</v>
      </c>
      <c r="AW39" s="78">
        <f t="shared" si="42"/>
        <v>24.267450061227546</v>
      </c>
    </row>
    <row r="40" spans="1:51">
      <c r="A40" s="3"/>
      <c r="B40" s="33" t="s">
        <v>233</v>
      </c>
      <c r="C40" s="166"/>
      <c r="D40" s="23"/>
      <c r="E40" s="23"/>
      <c r="F40" s="23"/>
      <c r="G40" s="23"/>
      <c r="H40" s="23"/>
      <c r="I40" s="23"/>
      <c r="J40" s="23"/>
      <c r="K40" s="23"/>
      <c r="L40" s="89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</row>
    <row r="41" spans="1:51">
      <c r="A41" s="3"/>
      <c r="B41" t="s">
        <v>231</v>
      </c>
      <c r="C41" s="165"/>
      <c r="D41" s="23"/>
      <c r="E41" s="23"/>
      <c r="F41" s="23"/>
      <c r="G41" s="23"/>
      <c r="H41" s="23"/>
      <c r="I41" s="23"/>
      <c r="J41" s="23"/>
      <c r="K41" s="23"/>
      <c r="L41" s="89"/>
      <c r="M41" s="74">
        <f>M16</f>
        <v>3.7963383636932448</v>
      </c>
      <c r="N41" s="74">
        <f t="shared" ref="N41:Y41" si="43">N16</f>
        <v>3.9251281468845747</v>
      </c>
      <c r="O41" s="74">
        <f t="shared" si="43"/>
        <v>3.9177526208667715</v>
      </c>
      <c r="P41" s="74">
        <f t="shared" si="43"/>
        <v>3.9583829858781563</v>
      </c>
      <c r="Q41" s="74">
        <f t="shared" si="43"/>
        <v>3.9650535434312602</v>
      </c>
      <c r="R41" s="74">
        <f t="shared" si="43"/>
        <v>4.1057147400882172</v>
      </c>
      <c r="S41" s="74">
        <f t="shared" si="43"/>
        <v>4.6280961821621247</v>
      </c>
      <c r="T41" s="74">
        <f t="shared" si="43"/>
        <v>4.2085144107267354</v>
      </c>
      <c r="U41" s="74">
        <f t="shared" si="43"/>
        <v>4.6894785183502243</v>
      </c>
      <c r="V41" s="74">
        <f t="shared" si="43"/>
        <v>4.4699835305300013</v>
      </c>
      <c r="W41" s="74">
        <f t="shared" si="43"/>
        <v>4.5930663428745611</v>
      </c>
      <c r="X41" s="74">
        <f t="shared" si="43"/>
        <v>4.6583515678101328</v>
      </c>
      <c r="Y41" s="211">
        <f t="shared" si="43"/>
        <v>0</v>
      </c>
      <c r="Z41" s="74">
        <f t="shared" ref="Z41:AW41" si="44">Z16</f>
        <v>4.8866856798061171</v>
      </c>
      <c r="AA41" s="74">
        <f t="shared" ref="AA41:AL41" si="45">AA16</f>
        <v>5.0551684882073182</v>
      </c>
      <c r="AB41" s="74">
        <f t="shared" si="45"/>
        <v>5.2005594622076536</v>
      </c>
      <c r="AC41" s="74">
        <f t="shared" si="45"/>
        <v>5.3225046534309719</v>
      </c>
      <c r="AD41" s="74">
        <f t="shared" si="45"/>
        <v>5.4315731102566787</v>
      </c>
      <c r="AE41" s="74">
        <f t="shared" si="45"/>
        <v>5.6299815605481953</v>
      </c>
      <c r="AF41" s="74">
        <f t="shared" si="45"/>
        <v>5.6517894361783796</v>
      </c>
      <c r="AG41" s="74">
        <f t="shared" si="45"/>
        <v>5.690344155591383</v>
      </c>
      <c r="AH41" s="74">
        <f t="shared" si="45"/>
        <v>5.7617463416336498</v>
      </c>
      <c r="AI41" s="74">
        <f t="shared" si="45"/>
        <v>5.3798392292094768</v>
      </c>
      <c r="AJ41" s="74">
        <f t="shared" si="45"/>
        <v>5.424671823074668</v>
      </c>
      <c r="AK41" s="74">
        <f t="shared" si="45"/>
        <v>5.4400767169142874</v>
      </c>
      <c r="AL41" s="211">
        <f t="shared" si="45"/>
        <v>0</v>
      </c>
      <c r="AM41" s="78">
        <f t="shared" si="44"/>
        <v>6.4429337942454907</v>
      </c>
      <c r="AN41" s="78">
        <f t="shared" si="44"/>
        <v>6.9344556727440256</v>
      </c>
      <c r="AO41" s="78">
        <f t="shared" si="44"/>
        <v>8.1711410789152517</v>
      </c>
      <c r="AP41" s="78">
        <f t="shared" si="44"/>
        <v>9.089843981659989</v>
      </c>
      <c r="AQ41" s="78">
        <f t="shared" si="44"/>
        <v>9.6600154495524251</v>
      </c>
      <c r="AR41" s="78">
        <f t="shared" si="44"/>
        <v>11.262019941767477</v>
      </c>
      <c r="AS41" s="78">
        <f t="shared" si="44"/>
        <v>12.718998434024591</v>
      </c>
      <c r="AT41" s="78">
        <f t="shared" si="44"/>
        <v>13.973213946999408</v>
      </c>
      <c r="AU41" s="78">
        <f t="shared" si="44"/>
        <v>15.594056537842711</v>
      </c>
      <c r="AV41" s="78">
        <f t="shared" si="44"/>
        <v>16.312925925514492</v>
      </c>
      <c r="AW41" s="78">
        <f t="shared" si="44"/>
        <v>19.349098915653869</v>
      </c>
    </row>
    <row r="42" spans="1:51">
      <c r="A42" s="3"/>
      <c r="B42" t="s">
        <v>232</v>
      </c>
      <c r="C42" s="165"/>
      <c r="D42" s="23"/>
      <c r="E42" s="23"/>
      <c r="F42" s="23"/>
      <c r="G42" s="23"/>
      <c r="H42" s="23"/>
      <c r="I42" s="23"/>
      <c r="J42" s="23"/>
      <c r="K42" s="23"/>
      <c r="L42" s="89"/>
      <c r="M42" s="74">
        <f>M31</f>
        <v>2.6032177616571071</v>
      </c>
      <c r="N42" s="74">
        <f t="shared" ref="N42:Y42" si="46">N31</f>
        <v>2.6047808695883692</v>
      </c>
      <c r="O42" s="74">
        <f t="shared" si="46"/>
        <v>2.6100463374370078</v>
      </c>
      <c r="P42" s="74">
        <f t="shared" si="46"/>
        <v>2.4653685789087931</v>
      </c>
      <c r="Q42" s="74">
        <f t="shared" si="46"/>
        <v>2.5725727483658813</v>
      </c>
      <c r="R42" s="74">
        <f t="shared" si="46"/>
        <v>2.6403313581212973</v>
      </c>
      <c r="S42" s="74">
        <f t="shared" si="46"/>
        <v>2.5921527029338791</v>
      </c>
      <c r="T42" s="74">
        <f t="shared" si="46"/>
        <v>2.8220400702600736</v>
      </c>
      <c r="U42" s="74">
        <f t="shared" si="46"/>
        <v>3.0831693591070528</v>
      </c>
      <c r="V42" s="74">
        <f t="shared" si="46"/>
        <v>2.7962389477248371</v>
      </c>
      <c r="W42" s="74">
        <f t="shared" si="46"/>
        <v>2.6440577680386199</v>
      </c>
      <c r="X42" s="74">
        <f t="shared" si="46"/>
        <v>2.6566938708006518</v>
      </c>
      <c r="Y42" s="211">
        <f t="shared" si="46"/>
        <v>2.6622783500548115</v>
      </c>
      <c r="Z42" s="74">
        <f t="shared" ref="Z42:AW42" si="47">Z31</f>
        <v>2.8698351711507959</v>
      </c>
      <c r="AA42" s="74">
        <f t="shared" ref="AA42:AL42" si="48">AA31</f>
        <v>2.8912040641306671</v>
      </c>
      <c r="AB42" s="74">
        <f t="shared" si="48"/>
        <v>2.7683644460362054</v>
      </c>
      <c r="AC42" s="74">
        <f t="shared" si="48"/>
        <v>2.9740279311618969</v>
      </c>
      <c r="AD42" s="74">
        <f t="shared" si="48"/>
        <v>2.9276579953709621</v>
      </c>
      <c r="AE42" s="74">
        <f t="shared" si="48"/>
        <v>2.9849280346225959</v>
      </c>
      <c r="AF42" s="74">
        <f t="shared" si="48"/>
        <v>2.9898840203249208</v>
      </c>
      <c r="AG42" s="74">
        <f t="shared" si="48"/>
        <v>3.507479853818301</v>
      </c>
      <c r="AH42" s="74">
        <f t="shared" si="48"/>
        <v>3.8423934640011947</v>
      </c>
      <c r="AI42" s="74">
        <f t="shared" si="48"/>
        <v>3.5035289103800271</v>
      </c>
      <c r="AJ42" s="74">
        <f t="shared" si="48"/>
        <v>3.3621743181346355</v>
      </c>
      <c r="AK42" s="74">
        <f t="shared" si="48"/>
        <v>3.3304508595258104</v>
      </c>
      <c r="AL42" s="211">
        <f t="shared" si="48"/>
        <v>3.1686264339621597</v>
      </c>
      <c r="AM42" s="78">
        <f t="shared" si="47"/>
        <v>4.0160603202291236</v>
      </c>
      <c r="AN42" s="78">
        <f t="shared" si="47"/>
        <v>4.2429128211548006</v>
      </c>
      <c r="AO42" s="78">
        <f t="shared" si="47"/>
        <v>4.3650365589618598</v>
      </c>
      <c r="AP42" s="78">
        <f t="shared" si="47"/>
        <v>4.4512193297413338</v>
      </c>
      <c r="AQ42" s="78">
        <f t="shared" si="47"/>
        <v>4.2528732702769387</v>
      </c>
      <c r="AR42" s="78">
        <f t="shared" si="47"/>
        <v>4.3312895799324371</v>
      </c>
      <c r="AS42" s="78">
        <f t="shared" si="47"/>
        <v>4.4015965864200757</v>
      </c>
      <c r="AT42" s="78">
        <f t="shared" si="47"/>
        <v>4.5216481208034152</v>
      </c>
      <c r="AU42" s="78">
        <f t="shared" si="47"/>
        <v>4.6754881859589892</v>
      </c>
      <c r="AV42" s="78">
        <f t="shared" si="47"/>
        <v>4.7398084035269763</v>
      </c>
      <c r="AW42" s="78">
        <f t="shared" si="47"/>
        <v>4.9183511455736761</v>
      </c>
    </row>
    <row r="43" spans="1:51" ht="13.5" thickBot="1">
      <c r="A43" s="3"/>
      <c r="B43" t="s">
        <v>131</v>
      </c>
      <c r="C43" s="165"/>
      <c r="D43" s="77"/>
      <c r="E43" s="77"/>
      <c r="F43" s="77"/>
      <c r="G43" s="77"/>
      <c r="H43" s="77"/>
      <c r="I43" s="77"/>
      <c r="J43" s="77"/>
      <c r="K43" s="77"/>
      <c r="L43" s="176"/>
      <c r="M43" s="244">
        <f>SUM(M41:M42)</f>
        <v>6.3995561253503519</v>
      </c>
      <c r="N43" s="244">
        <f t="shared" ref="N43:Z43" si="49">SUM(N41:N42)</f>
        <v>6.5299090164729439</v>
      </c>
      <c r="O43" s="244">
        <f t="shared" si="49"/>
        <v>6.5277989583037792</v>
      </c>
      <c r="P43" s="244">
        <f t="shared" si="49"/>
        <v>6.423751564786949</v>
      </c>
      <c r="Q43" s="244">
        <f t="shared" si="49"/>
        <v>6.5376262917971415</v>
      </c>
      <c r="R43" s="244">
        <f t="shared" si="49"/>
        <v>6.746046098209515</v>
      </c>
      <c r="S43" s="244">
        <f t="shared" si="49"/>
        <v>7.2202488850960034</v>
      </c>
      <c r="T43" s="244">
        <f t="shared" si="49"/>
        <v>7.030554480986809</v>
      </c>
      <c r="U43" s="244">
        <f t="shared" si="49"/>
        <v>7.7726478774572776</v>
      </c>
      <c r="V43" s="244">
        <f t="shared" si="49"/>
        <v>7.2662224782548384</v>
      </c>
      <c r="W43" s="244">
        <f t="shared" si="49"/>
        <v>7.2371241109131805</v>
      </c>
      <c r="X43" s="244">
        <f t="shared" si="49"/>
        <v>7.3150454386107846</v>
      </c>
      <c r="Y43" s="243">
        <f t="shared" si="49"/>
        <v>2.6622783500548115</v>
      </c>
      <c r="Z43" s="244">
        <f t="shared" si="49"/>
        <v>7.756520850956913</v>
      </c>
      <c r="AA43" s="244">
        <f t="shared" ref="AA43:AL43" si="50">SUM(AA41:AA42)</f>
        <v>7.9463725523379853</v>
      </c>
      <c r="AB43" s="244">
        <f t="shared" si="50"/>
        <v>7.968923908243859</v>
      </c>
      <c r="AC43" s="244">
        <f t="shared" si="50"/>
        <v>8.2965325845928692</v>
      </c>
      <c r="AD43" s="244">
        <f t="shared" si="50"/>
        <v>8.3592311056276412</v>
      </c>
      <c r="AE43" s="244">
        <f t="shared" si="50"/>
        <v>8.6149095951707917</v>
      </c>
      <c r="AF43" s="244">
        <f t="shared" si="50"/>
        <v>8.6416734565033</v>
      </c>
      <c r="AG43" s="244">
        <f t="shared" si="50"/>
        <v>9.1978240094096844</v>
      </c>
      <c r="AH43" s="244">
        <f t="shared" si="50"/>
        <v>9.6041398056348442</v>
      </c>
      <c r="AI43" s="244">
        <f t="shared" si="50"/>
        <v>8.8833681395895034</v>
      </c>
      <c r="AJ43" s="244">
        <f t="shared" si="50"/>
        <v>8.7868461412093026</v>
      </c>
      <c r="AK43" s="244">
        <f t="shared" si="50"/>
        <v>8.7705275764400987</v>
      </c>
      <c r="AL43" s="243">
        <f t="shared" si="50"/>
        <v>3.1686264339621597</v>
      </c>
      <c r="AM43" s="242">
        <f t="shared" ref="AM43:AW43" si="51">SUM(AM41:AM42)</f>
        <v>10.458994114474613</v>
      </c>
      <c r="AN43" s="242">
        <f t="shared" si="51"/>
        <v>11.177368493898825</v>
      </c>
      <c r="AO43" s="242">
        <f t="shared" si="51"/>
        <v>12.536177637877111</v>
      </c>
      <c r="AP43" s="242">
        <f t="shared" si="51"/>
        <v>13.541063311401324</v>
      </c>
      <c r="AQ43" s="242">
        <f t="shared" si="51"/>
        <v>13.912888719829365</v>
      </c>
      <c r="AR43" s="242">
        <f t="shared" si="51"/>
        <v>15.593309521699915</v>
      </c>
      <c r="AS43" s="242">
        <f t="shared" si="51"/>
        <v>17.120595020444668</v>
      </c>
      <c r="AT43" s="242">
        <f t="shared" si="51"/>
        <v>18.494862067802824</v>
      </c>
      <c r="AU43" s="242">
        <f t="shared" si="51"/>
        <v>20.269544723801701</v>
      </c>
      <c r="AV43" s="242">
        <f t="shared" si="51"/>
        <v>21.052734329041467</v>
      </c>
      <c r="AW43" s="242">
        <f t="shared" si="51"/>
        <v>24.267450061227546</v>
      </c>
    </row>
    <row r="44" spans="1:51" ht="13.5" thickTop="1">
      <c r="A44" s="3"/>
      <c r="C44" s="165"/>
    </row>
    <row r="45" spans="1:51">
      <c r="A45" s="3"/>
      <c r="B45" s="34" t="s">
        <v>234</v>
      </c>
      <c r="C45" s="167"/>
      <c r="D45" s="34"/>
      <c r="E45" s="34"/>
      <c r="F45" s="34"/>
      <c r="G45" s="34"/>
      <c r="H45" s="34"/>
      <c r="I45" s="34"/>
      <c r="J45" s="34"/>
      <c r="K45" s="34"/>
      <c r="L45" s="305"/>
    </row>
    <row r="46" spans="1:51">
      <c r="A46" s="3"/>
      <c r="B46" t="s">
        <v>231</v>
      </c>
      <c r="C46" s="165"/>
      <c r="D46" s="23"/>
      <c r="E46" s="23"/>
      <c r="F46" s="23"/>
      <c r="G46" s="23"/>
      <c r="H46" s="23"/>
      <c r="I46" s="23"/>
      <c r="J46" s="23"/>
      <c r="K46" s="23"/>
      <c r="L46" s="89"/>
      <c r="M46" s="74">
        <f>M16</f>
        <v>3.7963383636932448</v>
      </c>
      <c r="N46" s="74">
        <f t="shared" ref="N46:Y46" si="52">N16</f>
        <v>3.9251281468845747</v>
      </c>
      <c r="O46" s="74">
        <f t="shared" si="52"/>
        <v>3.9177526208667715</v>
      </c>
      <c r="P46" s="74">
        <f t="shared" si="52"/>
        <v>3.9583829858781563</v>
      </c>
      <c r="Q46" s="74">
        <f t="shared" si="52"/>
        <v>3.9650535434312602</v>
      </c>
      <c r="R46" s="74">
        <f t="shared" si="52"/>
        <v>4.1057147400882172</v>
      </c>
      <c r="S46" s="74">
        <f t="shared" si="52"/>
        <v>4.6280961821621247</v>
      </c>
      <c r="T46" s="74">
        <f t="shared" si="52"/>
        <v>4.2085144107267354</v>
      </c>
      <c r="U46" s="74">
        <f t="shared" si="52"/>
        <v>4.6894785183502243</v>
      </c>
      <c r="V46" s="74">
        <f t="shared" si="52"/>
        <v>4.4699835305300013</v>
      </c>
      <c r="W46" s="74">
        <f t="shared" si="52"/>
        <v>4.5930663428745611</v>
      </c>
      <c r="X46" s="74">
        <f t="shared" si="52"/>
        <v>4.6583515678101328</v>
      </c>
      <c r="Y46" s="211">
        <f t="shared" si="52"/>
        <v>0</v>
      </c>
      <c r="Z46" s="74">
        <f t="shared" ref="Z46:AW46" si="53">Z16</f>
        <v>4.8866856798061171</v>
      </c>
      <c r="AA46" s="74">
        <f t="shared" ref="AA46:AL46" si="54">AA16</f>
        <v>5.0551684882073182</v>
      </c>
      <c r="AB46" s="74">
        <f t="shared" si="54"/>
        <v>5.2005594622076536</v>
      </c>
      <c r="AC46" s="74">
        <f t="shared" si="54"/>
        <v>5.3225046534309719</v>
      </c>
      <c r="AD46" s="74">
        <f t="shared" si="54"/>
        <v>5.4315731102566787</v>
      </c>
      <c r="AE46" s="74">
        <f t="shared" si="54"/>
        <v>5.6299815605481953</v>
      </c>
      <c r="AF46" s="74">
        <f t="shared" si="54"/>
        <v>5.6517894361783796</v>
      </c>
      <c r="AG46" s="74">
        <f t="shared" si="54"/>
        <v>5.690344155591383</v>
      </c>
      <c r="AH46" s="74">
        <f t="shared" si="54"/>
        <v>5.7617463416336498</v>
      </c>
      <c r="AI46" s="74">
        <f t="shared" si="54"/>
        <v>5.3798392292094768</v>
      </c>
      <c r="AJ46" s="74">
        <f t="shared" si="54"/>
        <v>5.424671823074668</v>
      </c>
      <c r="AK46" s="74">
        <f t="shared" si="54"/>
        <v>5.4400767169142874</v>
      </c>
      <c r="AL46" s="211">
        <f t="shared" si="54"/>
        <v>0</v>
      </c>
      <c r="AM46" s="78">
        <f t="shared" si="53"/>
        <v>6.4429337942454907</v>
      </c>
      <c r="AN46" s="78">
        <f t="shared" si="53"/>
        <v>6.9344556727440256</v>
      </c>
      <c r="AO46" s="78">
        <f t="shared" si="53"/>
        <v>8.1711410789152517</v>
      </c>
      <c r="AP46" s="78">
        <f t="shared" si="53"/>
        <v>9.089843981659989</v>
      </c>
      <c r="AQ46" s="78">
        <f t="shared" si="53"/>
        <v>9.6600154495524251</v>
      </c>
      <c r="AR46" s="78">
        <f t="shared" si="53"/>
        <v>11.262019941767477</v>
      </c>
      <c r="AS46" s="78">
        <f t="shared" si="53"/>
        <v>12.718998434024591</v>
      </c>
      <c r="AT46" s="78">
        <f t="shared" si="53"/>
        <v>13.973213946999408</v>
      </c>
      <c r="AU46" s="78">
        <f t="shared" si="53"/>
        <v>15.594056537842711</v>
      </c>
      <c r="AV46" s="78">
        <f t="shared" si="53"/>
        <v>16.312925925514492</v>
      </c>
      <c r="AW46" s="78">
        <f t="shared" si="53"/>
        <v>19.349098915653869</v>
      </c>
    </row>
    <row r="47" spans="1:51">
      <c r="A47" s="3"/>
      <c r="B47" t="s">
        <v>235</v>
      </c>
      <c r="C47" s="165"/>
      <c r="D47" s="23"/>
      <c r="E47" s="23"/>
      <c r="F47" s="23"/>
      <c r="G47" s="23"/>
      <c r="H47" s="23"/>
      <c r="I47" s="23"/>
      <c r="J47" s="23"/>
      <c r="K47" s="23"/>
      <c r="L47" s="89"/>
      <c r="M47" s="74">
        <f>M24</f>
        <v>-0.5925009641938721</v>
      </c>
      <c r="N47" s="74">
        <f t="shared" ref="N47:Y47" si="55">N24</f>
        <v>-0.55731927656533431</v>
      </c>
      <c r="O47" s="74">
        <f t="shared" si="55"/>
        <v>-0.5737368842685836</v>
      </c>
      <c r="P47" s="74">
        <f t="shared" si="55"/>
        <v>-0.55093233577754153</v>
      </c>
      <c r="Q47" s="74">
        <f t="shared" si="55"/>
        <v>-0.56551745076960325</v>
      </c>
      <c r="R47" s="74">
        <f t="shared" si="55"/>
        <v>-0.57551819176572117</v>
      </c>
      <c r="S47" s="74">
        <f t="shared" si="55"/>
        <v>-0.58988169069912166</v>
      </c>
      <c r="T47" s="74">
        <f t="shared" si="55"/>
        <v>-0.53806472210346379</v>
      </c>
      <c r="U47" s="74">
        <f t="shared" si="55"/>
        <v>-0.35249368719290919</v>
      </c>
      <c r="V47" s="74">
        <f t="shared" si="55"/>
        <v>-0.33771326517128042</v>
      </c>
      <c r="W47" s="74">
        <f t="shared" si="55"/>
        <v>-0.35298582223814712</v>
      </c>
      <c r="X47" s="74">
        <f t="shared" si="55"/>
        <v>-0.42066034645085848</v>
      </c>
      <c r="Y47" s="211">
        <f t="shared" si="55"/>
        <v>0</v>
      </c>
      <c r="Z47" s="74">
        <f t="shared" ref="Z47:AW47" si="56">Z24</f>
        <v>-0.4131719799560179</v>
      </c>
      <c r="AA47" s="74">
        <f t="shared" ref="AA47:AL47" si="57">AA24</f>
        <v>-0.34973372325587471</v>
      </c>
      <c r="AB47" s="74">
        <f t="shared" si="57"/>
        <v>-0.36078650176760829</v>
      </c>
      <c r="AC47" s="74">
        <f t="shared" si="57"/>
        <v>-0.30574356931596547</v>
      </c>
      <c r="AD47" s="74">
        <f t="shared" si="57"/>
        <v>-0.33667919218428721</v>
      </c>
      <c r="AE47" s="74">
        <f t="shared" si="57"/>
        <v>-0.37682679036234384</v>
      </c>
      <c r="AF47" s="74">
        <f t="shared" si="57"/>
        <v>-0.41144180507006445</v>
      </c>
      <c r="AG47" s="74">
        <f t="shared" si="57"/>
        <v>-0.40356873242944441</v>
      </c>
      <c r="AH47" s="74">
        <f t="shared" si="57"/>
        <v>-0.33985615603992791</v>
      </c>
      <c r="AI47" s="74">
        <f t="shared" si="57"/>
        <v>-0.32435764479598539</v>
      </c>
      <c r="AJ47" s="74">
        <f t="shared" si="57"/>
        <v>-0.3403501960191645</v>
      </c>
      <c r="AK47" s="74">
        <f t="shared" si="57"/>
        <v>-0.41014899239402358</v>
      </c>
      <c r="AL47" s="211">
        <f t="shared" si="57"/>
        <v>0</v>
      </c>
      <c r="AM47" s="78">
        <f t="shared" si="56"/>
        <v>1.0131421398017837</v>
      </c>
      <c r="AN47" s="78">
        <f t="shared" si="56"/>
        <v>0.99924221133673552</v>
      </c>
      <c r="AO47" s="78">
        <f t="shared" si="56"/>
        <v>0.99135611566123527</v>
      </c>
      <c r="AP47" s="78">
        <f t="shared" si="56"/>
        <v>1.0765746673305254</v>
      </c>
      <c r="AQ47" s="78">
        <f t="shared" si="56"/>
        <v>1.0686185000164423</v>
      </c>
      <c r="AR47" s="78">
        <f t="shared" si="56"/>
        <v>1.0561807903917591</v>
      </c>
      <c r="AS47" s="78">
        <f t="shared" si="56"/>
        <v>1.1448931705845138</v>
      </c>
      <c r="AT47" s="78">
        <f t="shared" si="56"/>
        <v>1.134146890515384</v>
      </c>
      <c r="AU47" s="78">
        <f t="shared" si="56"/>
        <v>1.123291046116063</v>
      </c>
      <c r="AV47" s="78">
        <f t="shared" si="56"/>
        <v>1.2088481793355568</v>
      </c>
      <c r="AW47" s="78">
        <f t="shared" si="56"/>
        <v>1.2002371025658123</v>
      </c>
    </row>
    <row r="48" spans="1:51">
      <c r="A48" s="3"/>
      <c r="B48" t="s">
        <v>232</v>
      </c>
      <c r="C48" s="165"/>
      <c r="D48" s="57"/>
      <c r="E48" s="57"/>
      <c r="F48" s="57"/>
      <c r="G48" s="57"/>
      <c r="H48" s="57"/>
      <c r="I48" s="57"/>
      <c r="J48" s="57"/>
      <c r="K48" s="57"/>
      <c r="L48" s="173"/>
      <c r="M48" s="74">
        <f>M31</f>
        <v>2.6032177616571071</v>
      </c>
      <c r="N48" s="74">
        <f t="shared" ref="N48:Y48" si="58">N31</f>
        <v>2.6047808695883692</v>
      </c>
      <c r="O48" s="74">
        <f t="shared" si="58"/>
        <v>2.6100463374370078</v>
      </c>
      <c r="P48" s="74">
        <f t="shared" si="58"/>
        <v>2.4653685789087931</v>
      </c>
      <c r="Q48" s="74">
        <f t="shared" si="58"/>
        <v>2.5725727483658813</v>
      </c>
      <c r="R48" s="74">
        <f t="shared" si="58"/>
        <v>2.6403313581212973</v>
      </c>
      <c r="S48" s="74">
        <f t="shared" si="58"/>
        <v>2.5921527029338791</v>
      </c>
      <c r="T48" s="74">
        <f t="shared" si="58"/>
        <v>2.8220400702600736</v>
      </c>
      <c r="U48" s="74">
        <f t="shared" si="58"/>
        <v>3.0831693591070528</v>
      </c>
      <c r="V48" s="74">
        <f t="shared" si="58"/>
        <v>2.7962389477248371</v>
      </c>
      <c r="W48" s="74">
        <f t="shared" si="58"/>
        <v>2.6440577680386199</v>
      </c>
      <c r="X48" s="74">
        <f t="shared" si="58"/>
        <v>2.6566938708006518</v>
      </c>
      <c r="Y48" s="211">
        <f t="shared" si="58"/>
        <v>2.6622783500548115</v>
      </c>
      <c r="Z48" s="74">
        <f t="shared" ref="Z48:AW48" si="59">Z31</f>
        <v>2.8698351711507959</v>
      </c>
      <c r="AA48" s="74">
        <f t="shared" ref="AA48:AL48" si="60">AA31</f>
        <v>2.8912040641306671</v>
      </c>
      <c r="AB48" s="74">
        <f t="shared" si="60"/>
        <v>2.7683644460362054</v>
      </c>
      <c r="AC48" s="74">
        <f t="shared" si="60"/>
        <v>2.9740279311618969</v>
      </c>
      <c r="AD48" s="74">
        <f t="shared" si="60"/>
        <v>2.9276579953709621</v>
      </c>
      <c r="AE48" s="74">
        <f t="shared" si="60"/>
        <v>2.9849280346225959</v>
      </c>
      <c r="AF48" s="74">
        <f t="shared" si="60"/>
        <v>2.9898840203249208</v>
      </c>
      <c r="AG48" s="74">
        <f t="shared" si="60"/>
        <v>3.507479853818301</v>
      </c>
      <c r="AH48" s="74">
        <f t="shared" si="60"/>
        <v>3.8423934640011947</v>
      </c>
      <c r="AI48" s="74">
        <f t="shared" si="60"/>
        <v>3.5035289103800271</v>
      </c>
      <c r="AJ48" s="74">
        <f t="shared" si="60"/>
        <v>3.3621743181346355</v>
      </c>
      <c r="AK48" s="74">
        <f t="shared" si="60"/>
        <v>3.3304508595258104</v>
      </c>
      <c r="AL48" s="211">
        <f t="shared" si="60"/>
        <v>3.1686264339621597</v>
      </c>
      <c r="AM48" s="78">
        <f t="shared" si="59"/>
        <v>4.0160603202291236</v>
      </c>
      <c r="AN48" s="78">
        <f t="shared" si="59"/>
        <v>4.2429128211548006</v>
      </c>
      <c r="AO48" s="78">
        <f t="shared" si="59"/>
        <v>4.3650365589618598</v>
      </c>
      <c r="AP48" s="78">
        <f t="shared" si="59"/>
        <v>4.4512193297413338</v>
      </c>
      <c r="AQ48" s="78">
        <f t="shared" si="59"/>
        <v>4.2528732702769387</v>
      </c>
      <c r="AR48" s="78">
        <f t="shared" si="59"/>
        <v>4.3312895799324371</v>
      </c>
      <c r="AS48" s="78">
        <f t="shared" si="59"/>
        <v>4.4015965864200757</v>
      </c>
      <c r="AT48" s="78">
        <f t="shared" si="59"/>
        <v>4.5216481208034152</v>
      </c>
      <c r="AU48" s="78">
        <f t="shared" si="59"/>
        <v>4.6754881859589892</v>
      </c>
      <c r="AV48" s="78">
        <f t="shared" si="59"/>
        <v>4.7398084035269763</v>
      </c>
      <c r="AW48" s="78">
        <f t="shared" si="59"/>
        <v>4.9183511455736761</v>
      </c>
    </row>
    <row r="49" spans="1:51" ht="13.5" thickBot="1">
      <c r="A49" s="3"/>
      <c r="B49" t="s">
        <v>131</v>
      </c>
      <c r="C49" s="165"/>
      <c r="D49" s="77"/>
      <c r="E49" s="77"/>
      <c r="F49" s="77"/>
      <c r="G49" s="77"/>
      <c r="H49" s="77"/>
      <c r="I49" s="77"/>
      <c r="J49" s="77"/>
      <c r="K49" s="77"/>
      <c r="L49" s="176"/>
      <c r="M49" s="244">
        <f>SUM(M46:M48)</f>
        <v>5.8070551611564802</v>
      </c>
      <c r="N49" s="244">
        <f t="shared" ref="N49:Z49" si="61">SUM(N46:N48)</f>
        <v>5.97258973990761</v>
      </c>
      <c r="O49" s="244">
        <f t="shared" si="61"/>
        <v>5.9540620740351962</v>
      </c>
      <c r="P49" s="244">
        <f t="shared" si="61"/>
        <v>5.8728192290094086</v>
      </c>
      <c r="Q49" s="244">
        <f t="shared" si="61"/>
        <v>5.9721088410275378</v>
      </c>
      <c r="R49" s="244">
        <f t="shared" si="61"/>
        <v>6.1705279064437928</v>
      </c>
      <c r="S49" s="244">
        <f t="shared" si="61"/>
        <v>6.6303671943968823</v>
      </c>
      <c r="T49" s="244">
        <f t="shared" si="61"/>
        <v>6.4924897588833455</v>
      </c>
      <c r="U49" s="244">
        <f t="shared" si="61"/>
        <v>7.420154190264368</v>
      </c>
      <c r="V49" s="244">
        <f t="shared" si="61"/>
        <v>6.9285092130835579</v>
      </c>
      <c r="W49" s="244">
        <f t="shared" si="61"/>
        <v>6.8841382886750342</v>
      </c>
      <c r="X49" s="244">
        <f t="shared" si="61"/>
        <v>6.8943850921599257</v>
      </c>
      <c r="Y49" s="243">
        <f t="shared" si="61"/>
        <v>2.6622783500548115</v>
      </c>
      <c r="Z49" s="244">
        <f t="shared" si="61"/>
        <v>7.3433488710008952</v>
      </c>
      <c r="AA49" s="244">
        <f t="shared" ref="AA49:AL49" si="62">SUM(AA46:AA48)</f>
        <v>7.596638829082111</v>
      </c>
      <c r="AB49" s="244">
        <f t="shared" si="62"/>
        <v>7.608137406476251</v>
      </c>
      <c r="AC49" s="244">
        <f t="shared" si="62"/>
        <v>7.9907890152769028</v>
      </c>
      <c r="AD49" s="244">
        <f t="shared" si="62"/>
        <v>8.0225519134433529</v>
      </c>
      <c r="AE49" s="244">
        <f t="shared" si="62"/>
        <v>8.2380828048084478</v>
      </c>
      <c r="AF49" s="244">
        <f t="shared" si="62"/>
        <v>8.2302316514332361</v>
      </c>
      <c r="AG49" s="244">
        <f t="shared" si="62"/>
        <v>8.7942552769802393</v>
      </c>
      <c r="AH49" s="244">
        <f t="shared" si="62"/>
        <v>9.2642836495949172</v>
      </c>
      <c r="AI49" s="244">
        <f t="shared" si="62"/>
        <v>8.5590104947935188</v>
      </c>
      <c r="AJ49" s="244">
        <f t="shared" si="62"/>
        <v>8.44649594519014</v>
      </c>
      <c r="AK49" s="244">
        <f t="shared" si="62"/>
        <v>8.3603785840460745</v>
      </c>
      <c r="AL49" s="243">
        <f t="shared" si="62"/>
        <v>3.1686264339621597</v>
      </c>
      <c r="AM49" s="242">
        <f t="shared" ref="AM49:AW49" si="63">SUM(AM46:AM48)</f>
        <v>11.472136254276398</v>
      </c>
      <c r="AN49" s="242">
        <f t="shared" si="63"/>
        <v>12.176610705235561</v>
      </c>
      <c r="AO49" s="242">
        <f t="shared" si="63"/>
        <v>13.527533753538346</v>
      </c>
      <c r="AP49" s="242">
        <f t="shared" si="63"/>
        <v>14.61763797873185</v>
      </c>
      <c r="AQ49" s="242">
        <f t="shared" si="63"/>
        <v>14.981507219845806</v>
      </c>
      <c r="AR49" s="242">
        <f t="shared" si="63"/>
        <v>16.649490312091672</v>
      </c>
      <c r="AS49" s="242">
        <f t="shared" si="63"/>
        <v>18.265488191029181</v>
      </c>
      <c r="AT49" s="242">
        <f t="shared" si="63"/>
        <v>19.629008958318206</v>
      </c>
      <c r="AU49" s="242">
        <f t="shared" si="63"/>
        <v>21.392835769917763</v>
      </c>
      <c r="AV49" s="242">
        <f t="shared" si="63"/>
        <v>22.261582508377025</v>
      </c>
      <c r="AW49" s="242">
        <f t="shared" si="63"/>
        <v>25.467687163793357</v>
      </c>
    </row>
    <row r="50" spans="1:51" ht="13.5" thickTop="1">
      <c r="A50" s="3"/>
      <c r="C50" s="165"/>
    </row>
    <row r="51" spans="1:51">
      <c r="A51" s="3"/>
      <c r="B51" s="34" t="s">
        <v>894</v>
      </c>
      <c r="C51" s="167"/>
      <c r="D51" s="34"/>
      <c r="E51" s="34"/>
      <c r="F51" s="34"/>
      <c r="G51" s="34"/>
      <c r="H51" s="34"/>
      <c r="I51" s="34"/>
      <c r="J51" s="34"/>
      <c r="K51" s="34"/>
      <c r="L51" s="305"/>
    </row>
    <row r="52" spans="1:51" s="13" customFormat="1">
      <c r="A52" s="12"/>
      <c r="B52" s="13" t="s">
        <v>276</v>
      </c>
      <c r="D52" s="230"/>
      <c r="E52" s="230"/>
      <c r="F52" s="230"/>
      <c r="G52" s="230"/>
      <c r="H52" s="230"/>
      <c r="I52" s="230"/>
      <c r="J52" s="230"/>
      <c r="K52" s="230"/>
      <c r="L52" s="171"/>
      <c r="M52" s="578">
        <v>0.408333</v>
      </c>
      <c r="N52" s="578">
        <v>0.408333</v>
      </c>
      <c r="O52" s="578">
        <v>0.408333</v>
      </c>
      <c r="P52" s="578">
        <v>0.408333</v>
      </c>
      <c r="Q52" s="578">
        <v>0.408333</v>
      </c>
      <c r="R52" s="578">
        <v>0.408333</v>
      </c>
      <c r="S52" s="578">
        <v>0.408333</v>
      </c>
      <c r="T52" s="730">
        <f>(0.263373-0.086588)+(0.34496-0.113412)/31*20</f>
        <v>0.32617080645161289</v>
      </c>
      <c r="U52" s="730">
        <f>0.263373-0.086588</f>
        <v>0.17678500000000003</v>
      </c>
      <c r="V52" s="730">
        <f t="shared" ref="V52:AK52" si="64">0.263373-0.086588</f>
        <v>0.17678500000000003</v>
      </c>
      <c r="W52" s="730">
        <f t="shared" si="64"/>
        <v>0.17678500000000003</v>
      </c>
      <c r="X52" s="730">
        <f t="shared" si="64"/>
        <v>0.17678500000000003</v>
      </c>
      <c r="Y52" s="729">
        <f>SUM(M52:X52)</f>
        <v>3.8916418064516134</v>
      </c>
      <c r="Z52" s="730">
        <f t="shared" si="64"/>
        <v>0.17678500000000003</v>
      </c>
      <c r="AA52" s="730">
        <f t="shared" si="64"/>
        <v>0.17678500000000003</v>
      </c>
      <c r="AB52" s="730">
        <f t="shared" si="64"/>
        <v>0.17678500000000003</v>
      </c>
      <c r="AC52" s="730">
        <f t="shared" si="64"/>
        <v>0.17678500000000003</v>
      </c>
      <c r="AD52" s="730">
        <f t="shared" si="64"/>
        <v>0.17678500000000003</v>
      </c>
      <c r="AE52" s="730">
        <f t="shared" si="64"/>
        <v>0.17678500000000003</v>
      </c>
      <c r="AF52" s="730">
        <f t="shared" si="64"/>
        <v>0.17678500000000003</v>
      </c>
      <c r="AG52" s="730">
        <f t="shared" si="64"/>
        <v>0.17678500000000003</v>
      </c>
      <c r="AH52" s="730">
        <f t="shared" si="64"/>
        <v>0.17678500000000003</v>
      </c>
      <c r="AI52" s="730">
        <f t="shared" si="64"/>
        <v>0.17678500000000003</v>
      </c>
      <c r="AJ52" s="730">
        <f t="shared" si="64"/>
        <v>0.17678500000000003</v>
      </c>
      <c r="AK52" s="730">
        <f t="shared" si="64"/>
        <v>0.17678500000000003</v>
      </c>
      <c r="AL52" s="728">
        <f>SUM(Z52:AK52)</f>
        <v>2.1214200000000001</v>
      </c>
      <c r="AM52" s="730">
        <f>(0.263373-0.086588)*12</f>
        <v>2.1214200000000005</v>
      </c>
      <c r="AN52" s="730">
        <f>(0.263373-0.086588)*12</f>
        <v>2.1214200000000005</v>
      </c>
      <c r="AO52" s="730">
        <f>0.36738*12-0.086588*6</f>
        <v>3.8890319999999994</v>
      </c>
      <c r="AP52" s="730">
        <f>0.36738*12</f>
        <v>4.4085599999999996</v>
      </c>
      <c r="AQ52" s="730">
        <f t="shared" ref="AQ52:AW52" si="65">0.36738*12</f>
        <v>4.4085599999999996</v>
      </c>
      <c r="AR52" s="730">
        <f t="shared" si="65"/>
        <v>4.4085599999999996</v>
      </c>
      <c r="AS52" s="730">
        <f t="shared" si="65"/>
        <v>4.4085599999999996</v>
      </c>
      <c r="AT52" s="730">
        <f t="shared" si="65"/>
        <v>4.4085599999999996</v>
      </c>
      <c r="AU52" s="730">
        <f t="shared" si="65"/>
        <v>4.4085599999999996</v>
      </c>
      <c r="AV52" s="730">
        <f t="shared" si="65"/>
        <v>4.4085599999999996</v>
      </c>
      <c r="AW52" s="730">
        <f t="shared" si="65"/>
        <v>4.4085599999999996</v>
      </c>
      <c r="AX52" s="942"/>
      <c r="AY52" s="942"/>
    </row>
    <row r="53" spans="1:51">
      <c r="A53" s="3"/>
      <c r="B53" s="13" t="s">
        <v>277</v>
      </c>
      <c r="C53" s="165"/>
      <c r="D53" s="31"/>
      <c r="E53" s="31"/>
      <c r="F53" s="31"/>
      <c r="G53" s="31"/>
      <c r="H53" s="31"/>
      <c r="I53" s="31"/>
      <c r="J53" s="31"/>
      <c r="K53" s="31"/>
      <c r="L53" s="172"/>
      <c r="M53" s="726">
        <f>(M57+M58)*(PCM!N8+PCM!N9)</f>
        <v>0.75245183999999987</v>
      </c>
      <c r="N53" s="726">
        <f>(N57+N58)*(PCM!O8+PCM!O9)</f>
        <v>0.67963392</v>
      </c>
      <c r="O53" s="726">
        <f>(O57+O58)*(PCM!P8+PCM!P9)</f>
        <v>0.75245183999999987</v>
      </c>
      <c r="P53" s="726">
        <f>(P57+P58)*(PCM!Q8+PCM!Q9)</f>
        <v>0.72817920000000003</v>
      </c>
      <c r="Q53" s="726">
        <f>(Q57+Q58)*(PCM!R8+PCM!R9)</f>
        <v>0.75245183999999987</v>
      </c>
      <c r="R53" s="726">
        <f>(R57+R58)*(PCM!S8+PCM!S9)</f>
        <v>0.72817920000000003</v>
      </c>
      <c r="S53" s="726">
        <f>(S57+S58)*(PCM!T8+PCM!T9)</f>
        <v>0.74370239999999976</v>
      </c>
      <c r="T53" s="726">
        <f>(T57+T58)*(PCM!U8+PCM!U9)</f>
        <v>0.58045478399999995</v>
      </c>
      <c r="U53" s="726">
        <f>(U57+U58)*(PCM!V8+PCM!V9)</f>
        <v>0.31159295999999997</v>
      </c>
      <c r="V53" s="726">
        <f>(V57+V58)*(PCM!W8+PCM!W9)</f>
        <v>0.32197939199999998</v>
      </c>
      <c r="W53" s="726">
        <f>(W57+W58)*(PCM!X8+PCM!X9)</f>
        <v>0.31159295999999997</v>
      </c>
      <c r="X53" s="726">
        <f>(X57+X58)*(PCM!Y8+PCM!Y9)</f>
        <v>0.32197939199999998</v>
      </c>
      <c r="Y53" s="727">
        <f>(Y57+Y58)*(PCM!Z8+PCM!Z9)</f>
        <v>6.9846497279999991</v>
      </c>
      <c r="Z53" s="726">
        <f>(Z57+Z58)*(PCM!AA8+PCM!AA9)</f>
        <v>0.32197939199999998</v>
      </c>
      <c r="AA53" s="726">
        <f>(AA57+AA58)*(PCM!AB8+PCM!AB9)</f>
        <v>0.29082009599999997</v>
      </c>
      <c r="AB53" s="726">
        <f>(AB57+AB58)*(PCM!AC8+PCM!AC9)</f>
        <v>0.32197939199999998</v>
      </c>
      <c r="AC53" s="726">
        <f>(AC57+AC58)*(PCM!AD8+PCM!AD9)</f>
        <v>0.31159295999999997</v>
      </c>
      <c r="AD53" s="726">
        <f>(AD57+AD58)*(PCM!AE8+PCM!AE9)</f>
        <v>0.32197939199999998</v>
      </c>
      <c r="AE53" s="726">
        <f>(AE57+AE58)*(PCM!AF8+PCM!AF9)</f>
        <v>0.31159295999999997</v>
      </c>
      <c r="AF53" s="726">
        <f>(AF57+AF58)*(PCM!AG8+PCM!AG9)</f>
        <v>0.32197939199999998</v>
      </c>
      <c r="AG53" s="726">
        <f>(AG57+AG58)*(PCM!AH8+PCM!AH9)</f>
        <v>0.32197939199999998</v>
      </c>
      <c r="AH53" s="726">
        <f>(AH57+AH58)*(PCM!AI8+PCM!AI9)</f>
        <v>0.31159295999999997</v>
      </c>
      <c r="AI53" s="726">
        <f>(AI57+AI58)*(PCM!AJ8+PCM!AJ9)</f>
        <v>0.32197939199999998</v>
      </c>
      <c r="AJ53" s="726">
        <f>(AJ57+AJ58)*(PCM!AK8+PCM!AK9)</f>
        <v>0.31159295999999997</v>
      </c>
      <c r="AK53" s="726">
        <f>(AK57+AK58)*(PCM!AL8+PCM!AL9)</f>
        <v>0.32197939199999998</v>
      </c>
      <c r="AL53" s="727">
        <f>(AL57+AL58)*(PCM!AM8+PCM!AM9)</f>
        <v>3.7910476799999988</v>
      </c>
      <c r="AM53" s="726">
        <f>(AM57+AM58)*(PCM!AN8+PCM!AN9)</f>
        <v>3.7910476799999997</v>
      </c>
      <c r="AN53" s="726">
        <f>(AN57+AN58)*(PCM!AO8+PCM!AO9)</f>
        <v>3.8014341119999995</v>
      </c>
      <c r="AO53" s="726">
        <f>(AO57+AO58)*(PCM!AP8+PCM!AP9)</f>
        <v>3.7910476799999997</v>
      </c>
      <c r="AP53" s="726">
        <f>(AP57+AP58)*(PCM!AQ8+PCM!AQ9)</f>
        <v>3.7910476799999997</v>
      </c>
      <c r="AQ53" s="726">
        <f>(AQ57+AQ58)*(PCM!AR8+PCM!AR9)</f>
        <v>3.7910476799999997</v>
      </c>
      <c r="AR53" s="726">
        <f>(AR57+AR58)*(PCM!AS8+PCM!AS9)</f>
        <v>3.8014341119999995</v>
      </c>
      <c r="AS53" s="726">
        <f>(AS57+AS58)*(PCM!AT8+PCM!AT9)</f>
        <v>3.7910476799999997</v>
      </c>
      <c r="AT53" s="726">
        <f>(AT57+AT58)*(PCM!AU8+PCM!AU9)</f>
        <v>3.7910476799999997</v>
      </c>
      <c r="AU53" s="726">
        <f>(AU57+AU58)*(PCM!AV8+PCM!AV9)</f>
        <v>3.7910476799999997</v>
      </c>
      <c r="AV53" s="726">
        <f>(AV57+AV58)*(PCM!AW8+PCM!AW9)</f>
        <v>3.8014341119999995</v>
      </c>
      <c r="AW53" s="726">
        <f>(AW57+AW58)*(PCM!AX8+PCM!AX9)</f>
        <v>3.7910476799999997</v>
      </c>
      <c r="AX53" s="726"/>
      <c r="AY53" s="726"/>
    </row>
    <row r="54" spans="1:51">
      <c r="A54" s="3"/>
      <c r="B54" s="13"/>
      <c r="C54" s="165"/>
      <c r="D54" s="13"/>
      <c r="E54" s="13"/>
      <c r="F54" s="13"/>
      <c r="G54" s="13"/>
      <c r="H54" s="13"/>
      <c r="I54" s="13"/>
      <c r="J54" s="13"/>
      <c r="K54" s="13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26"/>
      <c r="AY54" s="726"/>
    </row>
    <row r="55" spans="1:51">
      <c r="A55" s="3"/>
      <c r="B55" s="13" t="s">
        <v>278</v>
      </c>
      <c r="C55" s="165"/>
      <c r="D55" s="59"/>
      <c r="E55" s="59"/>
      <c r="F55" s="59"/>
      <c r="G55" s="59"/>
      <c r="H55" s="59"/>
      <c r="I55" s="59"/>
      <c r="J55" s="59"/>
      <c r="K55" s="59"/>
      <c r="L55" s="103"/>
      <c r="M55" s="578">
        <v>18.25</v>
      </c>
      <c r="N55" s="578">
        <v>18.25</v>
      </c>
      <c r="O55" s="578">
        <v>18.25</v>
      </c>
      <c r="P55" s="578">
        <v>18.25</v>
      </c>
      <c r="Q55" s="578">
        <v>18.25</v>
      </c>
      <c r="R55" s="578">
        <v>18.25</v>
      </c>
      <c r="S55" s="578">
        <v>18.25</v>
      </c>
      <c r="T55" s="578">
        <v>18.25</v>
      </c>
      <c r="U55" s="578">
        <v>18.25</v>
      </c>
      <c r="V55" s="578">
        <v>18.25</v>
      </c>
      <c r="W55" s="578">
        <v>18.25</v>
      </c>
      <c r="X55" s="578">
        <v>18.25</v>
      </c>
      <c r="Y55" s="732">
        <v>18.25</v>
      </c>
      <c r="Z55" s="578">
        <v>17.82</v>
      </c>
      <c r="AA55" s="578">
        <v>17.82</v>
      </c>
      <c r="AB55" s="578">
        <v>17.82</v>
      </c>
      <c r="AC55" s="578">
        <v>17.82</v>
      </c>
      <c r="AD55" s="578">
        <v>17.82</v>
      </c>
      <c r="AE55" s="578">
        <v>17.82</v>
      </c>
      <c r="AF55" s="578">
        <v>17.82</v>
      </c>
      <c r="AG55" s="578">
        <v>17.82</v>
      </c>
      <c r="AH55" s="578">
        <v>17.82</v>
      </c>
      <c r="AI55" s="578">
        <v>17.82</v>
      </c>
      <c r="AJ55" s="578">
        <v>17.82</v>
      </c>
      <c r="AK55" s="578">
        <v>17.82</v>
      </c>
      <c r="AL55" s="732">
        <v>17.82</v>
      </c>
      <c r="AM55" s="578">
        <v>18.37</v>
      </c>
      <c r="AN55" s="578">
        <v>18.38</v>
      </c>
      <c r="AO55" s="578">
        <v>18.739999999999998</v>
      </c>
      <c r="AP55" s="578">
        <v>18.43</v>
      </c>
      <c r="AQ55" s="578">
        <v>19.18</v>
      </c>
      <c r="AR55" s="578">
        <v>19.04</v>
      </c>
      <c r="AS55" s="578">
        <v>19.899999999999999</v>
      </c>
      <c r="AT55" s="578">
        <v>19.23</v>
      </c>
      <c r="AU55" s="578">
        <v>19.739999999999998</v>
      </c>
      <c r="AV55" s="578">
        <v>19.739999999999998</v>
      </c>
      <c r="AW55" s="578">
        <v>19.739999999999998</v>
      </c>
      <c r="AX55" s="519"/>
      <c r="AY55" s="519"/>
    </row>
    <row r="56" spans="1:51">
      <c r="A56" s="3"/>
      <c r="B56" s="13" t="s">
        <v>279</v>
      </c>
      <c r="C56" s="165"/>
      <c r="D56" s="23"/>
      <c r="E56" s="23"/>
      <c r="F56" s="23"/>
      <c r="G56" s="23"/>
      <c r="H56" s="23"/>
      <c r="I56" s="23"/>
      <c r="J56" s="23"/>
      <c r="K56" s="23"/>
      <c r="L56" s="89"/>
      <c r="M56" s="74">
        <f>M13-M55</f>
        <v>6.6372847442278697</v>
      </c>
      <c r="N56" s="74">
        <f t="shared" ref="N56:Z56" si="66">N13-N55</f>
        <v>6.7916318801216775</v>
      </c>
      <c r="O56" s="74">
        <f t="shared" si="66"/>
        <v>6.8686660019322581</v>
      </c>
      <c r="P56" s="74">
        <f t="shared" si="66"/>
        <v>6.9538540788787131</v>
      </c>
      <c r="Q56" s="74">
        <f t="shared" si="66"/>
        <v>6.8567270103704203</v>
      </c>
      <c r="R56" s="74">
        <f t="shared" si="66"/>
        <v>6.9206541150135266</v>
      </c>
      <c r="S56" s="74">
        <f t="shared" si="66"/>
        <v>7.3395518123935659</v>
      </c>
      <c r="T56" s="74">
        <f t="shared" si="66"/>
        <v>6.9229763715769899</v>
      </c>
      <c r="U56" s="74">
        <f t="shared" si="66"/>
        <v>7.455476266937751</v>
      </c>
      <c r="V56" s="74">
        <f t="shared" si="66"/>
        <v>7.5178596009189604</v>
      </c>
      <c r="W56" s="74">
        <f t="shared" si="66"/>
        <v>7.6459003927344504</v>
      </c>
      <c r="X56" s="74">
        <f t="shared" si="66"/>
        <v>7.7278768347716067</v>
      </c>
      <c r="Y56" s="211">
        <f>Y13-Y55</f>
        <v>7.0933866238479588</v>
      </c>
      <c r="Z56" s="74">
        <f t="shared" si="66"/>
        <v>8.3301878800700742</v>
      </c>
      <c r="AA56" s="74">
        <f t="shared" ref="AA56:AK56" si="67">AA13-AA55</f>
        <v>8.5623473291873538</v>
      </c>
      <c r="AB56" s="74">
        <f t="shared" si="67"/>
        <v>8.8014343366747525</v>
      </c>
      <c r="AC56" s="74">
        <f t="shared" si="67"/>
        <v>8.9749280531646214</v>
      </c>
      <c r="AD56" s="74">
        <f t="shared" si="67"/>
        <v>9.0473959798963186</v>
      </c>
      <c r="AE56" s="74">
        <f t="shared" si="67"/>
        <v>8.8874105610297214</v>
      </c>
      <c r="AF56" s="74">
        <f t="shared" si="67"/>
        <v>8.8993538114499451</v>
      </c>
      <c r="AG56" s="74">
        <f t="shared" si="67"/>
        <v>8.9152149526442095</v>
      </c>
      <c r="AH56" s="74">
        <f t="shared" si="67"/>
        <v>8.9789284304094217</v>
      </c>
      <c r="AI56" s="74">
        <f t="shared" si="67"/>
        <v>8.9044631174370394</v>
      </c>
      <c r="AJ56" s="74">
        <f t="shared" si="67"/>
        <v>8.9570679712834327</v>
      </c>
      <c r="AK56" s="74">
        <f t="shared" si="67"/>
        <v>8.9974854049442143</v>
      </c>
      <c r="AL56" s="211">
        <f>AL13-AL55</f>
        <v>8.8489192924469435</v>
      </c>
      <c r="AM56" s="74">
        <f t="shared" ref="AM56:AW56" si="68">AM13-AM55</f>
        <v>9.9300973479511008</v>
      </c>
      <c r="AN56" s="74">
        <f t="shared" si="68"/>
        <v>10.442402274063458</v>
      </c>
      <c r="AO56" s="74">
        <f t="shared" si="68"/>
        <v>11.412802458893758</v>
      </c>
      <c r="AP56" s="74">
        <f t="shared" si="68"/>
        <v>12.633188748969719</v>
      </c>
      <c r="AQ56" s="74">
        <f t="shared" si="68"/>
        <v>12.119995864277104</v>
      </c>
      <c r="AR56" s="74">
        <f t="shared" si="68"/>
        <v>13.854637495500604</v>
      </c>
      <c r="AS56" s="74">
        <f t="shared" si="68"/>
        <v>14.508453568581182</v>
      </c>
      <c r="AT56" s="74">
        <f t="shared" si="68"/>
        <v>16.440219816065071</v>
      </c>
      <c r="AU56" s="74">
        <f t="shared" si="68"/>
        <v>17.61407537581675</v>
      </c>
      <c r="AV56" s="74">
        <f t="shared" si="68"/>
        <v>18.336773376224787</v>
      </c>
      <c r="AW56" s="74">
        <f t="shared" si="68"/>
        <v>21.468495105293368</v>
      </c>
      <c r="AX56" s="726"/>
      <c r="AY56" s="726"/>
    </row>
    <row r="57" spans="1:51">
      <c r="A57" s="3"/>
      <c r="B57" s="13" t="s">
        <v>281</v>
      </c>
      <c r="C57" s="165"/>
      <c r="D57" s="23"/>
      <c r="E57" s="23"/>
      <c r="F57" s="23"/>
      <c r="G57" s="23"/>
      <c r="H57" s="23"/>
      <c r="I57" s="23"/>
      <c r="J57" s="23"/>
      <c r="K57" s="23"/>
      <c r="L57" s="89"/>
      <c r="M57" s="74">
        <f t="shared" ref="M57:W57" si="69">IF(M56&gt;0.6,0.6,IF(M56&lt;=0,0,M56))</f>
        <v>0.6</v>
      </c>
      <c r="N57" s="74">
        <f t="shared" si="69"/>
        <v>0.6</v>
      </c>
      <c r="O57" s="74">
        <f t="shared" si="69"/>
        <v>0.6</v>
      </c>
      <c r="P57" s="74">
        <f t="shared" si="69"/>
        <v>0.6</v>
      </c>
      <c r="Q57" s="74">
        <f t="shared" si="69"/>
        <v>0.6</v>
      </c>
      <c r="R57" s="74">
        <f t="shared" si="69"/>
        <v>0.6</v>
      </c>
      <c r="S57" s="74">
        <f t="shared" si="69"/>
        <v>0.6</v>
      </c>
      <c r="T57" s="74">
        <f t="shared" si="69"/>
        <v>0.6</v>
      </c>
      <c r="U57" s="74">
        <f t="shared" si="69"/>
        <v>0.6</v>
      </c>
      <c r="V57" s="74">
        <f t="shared" si="69"/>
        <v>0.6</v>
      </c>
      <c r="W57" s="74">
        <f t="shared" si="69"/>
        <v>0.6</v>
      </c>
      <c r="X57" s="74">
        <f>IF(X56&gt;0.6,0.6,IF(X56&lt;=0,0,X56))</f>
        <v>0.6</v>
      </c>
      <c r="Y57" s="211">
        <f>IF(Y56&gt;0.6,0.6,IF(Y56&lt;=0,0,Y56))</f>
        <v>0.6</v>
      </c>
      <c r="Z57" s="74">
        <f>IF(Z56&gt;0.6,0.6,IF(Z56&lt;=0,0,Z56))</f>
        <v>0.6</v>
      </c>
      <c r="AA57" s="74">
        <f t="shared" ref="AA57:AK57" si="70">IF(AA56&gt;0.6,0.6,IF(AA56&lt;=0,0,AA56))</f>
        <v>0.6</v>
      </c>
      <c r="AB57" s="74">
        <f t="shared" si="70"/>
        <v>0.6</v>
      </c>
      <c r="AC57" s="74">
        <f t="shared" si="70"/>
        <v>0.6</v>
      </c>
      <c r="AD57" s="74">
        <f t="shared" si="70"/>
        <v>0.6</v>
      </c>
      <c r="AE57" s="74">
        <f t="shared" si="70"/>
        <v>0.6</v>
      </c>
      <c r="AF57" s="74">
        <f t="shared" si="70"/>
        <v>0.6</v>
      </c>
      <c r="AG57" s="74">
        <f t="shared" si="70"/>
        <v>0.6</v>
      </c>
      <c r="AH57" s="74">
        <f t="shared" si="70"/>
        <v>0.6</v>
      </c>
      <c r="AI57" s="74">
        <f t="shared" si="70"/>
        <v>0.6</v>
      </c>
      <c r="AJ57" s="74">
        <f t="shared" si="70"/>
        <v>0.6</v>
      </c>
      <c r="AK57" s="74">
        <f t="shared" si="70"/>
        <v>0.6</v>
      </c>
      <c r="AL57" s="211">
        <v>0.6</v>
      </c>
      <c r="AM57" s="74">
        <f>IF(AM56&gt;0.6,0.6,IF(AM56&lt;=0,0,AM56))</f>
        <v>0.6</v>
      </c>
      <c r="AN57" s="74">
        <f t="shared" ref="AN57:AW57" si="71">IF(AN56&gt;0.6,0.6,IF(AN56&lt;=0,0,AN56))</f>
        <v>0.6</v>
      </c>
      <c r="AO57" s="74">
        <f t="shared" si="71"/>
        <v>0.6</v>
      </c>
      <c r="AP57" s="74">
        <f t="shared" si="71"/>
        <v>0.6</v>
      </c>
      <c r="AQ57" s="74">
        <f t="shared" si="71"/>
        <v>0.6</v>
      </c>
      <c r="AR57" s="74">
        <f t="shared" si="71"/>
        <v>0.6</v>
      </c>
      <c r="AS57" s="74">
        <f t="shared" si="71"/>
        <v>0.6</v>
      </c>
      <c r="AT57" s="74">
        <f t="shared" si="71"/>
        <v>0.6</v>
      </c>
      <c r="AU57" s="74">
        <f t="shared" si="71"/>
        <v>0.6</v>
      </c>
      <c r="AV57" s="74">
        <f t="shared" si="71"/>
        <v>0.6</v>
      </c>
      <c r="AW57" s="74">
        <f t="shared" si="71"/>
        <v>0.6</v>
      </c>
      <c r="AX57" s="726"/>
      <c r="AY57" s="726"/>
    </row>
    <row r="58" spans="1:51">
      <c r="A58" s="3"/>
      <c r="B58" s="13" t="s">
        <v>280</v>
      </c>
      <c r="C58" s="165"/>
      <c r="D58" s="59"/>
      <c r="E58" s="59"/>
      <c r="F58" s="59"/>
      <c r="G58" s="59"/>
      <c r="H58" s="59"/>
      <c r="I58" s="59"/>
      <c r="J58" s="59"/>
      <c r="K58" s="59"/>
      <c r="L58" s="103"/>
      <c r="M58" s="578">
        <v>0.6</v>
      </c>
      <c r="N58" s="578">
        <v>0.6</v>
      </c>
      <c r="O58" s="578">
        <v>0.6</v>
      </c>
      <c r="P58" s="578">
        <v>0.6</v>
      </c>
      <c r="Q58" s="578">
        <v>0.6</v>
      </c>
      <c r="R58" s="578">
        <v>0.6</v>
      </c>
      <c r="S58" s="578">
        <v>0.6</v>
      </c>
      <c r="T58" s="578">
        <v>0.6</v>
      </c>
      <c r="U58" s="578">
        <v>0.6</v>
      </c>
      <c r="V58" s="578">
        <v>0.6</v>
      </c>
      <c r="W58" s="578">
        <v>0.6</v>
      </c>
      <c r="X58" s="578">
        <v>0.6</v>
      </c>
      <c r="Y58" s="732">
        <v>0.6</v>
      </c>
      <c r="Z58" s="578">
        <v>0.6</v>
      </c>
      <c r="AA58" s="578">
        <v>0.6</v>
      </c>
      <c r="AB58" s="578">
        <v>0.6</v>
      </c>
      <c r="AC58" s="578">
        <v>0.6</v>
      </c>
      <c r="AD58" s="578">
        <v>0.6</v>
      </c>
      <c r="AE58" s="578">
        <v>0.6</v>
      </c>
      <c r="AF58" s="578">
        <v>0.6</v>
      </c>
      <c r="AG58" s="578">
        <v>0.6</v>
      </c>
      <c r="AH58" s="578">
        <v>0.6</v>
      </c>
      <c r="AI58" s="578">
        <v>0.6</v>
      </c>
      <c r="AJ58" s="578">
        <v>0.6</v>
      </c>
      <c r="AK58" s="578">
        <v>0.6</v>
      </c>
      <c r="AL58" s="732">
        <v>0.6</v>
      </c>
      <c r="AM58" s="578">
        <v>0.6</v>
      </c>
      <c r="AN58" s="578">
        <v>0.6</v>
      </c>
      <c r="AO58" s="578">
        <v>0.6</v>
      </c>
      <c r="AP58" s="578">
        <v>0.6</v>
      </c>
      <c r="AQ58" s="578">
        <v>0.6</v>
      </c>
      <c r="AR58" s="578">
        <v>0.6</v>
      </c>
      <c r="AS58" s="578">
        <v>0.6</v>
      </c>
      <c r="AT58" s="578">
        <v>0.6</v>
      </c>
      <c r="AU58" s="578">
        <v>0.6</v>
      </c>
      <c r="AV58" s="578">
        <v>0.6</v>
      </c>
      <c r="AW58" s="578">
        <v>0.6</v>
      </c>
      <c r="AX58" s="519"/>
      <c r="AY58" s="519"/>
    </row>
    <row r="59" spans="1:51">
      <c r="A59" s="3"/>
      <c r="C59" s="165"/>
    </row>
    <row r="60" spans="1:51">
      <c r="A60" s="3"/>
      <c r="B60" t="s">
        <v>237</v>
      </c>
      <c r="C60" s="165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178"/>
    </row>
    <row r="61" spans="1:51">
      <c r="A61" s="3"/>
      <c r="C61" s="165"/>
    </row>
    <row r="62" spans="1:51">
      <c r="A62" s="3"/>
    </row>
  </sheetData>
  <phoneticPr fontId="6" type="noConversion"/>
  <pageMargins left="0.75" right="0.75" top="1" bottom="1" header="0.5" footer="0.5"/>
  <pageSetup scale="28" fitToHeight="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S97"/>
  <sheetViews>
    <sheetView workbookViewId="0">
      <pane xSplit="6" ySplit="4" topLeftCell="AF41" activePane="bottomRight" state="frozen"/>
      <selection pane="topRight" activeCell="G1" sqref="G1"/>
      <selection pane="bottomLeft" activeCell="A5" sqref="A5"/>
      <selection pane="bottomRight" activeCell="AR1" sqref="AR1:AS1048576"/>
    </sheetView>
  </sheetViews>
  <sheetFormatPr defaultRowHeight="12.75"/>
  <cols>
    <col min="4" max="4" width="7.5703125" customWidth="1"/>
    <col min="5" max="5" width="0.140625" hidden="1" customWidth="1"/>
    <col min="7" max="16" width="9.5703125" bestFit="1" customWidth="1"/>
    <col min="17" max="17" width="9.85546875" bestFit="1" customWidth="1"/>
    <col min="18" max="18" width="10.140625" bestFit="1" customWidth="1"/>
    <col min="19" max="19" width="9.85546875" style="88" bestFit="1" customWidth="1"/>
    <col min="20" max="31" width="9.5703125" bestFit="1" customWidth="1"/>
    <col min="32" max="32" width="9.5703125" style="88" bestFit="1" customWidth="1"/>
    <col min="33" max="33" width="9.28515625" bestFit="1" customWidth="1"/>
    <col min="34" max="34" width="10" customWidth="1"/>
    <col min="35" max="35" width="9.5703125" customWidth="1"/>
    <col min="36" max="43" width="9.28515625" bestFit="1" customWidth="1"/>
    <col min="44" max="44" width="9.28515625" style="547" bestFit="1" customWidth="1"/>
    <col min="45" max="45" width="10.28515625" style="547" customWidth="1"/>
  </cols>
  <sheetData>
    <row r="1" spans="1:45">
      <c r="G1" s="180">
        <f>'Stmts RUS'!G1</f>
        <v>2013</v>
      </c>
      <c r="H1" s="180">
        <f>'Stmts RUS'!H1</f>
        <v>2013</v>
      </c>
      <c r="I1" s="180">
        <f>'Stmts RUS'!I1</f>
        <v>2013</v>
      </c>
      <c r="J1" s="180">
        <f>'Stmts RUS'!J1</f>
        <v>2013</v>
      </c>
      <c r="K1" s="180">
        <f>'Stmts RUS'!K1</f>
        <v>2013</v>
      </c>
      <c r="L1" s="180">
        <f>'Stmts RUS'!L1</f>
        <v>2013</v>
      </c>
      <c r="M1" s="180">
        <f>'Stmts RUS'!M1</f>
        <v>2013</v>
      </c>
      <c r="N1" s="180">
        <f>'Stmts RUS'!N1</f>
        <v>2013</v>
      </c>
      <c r="O1" s="180">
        <f>'Stmts RUS'!O1</f>
        <v>2013</v>
      </c>
      <c r="P1" s="180">
        <f>'Stmts RUS'!P1</f>
        <v>2013</v>
      </c>
      <c r="Q1" s="180">
        <f>'Stmts RUS'!Q1</f>
        <v>2013</v>
      </c>
      <c r="R1" s="180">
        <f>'Stmts RUS'!R1</f>
        <v>2013</v>
      </c>
      <c r="S1" s="181"/>
      <c r="T1" s="180">
        <f>'Stmts RUS'!T1</f>
        <v>2014</v>
      </c>
      <c r="U1" s="180">
        <f>'Stmts RUS'!U1</f>
        <v>2014</v>
      </c>
      <c r="V1" s="180">
        <f>'Stmts RUS'!V1</f>
        <v>2014</v>
      </c>
      <c r="W1" s="180">
        <f>'Stmts RUS'!W1</f>
        <v>2014</v>
      </c>
      <c r="X1" s="180">
        <f>'Stmts RUS'!X1</f>
        <v>2014</v>
      </c>
      <c r="Y1" s="180">
        <f>'Stmts RUS'!Y1</f>
        <v>2014</v>
      </c>
      <c r="Z1" s="180">
        <f>'Stmts RUS'!Z1</f>
        <v>2014</v>
      </c>
      <c r="AA1" s="180">
        <f>'Stmts RUS'!AA1</f>
        <v>2014</v>
      </c>
      <c r="AB1" s="180">
        <f>'Stmts RUS'!AB1</f>
        <v>2014</v>
      </c>
      <c r="AC1" s="180">
        <f>'Stmts RUS'!AC1</f>
        <v>2014</v>
      </c>
      <c r="AD1" s="180">
        <f>'Stmts RUS'!AD1</f>
        <v>2014</v>
      </c>
      <c r="AE1" s="180">
        <f>'Stmts RUS'!AE1</f>
        <v>2014</v>
      </c>
      <c r="AF1" s="181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"/>
      <c r="AR1" s="904"/>
      <c r="AS1" s="904"/>
    </row>
    <row r="2" spans="1:45">
      <c r="G2" s="180" t="str">
        <f>'Stmts RUS'!G2</f>
        <v>January</v>
      </c>
      <c r="H2" s="180" t="str">
        <f>'Stmts RUS'!H2</f>
        <v>February</v>
      </c>
      <c r="I2" s="180" t="str">
        <f>'Stmts RUS'!I2</f>
        <v>March</v>
      </c>
      <c r="J2" s="180" t="str">
        <f>'Stmts RUS'!J2</f>
        <v>April</v>
      </c>
      <c r="K2" s="180" t="str">
        <f>'Stmts RUS'!K2</f>
        <v>May</v>
      </c>
      <c r="L2" s="180" t="str">
        <f>'Stmts RUS'!L2</f>
        <v>June</v>
      </c>
      <c r="M2" s="180" t="str">
        <f>'Stmts RUS'!M2</f>
        <v>July</v>
      </c>
      <c r="N2" s="180" t="str">
        <f>'Stmts RUS'!N2</f>
        <v>August</v>
      </c>
      <c r="O2" s="180" t="str">
        <f>'Stmts RUS'!O2</f>
        <v>September</v>
      </c>
      <c r="P2" s="180" t="str">
        <f>'Stmts RUS'!P2</f>
        <v>October</v>
      </c>
      <c r="Q2" s="180" t="str">
        <f>'Stmts RUS'!Q2</f>
        <v>November</v>
      </c>
      <c r="R2" s="180" t="str">
        <f>'Stmts RUS'!R2</f>
        <v>December</v>
      </c>
      <c r="S2" s="181">
        <f>'Stmts RUS'!S2</f>
        <v>2013</v>
      </c>
      <c r="T2" s="180" t="str">
        <f>'Stmts RUS'!T2</f>
        <v>January</v>
      </c>
      <c r="U2" s="180" t="str">
        <f>'Stmts RUS'!U2</f>
        <v>February</v>
      </c>
      <c r="V2" s="180" t="str">
        <f>'Stmts RUS'!V2</f>
        <v>March</v>
      </c>
      <c r="W2" s="180" t="str">
        <f>'Stmts RUS'!W2</f>
        <v>April</v>
      </c>
      <c r="X2" s="180" t="str">
        <f>'Stmts RUS'!X2</f>
        <v>May</v>
      </c>
      <c r="Y2" s="180" t="str">
        <f>'Stmts RUS'!Y2</f>
        <v>June</v>
      </c>
      <c r="Z2" s="180" t="str">
        <f>'Stmts RUS'!Z2</f>
        <v>July</v>
      </c>
      <c r="AA2" s="180" t="str">
        <f>'Stmts RUS'!AA2</f>
        <v>August</v>
      </c>
      <c r="AB2" s="180" t="str">
        <f>'Stmts RUS'!AB2</f>
        <v>September</v>
      </c>
      <c r="AC2" s="180" t="str">
        <f>'Stmts RUS'!AC2</f>
        <v>October</v>
      </c>
      <c r="AD2" s="180" t="str">
        <f>'Stmts RUS'!AD2</f>
        <v>November</v>
      </c>
      <c r="AE2" s="180" t="str">
        <f>'Stmts RUS'!AE2</f>
        <v>December</v>
      </c>
      <c r="AF2" s="181">
        <f>'Stmts RUS'!AF2</f>
        <v>2014</v>
      </c>
      <c r="AG2" s="180">
        <f>'Stmts RUS'!AG2</f>
        <v>2015</v>
      </c>
      <c r="AH2" s="180">
        <f>'Stmts RUS'!AH2</f>
        <v>2016</v>
      </c>
      <c r="AI2" s="180">
        <f>'Stmts RUS'!AI2</f>
        <v>2017</v>
      </c>
      <c r="AJ2" s="180">
        <f>'Stmts RUS'!AJ2</f>
        <v>2018</v>
      </c>
      <c r="AK2" s="180">
        <f>'Stmts RUS'!AK2</f>
        <v>2019</v>
      </c>
      <c r="AL2" s="180">
        <f>'Stmts RUS'!AL2</f>
        <v>2020</v>
      </c>
      <c r="AM2" s="180">
        <f>'Stmts RUS'!AM2</f>
        <v>2021</v>
      </c>
      <c r="AN2" s="180">
        <f>'Stmts RUS'!AN2</f>
        <v>2022</v>
      </c>
      <c r="AO2" s="180">
        <f>'Stmts RUS'!AO2</f>
        <v>2023</v>
      </c>
      <c r="AP2" s="180">
        <f>'Stmts RUS'!AP2</f>
        <v>2024</v>
      </c>
      <c r="AQ2" s="180">
        <f>'Stmts RUS'!AQ2</f>
        <v>2025</v>
      </c>
      <c r="AR2" s="512"/>
      <c r="AS2" s="512"/>
    </row>
    <row r="3" spans="1:45">
      <c r="G3" s="1">
        <f>Rates!M4</f>
        <v>31</v>
      </c>
      <c r="H3" s="1">
        <f>Rates!N4</f>
        <v>28</v>
      </c>
      <c r="I3" s="1">
        <f>Rates!O4</f>
        <v>31</v>
      </c>
      <c r="J3" s="1">
        <f>Rates!P4</f>
        <v>30</v>
      </c>
      <c r="K3" s="1">
        <f>Rates!Q4</f>
        <v>31</v>
      </c>
      <c r="L3" s="1">
        <f>Rates!R4</f>
        <v>30</v>
      </c>
      <c r="M3" s="1">
        <f>Rates!S4</f>
        <v>31</v>
      </c>
      <c r="N3" s="1">
        <f>Rates!T4</f>
        <v>31</v>
      </c>
      <c r="O3" s="1">
        <f>Rates!U4</f>
        <v>30</v>
      </c>
      <c r="P3" s="1">
        <f>Rates!V4</f>
        <v>31</v>
      </c>
      <c r="Q3" s="1">
        <f>Rates!W4</f>
        <v>30</v>
      </c>
      <c r="R3" s="1">
        <f>Rates!X4</f>
        <v>31</v>
      </c>
      <c r="S3" s="169">
        <f>Rates!Y4</f>
        <v>365</v>
      </c>
      <c r="T3" s="1">
        <f>Rates!Z4</f>
        <v>31</v>
      </c>
      <c r="U3" s="1">
        <f>Rates!AA4</f>
        <v>28</v>
      </c>
      <c r="V3" s="1">
        <f>Rates!AB4</f>
        <v>31</v>
      </c>
      <c r="W3" s="1">
        <f>Rates!AC4</f>
        <v>30</v>
      </c>
      <c r="X3" s="1">
        <f>Rates!AD4</f>
        <v>31</v>
      </c>
      <c r="Y3" s="1">
        <f>Rates!AE4</f>
        <v>30</v>
      </c>
      <c r="Z3" s="1">
        <f>Rates!AF4</f>
        <v>31</v>
      </c>
      <c r="AA3" s="1">
        <f>Rates!AG4</f>
        <v>31</v>
      </c>
      <c r="AB3" s="1">
        <f>Rates!AH4</f>
        <v>30</v>
      </c>
      <c r="AC3" s="1">
        <f>Rates!AI4</f>
        <v>31</v>
      </c>
      <c r="AD3" s="1">
        <f>Rates!AJ4</f>
        <v>30</v>
      </c>
      <c r="AE3" s="1">
        <f>Rates!AK4</f>
        <v>31</v>
      </c>
      <c r="AF3" s="169">
        <f>Rates!AL4</f>
        <v>365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904"/>
      <c r="AS3" s="904"/>
    </row>
    <row r="4" spans="1:45"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69"/>
      <c r="T4" s="1">
        <v>2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2</v>
      </c>
      <c r="AB4" s="1">
        <v>2</v>
      </c>
      <c r="AC4" s="1">
        <v>2</v>
      </c>
      <c r="AD4" s="1">
        <v>2</v>
      </c>
      <c r="AE4" s="1">
        <v>2</v>
      </c>
      <c r="AF4" s="169"/>
      <c r="AG4" s="1">
        <v>3</v>
      </c>
      <c r="AH4" s="1">
        <f>AG4+1</f>
        <v>4</v>
      </c>
      <c r="AI4" s="1">
        <f t="shared" ref="AI4:AQ4" si="0">AH4+1</f>
        <v>5</v>
      </c>
      <c r="AJ4" s="1">
        <f t="shared" si="0"/>
        <v>6</v>
      </c>
      <c r="AK4" s="1">
        <f t="shared" si="0"/>
        <v>7</v>
      </c>
      <c r="AL4" s="1">
        <f t="shared" si="0"/>
        <v>8</v>
      </c>
      <c r="AM4" s="1">
        <f t="shared" si="0"/>
        <v>9</v>
      </c>
      <c r="AN4" s="1">
        <f t="shared" si="0"/>
        <v>10</v>
      </c>
      <c r="AO4" s="1">
        <f t="shared" si="0"/>
        <v>11</v>
      </c>
      <c r="AP4" s="1">
        <f t="shared" si="0"/>
        <v>12</v>
      </c>
      <c r="AQ4" s="1">
        <f t="shared" si="0"/>
        <v>13</v>
      </c>
      <c r="AR4" s="904"/>
      <c r="AS4" s="904"/>
    </row>
    <row r="5" spans="1:45">
      <c r="A5" s="34" t="s">
        <v>214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06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206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364"/>
      <c r="AS5" s="364"/>
    </row>
    <row r="6" spans="1:45">
      <c r="A6" t="s">
        <v>356</v>
      </c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206">
        <f>SUM(G6:R6)</f>
        <v>0</v>
      </c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206">
        <f>SUM(T6:AE6)</f>
        <v>0</v>
      </c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943"/>
      <c r="AS6" s="943"/>
    </row>
    <row r="7" spans="1:45">
      <c r="A7" t="s">
        <v>353</v>
      </c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206">
        <f>SUM(G7:R7)</f>
        <v>0</v>
      </c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206">
        <f>SUM(T7:AE7)</f>
        <v>0</v>
      </c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943"/>
      <c r="AS7" s="943"/>
    </row>
    <row r="8" spans="1:45">
      <c r="A8" t="s">
        <v>352</v>
      </c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206">
        <f>SUM(G8:R8)</f>
        <v>0</v>
      </c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206">
        <f>SUM(T8:AE8)</f>
        <v>0</v>
      </c>
      <c r="AG8" s="400"/>
      <c r="AH8" s="400"/>
      <c r="AI8" s="400"/>
      <c r="AJ8" s="400"/>
      <c r="AK8" s="400"/>
      <c r="AL8" s="400"/>
      <c r="AM8" s="400"/>
      <c r="AN8" s="400"/>
      <c r="AO8" s="400"/>
      <c r="AP8" s="400"/>
      <c r="AQ8" s="400"/>
      <c r="AR8" s="943"/>
      <c r="AS8" s="943"/>
    </row>
    <row r="9" spans="1:45">
      <c r="A9" t="s">
        <v>213</v>
      </c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206">
        <f>SUM(G9:R9)</f>
        <v>0</v>
      </c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206">
        <f>SUM(T9:AE9)</f>
        <v>0</v>
      </c>
      <c r="AG9" s="400"/>
      <c r="AH9" s="400"/>
      <c r="AI9" s="400"/>
      <c r="AJ9" s="400"/>
      <c r="AK9" s="400"/>
      <c r="AL9" s="400"/>
      <c r="AM9" s="400"/>
      <c r="AN9" s="400"/>
      <c r="AO9" s="400"/>
      <c r="AP9" s="400"/>
      <c r="AQ9" s="400"/>
      <c r="AR9" s="943"/>
      <c r="AS9" s="943"/>
    </row>
    <row r="10" spans="1:45">
      <c r="A10" t="s">
        <v>355</v>
      </c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206">
        <f>SUM(G10:R10)</f>
        <v>0</v>
      </c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206">
        <f>SUM(T10:AE10)</f>
        <v>0</v>
      </c>
      <c r="AG10" s="400"/>
      <c r="AH10" s="400"/>
      <c r="AI10" s="400"/>
      <c r="AJ10" s="400"/>
      <c r="AK10" s="400"/>
      <c r="AL10" s="400"/>
      <c r="AM10" s="400"/>
      <c r="AN10" s="400"/>
      <c r="AO10" s="400"/>
      <c r="AP10" s="400"/>
      <c r="AQ10" s="400"/>
      <c r="AR10" s="943"/>
      <c r="AS10" s="943"/>
    </row>
    <row r="11" spans="1:45" ht="13.5" thickBot="1">
      <c r="A11" t="s">
        <v>131</v>
      </c>
      <c r="G11" s="241">
        <f>SUM(G6:G10)</f>
        <v>0</v>
      </c>
      <c r="H11" s="241">
        <f t="shared" ref="H11:AQ11" si="1">SUM(H6:H10)</f>
        <v>0</v>
      </c>
      <c r="I11" s="241">
        <f t="shared" si="1"/>
        <v>0</v>
      </c>
      <c r="J11" s="241">
        <f t="shared" si="1"/>
        <v>0</v>
      </c>
      <c r="K11" s="241">
        <f t="shared" si="1"/>
        <v>0</v>
      </c>
      <c r="L11" s="241">
        <f t="shared" si="1"/>
        <v>0</v>
      </c>
      <c r="M11" s="241">
        <f t="shared" si="1"/>
        <v>0</v>
      </c>
      <c r="N11" s="241">
        <f t="shared" si="1"/>
        <v>0</v>
      </c>
      <c r="O11" s="241">
        <f t="shared" si="1"/>
        <v>0</v>
      </c>
      <c r="P11" s="241">
        <f t="shared" si="1"/>
        <v>0</v>
      </c>
      <c r="Q11" s="241">
        <f t="shared" si="1"/>
        <v>0</v>
      </c>
      <c r="R11" s="241">
        <f t="shared" si="1"/>
        <v>0</v>
      </c>
      <c r="S11" s="283">
        <f t="shared" si="1"/>
        <v>0</v>
      </c>
      <c r="T11" s="241">
        <f t="shared" si="1"/>
        <v>0</v>
      </c>
      <c r="U11" s="241">
        <f t="shared" si="1"/>
        <v>0</v>
      </c>
      <c r="V11" s="241">
        <f t="shared" si="1"/>
        <v>0</v>
      </c>
      <c r="W11" s="241">
        <f t="shared" si="1"/>
        <v>0</v>
      </c>
      <c r="X11" s="241">
        <f t="shared" si="1"/>
        <v>0</v>
      </c>
      <c r="Y11" s="241">
        <f t="shared" si="1"/>
        <v>0</v>
      </c>
      <c r="Z11" s="241">
        <f t="shared" si="1"/>
        <v>0</v>
      </c>
      <c r="AA11" s="241">
        <f t="shared" si="1"/>
        <v>0</v>
      </c>
      <c r="AB11" s="241">
        <f t="shared" si="1"/>
        <v>0</v>
      </c>
      <c r="AC11" s="241">
        <f t="shared" si="1"/>
        <v>0</v>
      </c>
      <c r="AD11" s="241">
        <f t="shared" si="1"/>
        <v>0</v>
      </c>
      <c r="AE11" s="241">
        <f t="shared" si="1"/>
        <v>0</v>
      </c>
      <c r="AF11" s="283">
        <f t="shared" si="1"/>
        <v>0</v>
      </c>
      <c r="AG11" s="241">
        <f t="shared" si="1"/>
        <v>0</v>
      </c>
      <c r="AH11" s="241">
        <f t="shared" si="1"/>
        <v>0</v>
      </c>
      <c r="AI11" s="241">
        <f t="shared" si="1"/>
        <v>0</v>
      </c>
      <c r="AJ11" s="241">
        <f t="shared" si="1"/>
        <v>0</v>
      </c>
      <c r="AK11" s="241">
        <f t="shared" si="1"/>
        <v>0</v>
      </c>
      <c r="AL11" s="241">
        <f t="shared" si="1"/>
        <v>0</v>
      </c>
      <c r="AM11" s="241">
        <f t="shared" si="1"/>
        <v>0</v>
      </c>
      <c r="AN11" s="241">
        <f t="shared" si="1"/>
        <v>0</v>
      </c>
      <c r="AO11" s="241">
        <f t="shared" si="1"/>
        <v>0</v>
      </c>
      <c r="AP11" s="241">
        <f t="shared" si="1"/>
        <v>0</v>
      </c>
      <c r="AQ11" s="241">
        <f t="shared" si="1"/>
        <v>0</v>
      </c>
      <c r="AR11" s="364"/>
      <c r="AS11" s="364"/>
    </row>
    <row r="12" spans="1:45" ht="13.5" thickTop="1"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206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206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364"/>
      <c r="AS12" s="364"/>
    </row>
    <row r="13" spans="1:45">
      <c r="A13" s="34" t="s">
        <v>215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206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206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364"/>
      <c r="AS13" s="364"/>
    </row>
    <row r="14" spans="1:45">
      <c r="A14" t="s">
        <v>356</v>
      </c>
      <c r="G14" s="671">
        <f>'Capex &amp; Depr'!O20*0.2</f>
        <v>0</v>
      </c>
      <c r="H14" s="671">
        <f>'Capex &amp; Depr'!P20*0.2</f>
        <v>0</v>
      </c>
      <c r="I14" s="671">
        <f>'Capex &amp; Depr'!Q20*0.2</f>
        <v>0</v>
      </c>
      <c r="J14" s="671">
        <f>'Capex &amp; Depr'!R20*0.2</f>
        <v>0</v>
      </c>
      <c r="K14" s="671">
        <f>'Capex &amp; Depr'!S20*0.2</f>
        <v>0.18000000000000002</v>
      </c>
      <c r="L14" s="671">
        <f>'Capex &amp; Depr'!T20*0.2</f>
        <v>0.24</v>
      </c>
      <c r="M14" s="671">
        <f>'Capex &amp; Depr'!U20*0.2</f>
        <v>0.45999999999999996</v>
      </c>
      <c r="N14" s="671">
        <f>'Capex &amp; Depr'!V20*0.2</f>
        <v>0.45999999999999996</v>
      </c>
      <c r="O14" s="671">
        <f>'Capex &amp; Depr'!W20*0.2</f>
        <v>0.70000000000000007</v>
      </c>
      <c r="P14" s="671">
        <f>'Capex &amp; Depr'!X20*0.2</f>
        <v>1.4300000000000002</v>
      </c>
      <c r="Q14" s="671">
        <f>'Capex &amp; Depr'!Y20*0.2</f>
        <v>1.4300000000000002</v>
      </c>
      <c r="R14" s="671">
        <f>'Capex &amp; Depr'!Z20*0.2</f>
        <v>1.46</v>
      </c>
      <c r="S14" s="206">
        <f>SUM(G14:R14)</f>
        <v>6.36</v>
      </c>
      <c r="T14" s="671">
        <f>'Capex &amp; Depr'!AB20*0.19</f>
        <v>0.95</v>
      </c>
      <c r="U14" s="671">
        <f>'Capex &amp; Depr'!AC20*0.19</f>
        <v>0.95</v>
      </c>
      <c r="V14" s="671">
        <f>'Capex &amp; Depr'!AD20*0.19</f>
        <v>0.96169221999999999</v>
      </c>
      <c r="W14" s="671">
        <f>'Capex &amp; Depr'!AE20*0.19</f>
        <v>0.96169221999999999</v>
      </c>
      <c r="X14" s="671">
        <f>'Capex &amp; Depr'!AF20*0.19</f>
        <v>0.96169221999999999</v>
      </c>
      <c r="Y14" s="671">
        <f>'Capex &amp; Depr'!AG20*0.19</f>
        <v>0.46889814999999996</v>
      </c>
      <c r="Z14" s="671"/>
      <c r="AA14" s="671"/>
      <c r="AB14" s="671"/>
      <c r="AC14" s="671"/>
      <c r="AD14" s="671"/>
      <c r="AE14" s="671"/>
      <c r="AF14" s="206">
        <f>SUM(T14:AE14)</f>
        <v>5.2539748099999999</v>
      </c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943"/>
      <c r="AS14" s="943"/>
    </row>
    <row r="15" spans="1:45">
      <c r="A15" t="s">
        <v>353</v>
      </c>
      <c r="G15" s="671">
        <f>'Capex &amp; Depr'!O20*0.3</f>
        <v>0</v>
      </c>
      <c r="H15" s="671">
        <f>'Capex &amp; Depr'!P20*0.3</f>
        <v>0</v>
      </c>
      <c r="I15" s="671">
        <f>'Capex &amp; Depr'!Q20*0.3</f>
        <v>0</v>
      </c>
      <c r="J15" s="671">
        <f>'Capex &amp; Depr'!R20*0.3</f>
        <v>0</v>
      </c>
      <c r="K15" s="671">
        <f>'Capex &amp; Depr'!S20*0.3</f>
        <v>0.27</v>
      </c>
      <c r="L15" s="671">
        <f>'Capex &amp; Depr'!T20*0.3</f>
        <v>0.36</v>
      </c>
      <c r="M15" s="671">
        <f>'Capex &amp; Depr'!U20*0.3</f>
        <v>0.69</v>
      </c>
      <c r="N15" s="671">
        <f>'Capex &amp; Depr'!V20*0.3</f>
        <v>0.69</v>
      </c>
      <c r="O15" s="671">
        <f>'Capex &amp; Depr'!W20*0.3</f>
        <v>1.05</v>
      </c>
      <c r="P15" s="671">
        <f>'Capex &amp; Depr'!X20*0.3</f>
        <v>2.145</v>
      </c>
      <c r="Q15" s="671">
        <f>'Capex &amp; Depr'!Y20*0.3</f>
        <v>2.145</v>
      </c>
      <c r="R15" s="671">
        <f>'Capex &amp; Depr'!Z20*0.3</f>
        <v>2.19</v>
      </c>
      <c r="S15" s="206">
        <f>SUM(G15:R15)</f>
        <v>9.5399999999999991</v>
      </c>
      <c r="T15" s="671">
        <f>'Capex &amp; Depr'!AB20*0.33</f>
        <v>1.6500000000000001</v>
      </c>
      <c r="U15" s="671">
        <f>'Capex &amp; Depr'!AC20*0.33</f>
        <v>1.6500000000000001</v>
      </c>
      <c r="V15" s="671">
        <f>'Capex &amp; Depr'!AD20*0.33</f>
        <v>1.67030754</v>
      </c>
      <c r="W15" s="671">
        <f>'Capex &amp; Depr'!AE20*0.33</f>
        <v>1.67030754</v>
      </c>
      <c r="X15" s="671">
        <f>'Capex &amp; Depr'!AF20*0.33</f>
        <v>1.67030754</v>
      </c>
      <c r="Y15" s="671">
        <f>'Capex &amp; Depr'!AG20*0.33</f>
        <v>0.81440204999999999</v>
      </c>
      <c r="Z15" s="671"/>
      <c r="AA15" s="671"/>
      <c r="AB15" s="671"/>
      <c r="AC15" s="671"/>
      <c r="AD15" s="671"/>
      <c r="AE15" s="671"/>
      <c r="AF15" s="206">
        <f>SUM(T15:AE15)</f>
        <v>9.1253246699999995</v>
      </c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943"/>
      <c r="AS15" s="943"/>
    </row>
    <row r="16" spans="1:45">
      <c r="A16" t="s">
        <v>352</v>
      </c>
      <c r="G16" s="671">
        <f>'Capex &amp; Depr'!O20*0.5</f>
        <v>0</v>
      </c>
      <c r="H16" s="671">
        <f>'Capex &amp; Depr'!P20*0.5</f>
        <v>0</v>
      </c>
      <c r="I16" s="671">
        <f>'Capex &amp; Depr'!Q20*0.5</f>
        <v>0</v>
      </c>
      <c r="J16" s="671">
        <f>'Capex &amp; Depr'!R20*0.5</f>
        <v>0</v>
      </c>
      <c r="K16" s="671">
        <f>'Capex &amp; Depr'!S20*0.5</f>
        <v>0.45</v>
      </c>
      <c r="L16" s="671">
        <f>'Capex &amp; Depr'!T20*0.5</f>
        <v>0.6</v>
      </c>
      <c r="M16" s="671">
        <f>'Capex &amp; Depr'!U20*0.5</f>
        <v>1.1499999999999999</v>
      </c>
      <c r="N16" s="671">
        <f>'Capex &amp; Depr'!V20*0.5</f>
        <v>1.1499999999999999</v>
      </c>
      <c r="O16" s="671">
        <f>'Capex &amp; Depr'!W20*0.5</f>
        <v>1.75</v>
      </c>
      <c r="P16" s="671">
        <f>'Capex &amp; Depr'!X20*0.5</f>
        <v>3.5750000000000002</v>
      </c>
      <c r="Q16" s="671">
        <f>'Capex &amp; Depr'!Y20*0.5</f>
        <v>3.5750000000000002</v>
      </c>
      <c r="R16" s="671">
        <f>'Capex &amp; Depr'!Z20*0.5</f>
        <v>3.65</v>
      </c>
      <c r="S16" s="206">
        <f>SUM(G16:R16)</f>
        <v>15.9</v>
      </c>
      <c r="T16" s="671">
        <f>'Capex &amp; Depr'!AB20*0.46</f>
        <v>2.3000000000000003</v>
      </c>
      <c r="U16" s="671">
        <f>'Capex &amp; Depr'!AC20*0.46</f>
        <v>2.3000000000000003</v>
      </c>
      <c r="V16" s="671">
        <f>'Capex &amp; Depr'!AD20*0.46</f>
        <v>2.3283074799999999</v>
      </c>
      <c r="W16" s="671">
        <f>'Capex &amp; Depr'!AE20*0.46</f>
        <v>2.3283074799999999</v>
      </c>
      <c r="X16" s="671">
        <f>'Capex &amp; Depr'!AF20*0.46</f>
        <v>2.3283074799999999</v>
      </c>
      <c r="Y16" s="671">
        <f>'Capex &amp; Depr'!AG20*0.46</f>
        <v>1.1352271</v>
      </c>
      <c r="Z16" s="671"/>
      <c r="AA16" s="671"/>
      <c r="AB16" s="671"/>
      <c r="AC16" s="671"/>
      <c r="AD16" s="671"/>
      <c r="AE16" s="671"/>
      <c r="AF16" s="206">
        <f>SUM(T16:AE16)</f>
        <v>12.72014954</v>
      </c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943"/>
      <c r="AS16" s="943"/>
    </row>
    <row r="17" spans="1:45">
      <c r="A17" t="s">
        <v>213</v>
      </c>
      <c r="G17" s="400"/>
      <c r="H17" s="400"/>
      <c r="I17" s="400"/>
      <c r="J17" s="400"/>
      <c r="K17" s="400"/>
      <c r="L17" s="400"/>
      <c r="M17" s="400"/>
      <c r="N17" s="400"/>
      <c r="O17" s="400"/>
      <c r="P17" s="400"/>
      <c r="Q17" s="400"/>
      <c r="R17" s="400"/>
      <c r="S17" s="206">
        <f>SUM(G17:R17)</f>
        <v>0</v>
      </c>
      <c r="T17" s="671">
        <f>'Capex &amp; Depr'!AB20*0.02</f>
        <v>0.1</v>
      </c>
      <c r="U17" s="671">
        <f>'Capex &amp; Depr'!AC20*0.02</f>
        <v>0.1</v>
      </c>
      <c r="V17" s="671">
        <f>'Capex &amp; Depr'!AD20*0.02</f>
        <v>0.10123075999999999</v>
      </c>
      <c r="W17" s="671">
        <f>'Capex &amp; Depr'!AE20*0.02</f>
        <v>0.10123075999999999</v>
      </c>
      <c r="X17" s="671">
        <f>'Capex &amp; Depr'!AF20*0.02</f>
        <v>0.10123075999999999</v>
      </c>
      <c r="Y17" s="671">
        <f>'Capex &amp; Depr'!AG20*0.02</f>
        <v>4.9357699999999997E-2</v>
      </c>
      <c r="Z17" s="671"/>
      <c r="AA17" s="671"/>
      <c r="AB17" s="671"/>
      <c r="AC17" s="671"/>
      <c r="AD17" s="671"/>
      <c r="AE17" s="671"/>
      <c r="AF17" s="206">
        <f>SUM(T17:AE17)</f>
        <v>0.55304997999999994</v>
      </c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943"/>
      <c r="AS17" s="943"/>
    </row>
    <row r="18" spans="1:45">
      <c r="A18" t="s">
        <v>355</v>
      </c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206">
        <f>SUM(G18:R18)</f>
        <v>0</v>
      </c>
      <c r="T18" s="400"/>
      <c r="U18" s="400"/>
      <c r="V18" s="400"/>
      <c r="W18" s="400"/>
      <c r="X18" s="400"/>
      <c r="Y18" s="400"/>
      <c r="Z18" s="400"/>
      <c r="AA18" s="400"/>
      <c r="AB18" s="400"/>
      <c r="AC18" s="400"/>
      <c r="AD18" s="400"/>
      <c r="AE18" s="400"/>
      <c r="AF18" s="206">
        <f>SUM(T18:AE18)</f>
        <v>0</v>
      </c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943"/>
      <c r="AS18" s="943"/>
    </row>
    <row r="19" spans="1:45" ht="13.5" thickBot="1">
      <c r="A19" t="s">
        <v>131</v>
      </c>
      <c r="G19" s="241">
        <f t="shared" ref="G19:AQ19" si="2">SUM(G14:G18)</f>
        <v>0</v>
      </c>
      <c r="H19" s="241">
        <f t="shared" si="2"/>
        <v>0</v>
      </c>
      <c r="I19" s="241">
        <f t="shared" si="2"/>
        <v>0</v>
      </c>
      <c r="J19" s="241">
        <f t="shared" si="2"/>
        <v>0</v>
      </c>
      <c r="K19" s="241">
        <f t="shared" si="2"/>
        <v>0.90000000000000013</v>
      </c>
      <c r="L19" s="241">
        <f t="shared" si="2"/>
        <v>1.2</v>
      </c>
      <c r="M19" s="241">
        <f t="shared" si="2"/>
        <v>2.2999999999999998</v>
      </c>
      <c r="N19" s="241">
        <f t="shared" si="2"/>
        <v>2.2999999999999998</v>
      </c>
      <c r="O19" s="241">
        <f t="shared" si="2"/>
        <v>3.5</v>
      </c>
      <c r="P19" s="241">
        <f t="shared" si="2"/>
        <v>7.15</v>
      </c>
      <c r="Q19" s="241">
        <f t="shared" si="2"/>
        <v>7.15</v>
      </c>
      <c r="R19" s="241">
        <f t="shared" si="2"/>
        <v>7.3</v>
      </c>
      <c r="S19" s="283">
        <f t="shared" si="2"/>
        <v>31.799999999999997</v>
      </c>
      <c r="T19" s="241">
        <f t="shared" si="2"/>
        <v>5</v>
      </c>
      <c r="U19" s="241">
        <f t="shared" si="2"/>
        <v>5</v>
      </c>
      <c r="V19" s="241">
        <f t="shared" si="2"/>
        <v>5.0615380000000005</v>
      </c>
      <c r="W19" s="241">
        <f t="shared" si="2"/>
        <v>5.0615380000000005</v>
      </c>
      <c r="X19" s="241">
        <f t="shared" si="2"/>
        <v>5.0615380000000005</v>
      </c>
      <c r="Y19" s="241">
        <f t="shared" si="2"/>
        <v>2.4678849999999999</v>
      </c>
      <c r="Z19" s="241">
        <f t="shared" si="2"/>
        <v>0</v>
      </c>
      <c r="AA19" s="241">
        <f t="shared" si="2"/>
        <v>0</v>
      </c>
      <c r="AB19" s="241">
        <f t="shared" si="2"/>
        <v>0</v>
      </c>
      <c r="AC19" s="241">
        <f t="shared" si="2"/>
        <v>0</v>
      </c>
      <c r="AD19" s="241">
        <f t="shared" si="2"/>
        <v>0</v>
      </c>
      <c r="AE19" s="241">
        <f t="shared" si="2"/>
        <v>0</v>
      </c>
      <c r="AF19" s="283">
        <f t="shared" si="2"/>
        <v>27.652499000000002</v>
      </c>
      <c r="AG19" s="241">
        <f t="shared" si="2"/>
        <v>0</v>
      </c>
      <c r="AH19" s="241">
        <f t="shared" si="2"/>
        <v>0</v>
      </c>
      <c r="AI19" s="241">
        <f t="shared" si="2"/>
        <v>0</v>
      </c>
      <c r="AJ19" s="241">
        <f t="shared" si="2"/>
        <v>0</v>
      </c>
      <c r="AK19" s="241">
        <f t="shared" si="2"/>
        <v>0</v>
      </c>
      <c r="AL19" s="241">
        <f t="shared" si="2"/>
        <v>0</v>
      </c>
      <c r="AM19" s="241">
        <f t="shared" si="2"/>
        <v>0</v>
      </c>
      <c r="AN19" s="241">
        <f t="shared" si="2"/>
        <v>0</v>
      </c>
      <c r="AO19" s="241">
        <f t="shared" si="2"/>
        <v>0</v>
      </c>
      <c r="AP19" s="241">
        <f t="shared" si="2"/>
        <v>0</v>
      </c>
      <c r="AQ19" s="241">
        <f t="shared" si="2"/>
        <v>0</v>
      </c>
      <c r="AR19" s="364"/>
      <c r="AS19" s="364"/>
    </row>
    <row r="20" spans="1:45" ht="13.5" thickTop="1"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206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206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364"/>
      <c r="AS20" s="364"/>
    </row>
    <row r="21" spans="1:45">
      <c r="A21" s="34" t="s">
        <v>216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206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206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364"/>
      <c r="AS21" s="364"/>
    </row>
    <row r="22" spans="1:45">
      <c r="A22" t="s">
        <v>356</v>
      </c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206">
        <f>SUM(G22:R22)</f>
        <v>0</v>
      </c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206">
        <f>SUM(T22:AE22)</f>
        <v>0</v>
      </c>
      <c r="AG22" s="543"/>
      <c r="AH22" s="543"/>
      <c r="AI22" s="400"/>
      <c r="AJ22" s="400"/>
      <c r="AK22" s="400"/>
      <c r="AL22" s="400"/>
      <c r="AM22" s="400"/>
      <c r="AN22" s="400"/>
      <c r="AO22" s="400"/>
      <c r="AP22" s="400"/>
      <c r="AQ22" s="400"/>
      <c r="AR22" s="943"/>
      <c r="AS22" s="943"/>
    </row>
    <row r="23" spans="1:45">
      <c r="A23" t="s">
        <v>353</v>
      </c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206">
        <f>SUM(G23:R23)</f>
        <v>0</v>
      </c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206">
        <f>SUM(T23:AE23)</f>
        <v>0</v>
      </c>
      <c r="AG23" s="543"/>
      <c r="AH23" s="543"/>
      <c r="AI23" s="400"/>
      <c r="AJ23" s="400"/>
      <c r="AK23" s="400"/>
      <c r="AL23" s="400"/>
      <c r="AM23" s="400"/>
      <c r="AN23" s="400"/>
      <c r="AO23" s="400"/>
      <c r="AP23" s="400"/>
      <c r="AQ23" s="400"/>
      <c r="AR23" s="943"/>
      <c r="AS23" s="943"/>
    </row>
    <row r="24" spans="1:45">
      <c r="A24" t="s">
        <v>352</v>
      </c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206">
        <f>SUM(G24:R24)</f>
        <v>0</v>
      </c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206">
        <f>SUM(T24:AE24)</f>
        <v>0</v>
      </c>
      <c r="AG24" s="543"/>
      <c r="AH24" s="543"/>
      <c r="AI24" s="400"/>
      <c r="AJ24" s="400"/>
      <c r="AK24" s="400"/>
      <c r="AL24" s="400"/>
      <c r="AM24" s="400"/>
      <c r="AN24" s="400"/>
      <c r="AO24" s="400"/>
      <c r="AP24" s="400"/>
      <c r="AQ24" s="400"/>
      <c r="AR24" s="943"/>
      <c r="AS24" s="943"/>
    </row>
    <row r="25" spans="1:45">
      <c r="A25" t="s">
        <v>213</v>
      </c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206">
        <f>SUM(G25:R25)</f>
        <v>0</v>
      </c>
      <c r="T25" s="400"/>
      <c r="U25" s="400"/>
      <c r="V25" s="400"/>
      <c r="W25" s="400"/>
      <c r="X25" s="400"/>
      <c r="Y25" s="494"/>
      <c r="Z25" s="400"/>
      <c r="AA25" s="400"/>
      <c r="AB25" s="400"/>
      <c r="AC25" s="400"/>
      <c r="AD25" s="400"/>
      <c r="AE25" s="400"/>
      <c r="AF25" s="206">
        <f>SUM(T25:AE25)</f>
        <v>0</v>
      </c>
      <c r="AG25" s="543"/>
      <c r="AH25" s="543"/>
      <c r="AI25" s="400"/>
      <c r="AJ25" s="400"/>
      <c r="AK25" s="400"/>
      <c r="AL25" s="400"/>
      <c r="AM25" s="400"/>
      <c r="AN25" s="400"/>
      <c r="AO25" s="400"/>
      <c r="AP25" s="400"/>
      <c r="AQ25" s="400"/>
      <c r="AR25" s="943"/>
      <c r="AS25" s="943"/>
    </row>
    <row r="26" spans="1:45">
      <c r="A26" t="s">
        <v>355</v>
      </c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94"/>
      <c r="S26" s="206">
        <f>SUM(G26:R26)</f>
        <v>0</v>
      </c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206">
        <f>SUM(T26:AE26)</f>
        <v>0</v>
      </c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943"/>
      <c r="AS26" s="943"/>
    </row>
    <row r="27" spans="1:45" ht="13.5" thickBot="1">
      <c r="A27" t="s">
        <v>131</v>
      </c>
      <c r="G27" s="241">
        <f>SUM(G22:G26)</f>
        <v>0</v>
      </c>
      <c r="H27" s="241">
        <f t="shared" ref="H27:P27" si="3">SUM(H22:H26)+G27</f>
        <v>0</v>
      </c>
      <c r="I27" s="241">
        <f t="shared" si="3"/>
        <v>0</v>
      </c>
      <c r="J27" s="241">
        <f t="shared" si="3"/>
        <v>0</v>
      </c>
      <c r="K27" s="241">
        <f t="shared" si="3"/>
        <v>0</v>
      </c>
      <c r="L27" s="241">
        <f t="shared" si="3"/>
        <v>0</v>
      </c>
      <c r="M27" s="241">
        <f t="shared" si="3"/>
        <v>0</v>
      </c>
      <c r="N27" s="241">
        <f t="shared" si="3"/>
        <v>0</v>
      </c>
      <c r="O27" s="241">
        <f t="shared" si="3"/>
        <v>0</v>
      </c>
      <c r="P27" s="241">
        <f t="shared" si="3"/>
        <v>0</v>
      </c>
      <c r="Q27" s="241">
        <f>SUM(Q22:Q26)+P27</f>
        <v>0</v>
      </c>
      <c r="R27" s="241">
        <f>SUM(R22:R26)+Q27</f>
        <v>0</v>
      </c>
      <c r="S27" s="283">
        <f>SUM(S22:S26)</f>
        <v>0</v>
      </c>
      <c r="T27" s="241">
        <f>S27+SUM(T22:T26)</f>
        <v>0</v>
      </c>
      <c r="U27" s="241">
        <f t="shared" ref="U27:AE27" si="4">T27+SUM(U22:U26)</f>
        <v>0</v>
      </c>
      <c r="V27" s="241">
        <f t="shared" si="4"/>
        <v>0</v>
      </c>
      <c r="W27" s="241">
        <f t="shared" si="4"/>
        <v>0</v>
      </c>
      <c r="X27" s="241">
        <f t="shared" si="4"/>
        <v>0</v>
      </c>
      <c r="Y27" s="241">
        <f t="shared" si="4"/>
        <v>0</v>
      </c>
      <c r="Z27" s="241">
        <f t="shared" si="4"/>
        <v>0</v>
      </c>
      <c r="AA27" s="241">
        <f t="shared" si="4"/>
        <v>0</v>
      </c>
      <c r="AB27" s="241">
        <f t="shared" si="4"/>
        <v>0</v>
      </c>
      <c r="AC27" s="241">
        <f t="shared" si="4"/>
        <v>0</v>
      </c>
      <c r="AD27" s="241">
        <f t="shared" si="4"/>
        <v>0</v>
      </c>
      <c r="AE27" s="241">
        <f t="shared" si="4"/>
        <v>0</v>
      </c>
      <c r="AF27" s="283"/>
      <c r="AG27" s="241">
        <f>AE27+SUM(AG22:AG26)</f>
        <v>0</v>
      </c>
      <c r="AH27" s="241">
        <f>AG27+SUM(AH22:AH26)</f>
        <v>0</v>
      </c>
      <c r="AI27" s="241">
        <f>AH27+SUM(AI22:AI26)</f>
        <v>0</v>
      </c>
      <c r="AJ27" s="241">
        <f t="shared" ref="AJ27:AQ27" si="5">AI27+SUM(AJ22:AJ26)</f>
        <v>0</v>
      </c>
      <c r="AK27" s="241">
        <f t="shared" si="5"/>
        <v>0</v>
      </c>
      <c r="AL27" s="241">
        <f t="shared" si="5"/>
        <v>0</v>
      </c>
      <c r="AM27" s="241">
        <f t="shared" si="5"/>
        <v>0</v>
      </c>
      <c r="AN27" s="241">
        <f t="shared" si="5"/>
        <v>0</v>
      </c>
      <c r="AO27" s="241">
        <f t="shared" si="5"/>
        <v>0</v>
      </c>
      <c r="AP27" s="241">
        <f t="shared" si="5"/>
        <v>0</v>
      </c>
      <c r="AQ27" s="241">
        <f t="shared" si="5"/>
        <v>0</v>
      </c>
      <c r="AR27" s="364"/>
      <c r="AS27" s="364"/>
    </row>
    <row r="28" spans="1:45" ht="13.5" thickTop="1"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206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206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364"/>
      <c r="AS28" s="364"/>
    </row>
    <row r="29" spans="1:45">
      <c r="A29" s="34" t="s">
        <v>217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206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206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364"/>
      <c r="AS29" s="364"/>
    </row>
    <row r="30" spans="1:45">
      <c r="A30" t="s">
        <v>356</v>
      </c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206">
        <f>SUM(G30:R30)</f>
        <v>0</v>
      </c>
      <c r="T30" s="64"/>
      <c r="U30" s="64"/>
      <c r="V30" s="64"/>
      <c r="W30" s="64"/>
      <c r="X30" s="64"/>
      <c r="Y30" s="64"/>
      <c r="Z30" s="64"/>
      <c r="AA30" s="64">
        <f>SUM(S14:Y14)</f>
        <v>11.613974809999998</v>
      </c>
      <c r="AB30" s="64"/>
      <c r="AC30" s="64"/>
      <c r="AD30" s="64"/>
      <c r="AE30" s="64"/>
      <c r="AF30" s="206">
        <f>SUM(T30:AE30)</f>
        <v>11.613974809999998</v>
      </c>
      <c r="AG30" s="400"/>
      <c r="AH30" s="400"/>
      <c r="AI30" s="400"/>
      <c r="AJ30" s="400"/>
      <c r="AK30" s="400"/>
      <c r="AL30" s="400"/>
      <c r="AM30" s="400"/>
      <c r="AN30" s="400"/>
      <c r="AO30" s="400"/>
      <c r="AP30" s="400"/>
      <c r="AQ30" s="400"/>
      <c r="AR30" s="943"/>
      <c r="AS30" s="943"/>
    </row>
    <row r="31" spans="1:45">
      <c r="A31" t="s">
        <v>353</v>
      </c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206">
        <f>SUM(G31:R31)</f>
        <v>0</v>
      </c>
      <c r="T31" s="64"/>
      <c r="U31" s="64"/>
      <c r="V31" s="64"/>
      <c r="W31" s="64"/>
      <c r="X31" s="64"/>
      <c r="Y31" s="64"/>
      <c r="Z31" s="64"/>
      <c r="AA31" s="567">
        <f>SUM(S15:Y15)</f>
        <v>18.665324669999997</v>
      </c>
      <c r="AB31" s="64"/>
      <c r="AC31" s="64"/>
      <c r="AD31" s="64"/>
      <c r="AE31" s="64"/>
      <c r="AF31" s="206">
        <f>SUM(T31:AE31)</f>
        <v>18.665324669999997</v>
      </c>
      <c r="AG31" s="400"/>
      <c r="AH31" s="400"/>
      <c r="AI31" s="400"/>
      <c r="AJ31" s="400"/>
      <c r="AK31" s="400"/>
      <c r="AL31" s="400"/>
      <c r="AM31" s="400"/>
      <c r="AN31" s="400"/>
      <c r="AO31" s="400"/>
      <c r="AP31" s="400"/>
      <c r="AQ31" s="400"/>
      <c r="AR31" s="943"/>
      <c r="AS31" s="943"/>
    </row>
    <row r="32" spans="1:45">
      <c r="A32" t="s">
        <v>352</v>
      </c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206">
        <f>SUM(G32:R32)</f>
        <v>0</v>
      </c>
      <c r="T32" s="64"/>
      <c r="U32" s="64"/>
      <c r="V32" s="64"/>
      <c r="W32" s="64"/>
      <c r="X32" s="64"/>
      <c r="Y32" s="64"/>
      <c r="Z32" s="64"/>
      <c r="AA32" s="567">
        <f>SUM(S16:Y16)</f>
        <v>28.62014954</v>
      </c>
      <c r="AB32" s="64"/>
      <c r="AC32" s="64"/>
      <c r="AD32" s="64"/>
      <c r="AE32" s="64"/>
      <c r="AF32" s="206">
        <f>SUM(T32:AE32)</f>
        <v>28.62014954</v>
      </c>
      <c r="AG32" s="400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943"/>
      <c r="AS32" s="943"/>
    </row>
    <row r="33" spans="1:45">
      <c r="A33" t="s">
        <v>213</v>
      </c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206">
        <f>SUM(G33:R33)</f>
        <v>0</v>
      </c>
      <c r="T33" s="64"/>
      <c r="U33" s="64"/>
      <c r="V33" s="64"/>
      <c r="W33" s="64"/>
      <c r="X33" s="64"/>
      <c r="Y33" s="64"/>
      <c r="Z33" s="64"/>
      <c r="AA33" s="567">
        <f>SUM(S17:Y17)</f>
        <v>0.55304997999999994</v>
      </c>
      <c r="AB33" s="64"/>
      <c r="AC33" s="64"/>
      <c r="AD33" s="64"/>
      <c r="AE33" s="64"/>
      <c r="AF33" s="206">
        <f>SUM(T33:AE33)</f>
        <v>0.55304997999999994</v>
      </c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943"/>
      <c r="AS33" s="943"/>
    </row>
    <row r="34" spans="1:45">
      <c r="A34" t="s">
        <v>355</v>
      </c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206">
        <f>SUM(G34:R34)</f>
        <v>0</v>
      </c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206">
        <f>SUM(T34:AE34)</f>
        <v>0</v>
      </c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943"/>
      <c r="AS34" s="943"/>
    </row>
    <row r="35" spans="1:45" ht="13.5" thickBot="1">
      <c r="A35" t="s">
        <v>131</v>
      </c>
      <c r="G35" s="241">
        <f>SUM(G30:G34)</f>
        <v>0</v>
      </c>
      <c r="H35" s="241">
        <f t="shared" ref="H35:R35" si="6">SUM(H30:H34)+G35</f>
        <v>0</v>
      </c>
      <c r="I35" s="241">
        <f t="shared" si="6"/>
        <v>0</v>
      </c>
      <c r="J35" s="241">
        <f t="shared" si="6"/>
        <v>0</v>
      </c>
      <c r="K35" s="241">
        <f t="shared" si="6"/>
        <v>0</v>
      </c>
      <c r="L35" s="241">
        <f t="shared" si="6"/>
        <v>0</v>
      </c>
      <c r="M35" s="241">
        <f t="shared" si="6"/>
        <v>0</v>
      </c>
      <c r="N35" s="241">
        <f t="shared" si="6"/>
        <v>0</v>
      </c>
      <c r="O35" s="241">
        <f t="shared" si="6"/>
        <v>0</v>
      </c>
      <c r="P35" s="241">
        <f t="shared" si="6"/>
        <v>0</v>
      </c>
      <c r="Q35" s="241">
        <f t="shared" si="6"/>
        <v>0</v>
      </c>
      <c r="R35" s="241">
        <f t="shared" si="6"/>
        <v>0</v>
      </c>
      <c r="S35" s="283">
        <f>SUM(S30:S34)</f>
        <v>0</v>
      </c>
      <c r="T35" s="241">
        <f t="shared" ref="T35:AE35" si="7">S35+SUM(T30:T34)</f>
        <v>0</v>
      </c>
      <c r="U35" s="241">
        <f t="shared" si="7"/>
        <v>0</v>
      </c>
      <c r="V35" s="241">
        <f t="shared" si="7"/>
        <v>0</v>
      </c>
      <c r="W35" s="241">
        <f t="shared" si="7"/>
        <v>0</v>
      </c>
      <c r="X35" s="241">
        <f t="shared" si="7"/>
        <v>0</v>
      </c>
      <c r="Y35" s="241">
        <f t="shared" si="7"/>
        <v>0</v>
      </c>
      <c r="Z35" s="241">
        <f t="shared" si="7"/>
        <v>0</v>
      </c>
      <c r="AA35" s="241">
        <f t="shared" si="7"/>
        <v>59.452498999999989</v>
      </c>
      <c r="AB35" s="241">
        <f t="shared" si="7"/>
        <v>59.452498999999989</v>
      </c>
      <c r="AC35" s="241">
        <f t="shared" si="7"/>
        <v>59.452498999999989</v>
      </c>
      <c r="AD35" s="241">
        <f t="shared" si="7"/>
        <v>59.452498999999989</v>
      </c>
      <c r="AE35" s="241">
        <f t="shared" si="7"/>
        <v>59.452498999999989</v>
      </c>
      <c r="AF35" s="283"/>
      <c r="AG35" s="241">
        <f>AE35+SUM(AG30:AG34)</f>
        <v>59.452498999999989</v>
      </c>
      <c r="AH35" s="241">
        <f t="shared" ref="AH35:AQ35" si="8">AG35+SUM(AH30:AH34)</f>
        <v>59.452498999999989</v>
      </c>
      <c r="AI35" s="241">
        <f t="shared" si="8"/>
        <v>59.452498999999989</v>
      </c>
      <c r="AJ35" s="241">
        <f t="shared" si="8"/>
        <v>59.452498999999989</v>
      </c>
      <c r="AK35" s="241">
        <f t="shared" si="8"/>
        <v>59.452498999999989</v>
      </c>
      <c r="AL35" s="241">
        <f t="shared" si="8"/>
        <v>59.452498999999989</v>
      </c>
      <c r="AM35" s="241">
        <f t="shared" si="8"/>
        <v>59.452498999999989</v>
      </c>
      <c r="AN35" s="241">
        <f t="shared" si="8"/>
        <v>59.452498999999989</v>
      </c>
      <c r="AO35" s="241">
        <f t="shared" si="8"/>
        <v>59.452498999999989</v>
      </c>
      <c r="AP35" s="241">
        <f t="shared" si="8"/>
        <v>59.452498999999989</v>
      </c>
      <c r="AQ35" s="241">
        <f t="shared" si="8"/>
        <v>59.452498999999989</v>
      </c>
      <c r="AR35" s="364"/>
      <c r="AS35" s="364"/>
    </row>
    <row r="36" spans="1:45" ht="13.5" thickTop="1"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206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206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364"/>
      <c r="AS36" s="364"/>
    </row>
    <row r="39" spans="1:45">
      <c r="A39" s="34" t="s">
        <v>218</v>
      </c>
      <c r="F39" s="7"/>
      <c r="S39" s="211">
        <f>SUM(G39:R39)</f>
        <v>0</v>
      </c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211">
        <f>SUM(T39:AE39)</f>
        <v>0</v>
      </c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0"/>
      <c r="AS39" s="780"/>
    </row>
    <row r="40" spans="1:45">
      <c r="S40" s="211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211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0"/>
      <c r="AS40" s="780"/>
    </row>
    <row r="41" spans="1:45">
      <c r="A41" s="34" t="s">
        <v>219</v>
      </c>
      <c r="F41" s="7"/>
      <c r="G41" s="518">
        <v>0</v>
      </c>
      <c r="H41" s="518">
        <v>0</v>
      </c>
      <c r="I41" s="518">
        <v>0</v>
      </c>
      <c r="J41" s="518">
        <v>0</v>
      </c>
      <c r="K41" s="518">
        <v>2.183E-3</v>
      </c>
      <c r="L41" s="518">
        <v>7.2750000000000002E-3</v>
      </c>
      <c r="M41" s="518">
        <v>1.5762999999999999E-2</v>
      </c>
      <c r="N41" s="518">
        <v>2.6918000000000001E-2</v>
      </c>
      <c r="O41" s="518">
        <v>4.0982999999999999E-2</v>
      </c>
      <c r="P41" s="518">
        <v>6.6808999999999993E-2</v>
      </c>
      <c r="Q41" s="518">
        <v>0.10148600000000001</v>
      </c>
      <c r="R41" s="518">
        <v>0.13652800000000001</v>
      </c>
      <c r="S41" s="211">
        <f>SUM(G41:R41)</f>
        <v>0.39794499999999999</v>
      </c>
      <c r="T41" s="518">
        <v>0.166355</v>
      </c>
      <c r="U41" s="518">
        <v>0.190605</v>
      </c>
      <c r="V41" s="518">
        <v>0.21509800000000001</v>
      </c>
      <c r="W41" s="518">
        <v>0.23983299999999999</v>
      </c>
      <c r="X41" s="518">
        <v>0.26456800000000003</v>
      </c>
      <c r="Y41" s="518">
        <v>0.28309499999999999</v>
      </c>
      <c r="Z41" s="518">
        <v>0.28925400000000001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211">
        <f>SUM(T41:AE41)</f>
        <v>1.6488079999999998</v>
      </c>
      <c r="AG41" s="518">
        <v>0</v>
      </c>
      <c r="AH41" s="518">
        <v>0</v>
      </c>
      <c r="AI41" s="78"/>
      <c r="AJ41" s="78"/>
      <c r="AK41" s="78"/>
      <c r="AL41" s="78"/>
      <c r="AM41" s="78"/>
      <c r="AN41" s="78"/>
      <c r="AO41" s="78"/>
      <c r="AP41" s="78"/>
      <c r="AQ41" s="78"/>
      <c r="AR41" s="780"/>
      <c r="AS41" s="780"/>
    </row>
    <row r="43" spans="1:45">
      <c r="A43" s="33" t="s">
        <v>932</v>
      </c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0"/>
      <c r="AS43" s="780"/>
    </row>
    <row r="44" spans="1:45">
      <c r="A44" s="3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</row>
    <row r="45" spans="1:45">
      <c r="A45" s="435" t="s">
        <v>365</v>
      </c>
      <c r="F45" s="435">
        <v>0</v>
      </c>
      <c r="G45" s="106">
        <f>SUM($G11:G11)+SUM($G19:G19)-G46+SUM($G39:G39)+SUM($G41:G41)+F45</f>
        <v>0</v>
      </c>
      <c r="H45" s="106">
        <f>SUM($G11:H11)+SUM($G19:H19)-H46+SUM($G39:H39)+SUM($G41:H41)+$F$45</f>
        <v>0</v>
      </c>
      <c r="I45" s="106">
        <f>SUM($G11:I11)+SUM($G19:I19)-I46+SUM($G39:I39)+SUM($G41:I41)+$F$45</f>
        <v>0</v>
      </c>
      <c r="J45" s="106">
        <f>SUM($G11:J11)+SUM($G19:J19)-J46+SUM($G39:J39)+SUM($G41:J41)+$F$45</f>
        <v>0</v>
      </c>
      <c r="K45" s="106">
        <f>SUM($G11:K11)+SUM($G19:K19)-K46+SUM($G39:K39)+SUM($G41:K41)+$F$45</f>
        <v>0.90218300000000018</v>
      </c>
      <c r="L45" s="106">
        <f>SUM($G11:L11)+SUM($G19:L19)-L46+SUM($G39:L39)+SUM($G41:L41)+$F$45</f>
        <v>2.1094580000000001</v>
      </c>
      <c r="M45" s="106">
        <f>SUM($G11:M11)+SUM($G19:M19)-M46+SUM($G39:M39)+SUM($G41:M41)+$F$45</f>
        <v>4.4252210000000005</v>
      </c>
      <c r="N45" s="106">
        <f>SUM($G11:N11)+SUM($G19:N19)-N46+SUM($G39:N39)+SUM($G41:N41)+$F$45</f>
        <v>6.7521390000000006</v>
      </c>
      <c r="O45" s="106">
        <f>SUM($G11:O11)+SUM($G19:O19)-O46+SUM($G39:O39)+SUM($G41:O41)+$F$45</f>
        <v>10.293121999999999</v>
      </c>
      <c r="P45" s="106">
        <f>SUM($G11:P11)+SUM($G19:P19)-P46+SUM($G39:P39)+SUM($G41:P41)+$F$45</f>
        <v>17.509931000000002</v>
      </c>
      <c r="Q45" s="106">
        <f>SUM($G11:Q11)+SUM($G19:Q19)-Q46+SUM($G39:Q39)+SUM($G41:Q41)+$F$45</f>
        <v>24.761417000000002</v>
      </c>
      <c r="R45" s="106">
        <f>SUM($G11:R11)+SUM($G19:R19)-R46+SUM($G39:R39)+SUM($G41:R41)+$F$45</f>
        <v>32.197945000000004</v>
      </c>
      <c r="S45" s="224"/>
      <c r="T45" s="106">
        <f>SUM($S11:T11)+SUM($S19:T19)+SUM($S39:T39)+SUM($S41:T41)-T46+$F$45</f>
        <v>37.3643</v>
      </c>
      <c r="U45" s="106">
        <f>SUM($S11:U11)+SUM($S19:U19)+SUM($S39:U39)+SUM($S41:U41)-U46+$F$45</f>
        <v>42.554904999999998</v>
      </c>
      <c r="V45" s="106">
        <f>SUM($S11:V11)+SUM($S19:V19)+SUM($S39:V39)+SUM($S41:V41)-V46+$F$45</f>
        <v>47.831540999999994</v>
      </c>
      <c r="W45" s="106">
        <f>SUM($S11:W11)+SUM($S19:W19)+SUM($S39:W39)+SUM($S41:W41)-W46+$F$45</f>
        <v>53.132911999999997</v>
      </c>
      <c r="X45" s="106">
        <f>SUM($S11:X11)+SUM($S19:X19)+SUM($S39:X39)+SUM($S41:X41)-X46+$F$45</f>
        <v>58.459017999999993</v>
      </c>
      <c r="Y45" s="106">
        <f>SUM($S11:Y11)+SUM($S19:Y19)+SUM($S39:Y39)+SUM($S41:Y41)-Y46+$F$45</f>
        <v>61.209997999999999</v>
      </c>
      <c r="Z45" s="106">
        <f>SUM($S11:Z11)+SUM($S19:Z19)+SUM($S39:Z39)+SUM($S41:Z41)-Z46+$F$45</f>
        <v>61.499251999999998</v>
      </c>
      <c r="AA45" s="106">
        <f>SUM($S11:AA11)+SUM($S19:AA19)+SUM($S39:AA39)+SUM($S41:AA41)-AA46+$F$45</f>
        <v>7.1054273576010019E-15</v>
      </c>
      <c r="AB45" s="106">
        <f>SUM($S11:AB11)+SUM($S19:AB19)+SUM($S39:AB39)+SUM($S41:AB41)-AB46+$F$45</f>
        <v>7.1054273576010019E-15</v>
      </c>
      <c r="AC45" s="106">
        <f>SUM($S11:AC11)+SUM($S19:AC19)+SUM($S39:AC39)+SUM($S41:AC41)-AC46+$F$45</f>
        <v>7.1054273576010019E-15</v>
      </c>
      <c r="AD45" s="106">
        <f>SUM($S11:AD11)+SUM($S19:AD19)+SUM($S39:AD39)+SUM($S41:AD41)-AD46+$F$45</f>
        <v>7.1054273576010019E-15</v>
      </c>
      <c r="AE45" s="106">
        <f>SUM($S11:AE11)+SUM($S19:AE19)+SUM($S39:AE39)+SUM($S41:AE41)-AE46+$F$45</f>
        <v>7.1054273576010019E-15</v>
      </c>
      <c r="AF45" s="224"/>
      <c r="AG45" s="106">
        <f>$S11+$S19+$S39+$S41+SUM($AF11:AG11)+SUM($AF19:AG19)+SUM($AF39:AG39)+SUM($AF41:AG41)-AG46+$F$45</f>
        <v>7.1054273576010019E-15</v>
      </c>
      <c r="AH45" s="106">
        <f>$S11+$S19+$S39+$S41+SUM($AF11:AH11)+SUM($AF19:AH19)+SUM($AF39:AH39)+SUM($AF41:AH41)-AH46+$F$45</f>
        <v>7.1054273576010019E-15</v>
      </c>
      <c r="AI45" s="106">
        <f>$S11+$S19+$S39+$S41+SUM($AF11:AI11)+SUM($AF19:AI19)+SUM($AF39:AI39)+SUM($AF41:AI41)-AI46+$F$45</f>
        <v>7.1054273576010019E-15</v>
      </c>
      <c r="AJ45" s="106">
        <f>$S11+$S19+$S39+$S41+SUM($AF11:AJ11)+SUM($AF19:AJ19)+SUM($AF39:AJ39)+SUM($AF41:AJ41)-AJ46+$F$45</f>
        <v>7.1054273576010019E-15</v>
      </c>
      <c r="AK45" s="106">
        <f>$S11+$S19+$S39+$S41+SUM($AF11:AK11)+SUM($AF19:AK19)+SUM($AF39:AK39)+SUM($AF41:AK41)-AK46+$F$45</f>
        <v>7.1054273576010019E-15</v>
      </c>
      <c r="AL45" s="106">
        <f>$S11+$S19+$S39+$S41+SUM($AF11:AL11)+SUM($AF19:AL19)+SUM($AF39:AL39)+SUM($AF41:AL41)-AL46+$F$45</f>
        <v>7.1054273576010019E-15</v>
      </c>
      <c r="AM45" s="106">
        <f>$S11+$S19+$S39+$S41+SUM($AF11:AM11)+SUM($AF19:AM19)+SUM($AF39:AM39)+SUM($AF41:AM41)-AM46+$F$45</f>
        <v>7.1054273576010019E-15</v>
      </c>
      <c r="AN45" s="106">
        <f>$S11+$S19+$S39+$S41+SUM($AF11:AN11)+SUM($AF19:AN19)+SUM($AF39:AN39)+SUM($AF41:AN41)-AN46+$F$45</f>
        <v>7.1054273576010019E-15</v>
      </c>
      <c r="AO45" s="106">
        <f>$S11+$S19+$S39+$S41+SUM($AF11:AO11)+SUM($AF19:AO19)+SUM($AF39:AO39)+SUM($AF41:AO41)-AO46+$F$45</f>
        <v>7.1054273576010019E-15</v>
      </c>
      <c r="AP45" s="106">
        <f>$S11+$S19+$S39+$S41+SUM($AF11:AP11)+SUM($AF19:AP19)+SUM($AF39:AP39)+SUM($AF41:AP41)-AP46+$F$45</f>
        <v>7.1054273576010019E-15</v>
      </c>
      <c r="AQ45" s="106">
        <f>$S11+$S19+$S39+$S41+SUM($AF11:AQ11)+SUM($AF19:AQ19)+SUM($AF39:AQ39)+SUM($AF41:AQ41)-AQ46+$F$45</f>
        <v>7.1054273576010019E-15</v>
      </c>
      <c r="AR45" s="917"/>
      <c r="AS45" s="917"/>
    </row>
    <row r="46" spans="1:45">
      <c r="A46" s="435" t="s">
        <v>220</v>
      </c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224"/>
      <c r="T46" s="106">
        <f t="shared" ref="T46:Z46" si="9">T35+T27</f>
        <v>0</v>
      </c>
      <c r="U46" s="106">
        <f t="shared" si="9"/>
        <v>0</v>
      </c>
      <c r="V46" s="106">
        <f t="shared" si="9"/>
        <v>0</v>
      </c>
      <c r="W46" s="106">
        <f t="shared" si="9"/>
        <v>0</v>
      </c>
      <c r="X46" s="106">
        <f t="shared" si="9"/>
        <v>0</v>
      </c>
      <c r="Y46" s="106">
        <f t="shared" si="9"/>
        <v>0</v>
      </c>
      <c r="Z46" s="106">
        <f t="shared" si="9"/>
        <v>0</v>
      </c>
      <c r="AA46" s="106">
        <f>AA35+AA27+SUM($S41:Z41)</f>
        <v>61.499251999999991</v>
      </c>
      <c r="AB46" s="106">
        <f>AB35+AB27+SUM($S41:AA41)</f>
        <v>61.499251999999991</v>
      </c>
      <c r="AC46" s="106">
        <f>AC35+AC27+SUM($S41:AB41)</f>
        <v>61.499251999999991</v>
      </c>
      <c r="AD46" s="106">
        <f>AD35+AD27+SUM($S41:AC41)</f>
        <v>61.499251999999991</v>
      </c>
      <c r="AE46" s="106">
        <f>AE35+AE27+SUM($S41:AD41)</f>
        <v>61.499251999999991</v>
      </c>
      <c r="AF46" s="224"/>
      <c r="AG46" s="106">
        <f>AG27+AG35+SUM(AF41:AG41)+S41</f>
        <v>61.499251999999991</v>
      </c>
      <c r="AH46" s="106">
        <f>AH27+AH35+SUM(AF41:AH41)+S41</f>
        <v>61.499251999999991</v>
      </c>
      <c r="AI46" s="106">
        <f>AI27+AI35+SUM(AF39:AI39)+S39+SUM(AF41:AI41)+S41</f>
        <v>61.499251999999991</v>
      </c>
      <c r="AJ46" s="106">
        <f>AI46</f>
        <v>61.499251999999991</v>
      </c>
      <c r="AK46" s="106">
        <f>AJ46</f>
        <v>61.499251999999991</v>
      </c>
      <c r="AL46" s="106">
        <f t="shared" ref="AL46:AQ46" si="10">AK46</f>
        <v>61.499251999999991</v>
      </c>
      <c r="AM46" s="106">
        <f t="shared" si="10"/>
        <v>61.499251999999991</v>
      </c>
      <c r="AN46" s="106">
        <f t="shared" si="10"/>
        <v>61.499251999999991</v>
      </c>
      <c r="AO46" s="106">
        <f t="shared" si="10"/>
        <v>61.499251999999991</v>
      </c>
      <c r="AP46" s="106">
        <f t="shared" si="10"/>
        <v>61.499251999999991</v>
      </c>
      <c r="AQ46" s="106">
        <f t="shared" si="10"/>
        <v>61.499251999999991</v>
      </c>
      <c r="AR46" s="917"/>
      <c r="AS46" s="917"/>
    </row>
    <row r="47" spans="1:45">
      <c r="A47" s="435" t="s">
        <v>922</v>
      </c>
      <c r="G47" s="106"/>
      <c r="H47" s="676">
        <f>-SUM($G53:G53)</f>
        <v>0</v>
      </c>
      <c r="I47" s="676">
        <f>-SUM($G53:H53)</f>
        <v>0</v>
      </c>
      <c r="J47" s="676">
        <f>-SUM($G53:I53)</f>
        <v>0</v>
      </c>
      <c r="K47" s="676">
        <f>-SUM($G53:J53)</f>
        <v>0</v>
      </c>
      <c r="L47" s="676">
        <f>-SUM($G53:K53)</f>
        <v>0</v>
      </c>
      <c r="M47" s="676">
        <f>-SUM($G53:L53)</f>
        <v>0</v>
      </c>
      <c r="N47" s="676">
        <f>-SUM($G53:M53)</f>
        <v>0</v>
      </c>
      <c r="O47" s="676">
        <f>-SUM($G53:N53)</f>
        <v>0</v>
      </c>
      <c r="P47" s="676">
        <f>-SUM($G53:O53)</f>
        <v>0</v>
      </c>
      <c r="Q47" s="676">
        <f>-SUM($G53:P53)</f>
        <v>0</v>
      </c>
      <c r="R47" s="676">
        <f>-SUM($G53:Q53)</f>
        <v>0</v>
      </c>
      <c r="S47" s="677"/>
      <c r="T47" s="676">
        <f>-SUM($S53:S53)</f>
        <v>0</v>
      </c>
      <c r="U47" s="676">
        <f>-SUM($S53:T53)</f>
        <v>0</v>
      </c>
      <c r="V47" s="676">
        <f>-SUM($S53:U53)</f>
        <v>0</v>
      </c>
      <c r="W47" s="676">
        <f>-SUM($S53:V53)</f>
        <v>0</v>
      </c>
      <c r="X47" s="676">
        <f>-SUM($S53:W53)</f>
        <v>0</v>
      </c>
      <c r="Y47" s="676">
        <f>-SUM($S53:X53)</f>
        <v>0</v>
      </c>
      <c r="Z47" s="676">
        <f>-SUM($S53:Y53)</f>
        <v>0</v>
      </c>
      <c r="AA47" s="676">
        <f>-SUM($S53:Z53)</f>
        <v>0</v>
      </c>
      <c r="AB47" s="676">
        <f>-SUM($S53:AA53)</f>
        <v>0</v>
      </c>
      <c r="AC47" s="676">
        <f>-SUM($S53:AB53)</f>
        <v>-0.11684857879999999</v>
      </c>
      <c r="AD47" s="676">
        <f>-SUM($S53:AC53)</f>
        <v>-0.23369715759999998</v>
      </c>
      <c r="AE47" s="676">
        <f>-SUM($S53:AD53)</f>
        <v>-0.35054573639999997</v>
      </c>
      <c r="AF47" s="677"/>
      <c r="AG47" s="676">
        <f>-SUM($AF53:AF53)-$S53-AG53*0.5</f>
        <v>-1.1684857879999999</v>
      </c>
      <c r="AH47" s="676">
        <f>-SUM($AF53:AG53)-$S53-AH53*0.5</f>
        <v>-2.5706687335999998</v>
      </c>
      <c r="AI47" s="676">
        <f>-SUM($AF53:AH53)-$S53-AI53*0.5</f>
        <v>-3.9728516791999997</v>
      </c>
      <c r="AJ47" s="676">
        <f>-SUM($AF53:AI53)-$S53-AJ53*0.5</f>
        <v>-5.3750346247999996</v>
      </c>
      <c r="AK47" s="676">
        <f>-SUM($AF53:AJ53)-$S53-AK53*0.5</f>
        <v>-6.7772175703999995</v>
      </c>
      <c r="AL47" s="676">
        <f>-SUM($AF53:AK53)-$S53-AL53*0.5</f>
        <v>-8.1794005159999994</v>
      </c>
      <c r="AM47" s="676">
        <f>-SUM($AF53:AL53)-$S53-AM53*0.5</f>
        <v>-9.5815834615999993</v>
      </c>
      <c r="AN47" s="676">
        <f>-SUM($AF53:AM53)-$S53-AN53*0.5</f>
        <v>-10.983766407199999</v>
      </c>
      <c r="AO47" s="676">
        <f>-SUM($AF53:AN53)-$S53-AO53*0.5</f>
        <v>-12.385949352799999</v>
      </c>
      <c r="AP47" s="676">
        <f>-SUM($AF53:AO53)-$S53-AP53*0.5</f>
        <v>-13.788132298399999</v>
      </c>
      <c r="AQ47" s="676">
        <f>-SUM($AF53:AP53)-$S53-AQ53*0.5</f>
        <v>-15.190315243999999</v>
      </c>
      <c r="AR47" s="917"/>
      <c r="AS47" s="917"/>
    </row>
    <row r="48" spans="1:45">
      <c r="A48" s="33" t="s">
        <v>933</v>
      </c>
      <c r="G48" s="106"/>
      <c r="H48" s="813">
        <f>SUM(H46:H47)</f>
        <v>0</v>
      </c>
      <c r="I48" s="813">
        <f t="shared" ref="I48:T48" si="11">SUM(I46:I47)</f>
        <v>0</v>
      </c>
      <c r="J48" s="813">
        <f t="shared" si="11"/>
        <v>0</v>
      </c>
      <c r="K48" s="813">
        <f t="shared" si="11"/>
        <v>0</v>
      </c>
      <c r="L48" s="813">
        <f t="shared" si="11"/>
        <v>0</v>
      </c>
      <c r="M48" s="813">
        <f t="shared" si="11"/>
        <v>0</v>
      </c>
      <c r="N48" s="813">
        <f t="shared" si="11"/>
        <v>0</v>
      </c>
      <c r="O48" s="813">
        <f t="shared" si="11"/>
        <v>0</v>
      </c>
      <c r="P48" s="813">
        <f t="shared" si="11"/>
        <v>0</v>
      </c>
      <c r="Q48" s="813">
        <f t="shared" si="11"/>
        <v>0</v>
      </c>
      <c r="R48" s="813">
        <f t="shared" si="11"/>
        <v>0</v>
      </c>
      <c r="S48" s="280"/>
      <c r="T48" s="813">
        <f t="shared" si="11"/>
        <v>0</v>
      </c>
      <c r="U48" s="813">
        <f t="shared" ref="U48:AE48" si="12">SUM(U46:U47)</f>
        <v>0</v>
      </c>
      <c r="V48" s="813">
        <f t="shared" si="12"/>
        <v>0</v>
      </c>
      <c r="W48" s="813">
        <f t="shared" si="12"/>
        <v>0</v>
      </c>
      <c r="X48" s="813">
        <f t="shared" si="12"/>
        <v>0</v>
      </c>
      <c r="Y48" s="813">
        <f t="shared" si="12"/>
        <v>0</v>
      </c>
      <c r="Z48" s="813">
        <f t="shared" si="12"/>
        <v>0</v>
      </c>
      <c r="AA48" s="813">
        <f t="shared" si="12"/>
        <v>61.499251999999991</v>
      </c>
      <c r="AB48" s="813">
        <f t="shared" si="12"/>
        <v>61.499251999999991</v>
      </c>
      <c r="AC48" s="813">
        <f t="shared" si="12"/>
        <v>61.382403421199989</v>
      </c>
      <c r="AD48" s="813">
        <f t="shared" si="12"/>
        <v>61.265554842399993</v>
      </c>
      <c r="AE48" s="813">
        <f t="shared" si="12"/>
        <v>61.148706263599991</v>
      </c>
      <c r="AF48" s="280"/>
      <c r="AG48" s="813">
        <f>SUM(AG46:AG47)</f>
        <v>60.330766211999993</v>
      </c>
      <c r="AH48" s="813">
        <f t="shared" ref="AH48:AQ48" si="13">SUM(AH46:AH47)</f>
        <v>58.92858326639999</v>
      </c>
      <c r="AI48" s="813">
        <f t="shared" si="13"/>
        <v>57.526400320799993</v>
      </c>
      <c r="AJ48" s="813">
        <f t="shared" si="13"/>
        <v>56.12421737519999</v>
      </c>
      <c r="AK48" s="813">
        <f t="shared" si="13"/>
        <v>54.722034429599994</v>
      </c>
      <c r="AL48" s="813">
        <f t="shared" si="13"/>
        <v>53.31985148399999</v>
      </c>
      <c r="AM48" s="813">
        <f t="shared" si="13"/>
        <v>51.917668538399994</v>
      </c>
      <c r="AN48" s="813">
        <f t="shared" si="13"/>
        <v>50.51548559279999</v>
      </c>
      <c r="AO48" s="813">
        <f t="shared" si="13"/>
        <v>49.113302647199994</v>
      </c>
      <c r="AP48" s="813">
        <f t="shared" si="13"/>
        <v>47.711119701599991</v>
      </c>
      <c r="AQ48" s="813">
        <f t="shared" si="13"/>
        <v>46.308936755999994</v>
      </c>
      <c r="AR48" s="944"/>
      <c r="AS48" s="944"/>
    </row>
    <row r="49" spans="1:45">
      <c r="A49" s="33" t="s">
        <v>923</v>
      </c>
      <c r="G49" s="106"/>
      <c r="H49" s="813"/>
      <c r="I49" s="813"/>
      <c r="J49" s="813"/>
      <c r="K49" s="813"/>
      <c r="L49" s="813"/>
      <c r="M49" s="813"/>
      <c r="N49" s="813"/>
      <c r="O49" s="813"/>
      <c r="P49" s="813"/>
      <c r="Q49" s="813"/>
      <c r="R49" s="813"/>
      <c r="S49" s="280"/>
      <c r="T49" s="813"/>
      <c r="U49" s="813"/>
      <c r="V49" s="813"/>
      <c r="W49" s="813"/>
      <c r="X49" s="813"/>
      <c r="Y49" s="813"/>
      <c r="Z49" s="813"/>
      <c r="AA49" s="818">
        <v>0.1</v>
      </c>
      <c r="AB49" s="818">
        <v>0.1</v>
      </c>
      <c r="AC49" s="818">
        <v>0.1</v>
      </c>
      <c r="AD49" s="818">
        <v>0.1</v>
      </c>
      <c r="AE49" s="818">
        <v>0.1</v>
      </c>
      <c r="AF49" s="280"/>
      <c r="AG49" s="818">
        <v>0.1</v>
      </c>
      <c r="AH49" s="813">
        <f t="shared" ref="AH49:AQ50" si="14">AG49*1.03</f>
        <v>0.10300000000000001</v>
      </c>
      <c r="AI49" s="813">
        <f t="shared" si="14"/>
        <v>0.10609000000000002</v>
      </c>
      <c r="AJ49" s="813">
        <f>AI49*1.03</f>
        <v>0.10927270000000001</v>
      </c>
      <c r="AK49" s="813">
        <f t="shared" ref="AK49:AQ49" si="15">AJ49*1.03</f>
        <v>0.11255088100000002</v>
      </c>
      <c r="AL49" s="813">
        <f t="shared" si="15"/>
        <v>0.11592740743000002</v>
      </c>
      <c r="AM49" s="813">
        <f t="shared" si="15"/>
        <v>0.11940522965290003</v>
      </c>
      <c r="AN49" s="813">
        <f t="shared" si="15"/>
        <v>0.12298738654248703</v>
      </c>
      <c r="AO49" s="813">
        <f t="shared" si="15"/>
        <v>0.12667700813876165</v>
      </c>
      <c r="AP49" s="813">
        <f t="shared" si="15"/>
        <v>0.13047731838292451</v>
      </c>
      <c r="AQ49" s="813">
        <f t="shared" si="15"/>
        <v>0.13439163793441225</v>
      </c>
      <c r="AR49" s="944"/>
      <c r="AS49" s="944"/>
    </row>
    <row r="50" spans="1:45">
      <c r="A50" s="33" t="s">
        <v>924</v>
      </c>
      <c r="G50" s="106"/>
      <c r="H50" s="813"/>
      <c r="I50" s="813"/>
      <c r="J50" s="813"/>
      <c r="K50" s="813"/>
      <c r="L50" s="813"/>
      <c r="M50" s="813"/>
      <c r="N50" s="813"/>
      <c r="O50" s="813"/>
      <c r="P50" s="813"/>
      <c r="Q50" s="813"/>
      <c r="R50" s="813"/>
      <c r="S50" s="280"/>
      <c r="T50" s="813"/>
      <c r="U50" s="813"/>
      <c r="V50" s="813"/>
      <c r="W50" s="813"/>
      <c r="X50" s="813"/>
      <c r="Y50" s="813"/>
      <c r="Z50" s="813"/>
      <c r="AA50" s="818">
        <f>9.43/8</f>
        <v>1.17875</v>
      </c>
      <c r="AB50" s="818">
        <f t="shared" ref="AB50:AG50" si="16">9.43/8</f>
        <v>1.17875</v>
      </c>
      <c r="AC50" s="818">
        <f t="shared" si="16"/>
        <v>1.17875</v>
      </c>
      <c r="AD50" s="818">
        <f t="shared" si="16"/>
        <v>1.17875</v>
      </c>
      <c r="AE50" s="818">
        <f t="shared" si="16"/>
        <v>1.17875</v>
      </c>
      <c r="AF50" s="280"/>
      <c r="AG50" s="818">
        <f t="shared" si="16"/>
        <v>1.17875</v>
      </c>
      <c r="AH50" s="813">
        <f t="shared" si="14"/>
        <v>1.2141124999999999</v>
      </c>
      <c r="AI50" s="813">
        <f t="shared" si="14"/>
        <v>1.250535875</v>
      </c>
      <c r="AJ50" s="813">
        <f t="shared" si="14"/>
        <v>1.2880519512499999</v>
      </c>
      <c r="AK50" s="813">
        <f t="shared" si="14"/>
        <v>1.3266935097874999</v>
      </c>
      <c r="AL50" s="813">
        <f t="shared" si="14"/>
        <v>1.3664943150811248</v>
      </c>
      <c r="AM50" s="813">
        <f t="shared" si="14"/>
        <v>1.4074891445335587</v>
      </c>
      <c r="AN50" s="813">
        <f t="shared" si="14"/>
        <v>1.4497138188695655</v>
      </c>
      <c r="AO50" s="813">
        <f t="shared" si="14"/>
        <v>1.4932052334356525</v>
      </c>
      <c r="AP50" s="813">
        <f t="shared" si="14"/>
        <v>1.5380013904387222</v>
      </c>
      <c r="AQ50" s="813">
        <f t="shared" si="14"/>
        <v>1.5841414321518839</v>
      </c>
      <c r="AR50" s="944"/>
      <c r="AS50" s="944"/>
    </row>
    <row r="51" spans="1:45"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224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224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917"/>
      <c r="AS51" s="917"/>
    </row>
    <row r="52" spans="1:45">
      <c r="A52" s="34" t="s">
        <v>919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224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224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917"/>
      <c r="AS52" s="917"/>
    </row>
    <row r="53" spans="1:45">
      <c r="A53" s="435" t="s">
        <v>925</v>
      </c>
      <c r="F53" s="7">
        <v>2.2800000000000001E-2</v>
      </c>
      <c r="G53" s="106">
        <f>F$46*$F53/12</f>
        <v>0</v>
      </c>
      <c r="H53" s="106">
        <f>G$46*$F53/12</f>
        <v>0</v>
      </c>
      <c r="I53" s="106">
        <f t="shared" ref="I53:R53" si="17">H$46*$F53/12</f>
        <v>0</v>
      </c>
      <c r="J53" s="106">
        <f t="shared" si="17"/>
        <v>0</v>
      </c>
      <c r="K53" s="106">
        <f t="shared" si="17"/>
        <v>0</v>
      </c>
      <c r="L53" s="106">
        <f t="shared" si="17"/>
        <v>0</v>
      </c>
      <c r="M53" s="106">
        <f t="shared" si="17"/>
        <v>0</v>
      </c>
      <c r="N53" s="106">
        <f t="shared" si="17"/>
        <v>0</v>
      </c>
      <c r="O53" s="106">
        <f t="shared" si="17"/>
        <v>0</v>
      </c>
      <c r="P53" s="106">
        <f t="shared" si="17"/>
        <v>0</v>
      </c>
      <c r="Q53" s="106">
        <f t="shared" si="17"/>
        <v>0</v>
      </c>
      <c r="R53" s="106">
        <f t="shared" si="17"/>
        <v>0</v>
      </c>
      <c r="S53" s="224">
        <f>SUM(G53:R53)</f>
        <v>0</v>
      </c>
      <c r="T53" s="106">
        <f>R$46*$F53/12</f>
        <v>0</v>
      </c>
      <c r="U53" s="106">
        <f>T$46*$F53/12</f>
        <v>0</v>
      </c>
      <c r="V53" s="106">
        <f t="shared" ref="V53:AE53" si="18">U$46*$F53/12</f>
        <v>0</v>
      </c>
      <c r="W53" s="106">
        <f t="shared" si="18"/>
        <v>0</v>
      </c>
      <c r="X53" s="106">
        <f t="shared" si="18"/>
        <v>0</v>
      </c>
      <c r="Y53" s="106">
        <f t="shared" si="18"/>
        <v>0</v>
      </c>
      <c r="Z53" s="106">
        <f t="shared" si="18"/>
        <v>0</v>
      </c>
      <c r="AA53" s="106">
        <f t="shared" si="18"/>
        <v>0</v>
      </c>
      <c r="AB53" s="106">
        <f t="shared" si="18"/>
        <v>0.11684857879999999</v>
      </c>
      <c r="AC53" s="106">
        <f t="shared" si="18"/>
        <v>0.11684857879999999</v>
      </c>
      <c r="AD53" s="106">
        <f t="shared" si="18"/>
        <v>0.11684857879999999</v>
      </c>
      <c r="AE53" s="106">
        <f t="shared" si="18"/>
        <v>0.11684857879999999</v>
      </c>
      <c r="AF53" s="224">
        <f>SUM(T53:AE53)</f>
        <v>0.46739431519999997</v>
      </c>
      <c r="AG53" s="106">
        <f>AG$46*$F53</f>
        <v>1.4021829455999999</v>
      </c>
      <c r="AH53" s="106">
        <f>AH$46*$F53</f>
        <v>1.4021829455999999</v>
      </c>
      <c r="AI53" s="106">
        <f>(AI$46)*$F53</f>
        <v>1.4021829455999999</v>
      </c>
      <c r="AJ53" s="106">
        <f t="shared" ref="AJ53:AQ53" si="19">(AJ$46)*$F53</f>
        <v>1.4021829455999999</v>
      </c>
      <c r="AK53" s="106">
        <f t="shared" si="19"/>
        <v>1.4021829455999999</v>
      </c>
      <c r="AL53" s="106">
        <f t="shared" si="19"/>
        <v>1.4021829455999999</v>
      </c>
      <c r="AM53" s="106">
        <f t="shared" si="19"/>
        <v>1.4021829455999999</v>
      </c>
      <c r="AN53" s="106">
        <f t="shared" si="19"/>
        <v>1.4021829455999999</v>
      </c>
      <c r="AO53" s="106">
        <f t="shared" si="19"/>
        <v>1.4021829455999999</v>
      </c>
      <c r="AP53" s="106">
        <f t="shared" si="19"/>
        <v>1.4021829455999999</v>
      </c>
      <c r="AQ53" s="106">
        <f t="shared" si="19"/>
        <v>1.4021829455999999</v>
      </c>
      <c r="AR53" s="917"/>
      <c r="AS53" s="917"/>
    </row>
    <row r="54" spans="1:45">
      <c r="F54" s="7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224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224"/>
      <c r="AG54" s="106"/>
      <c r="AH54" s="106">
        <f>-$AH$43*$F$53</f>
        <v>0</v>
      </c>
      <c r="AI54" s="106">
        <f>-$AH$43*$F$53</f>
        <v>0</v>
      </c>
      <c r="AJ54" s="106">
        <f t="shared" ref="AJ54:AQ54" si="20">-$AH$43*$F$53</f>
        <v>0</v>
      </c>
      <c r="AK54" s="106">
        <f t="shared" si="20"/>
        <v>0</v>
      </c>
      <c r="AL54" s="106">
        <f t="shared" si="20"/>
        <v>0</v>
      </c>
      <c r="AM54" s="106">
        <f t="shared" si="20"/>
        <v>0</v>
      </c>
      <c r="AN54" s="106">
        <f t="shared" si="20"/>
        <v>0</v>
      </c>
      <c r="AO54" s="106">
        <f t="shared" si="20"/>
        <v>0</v>
      </c>
      <c r="AP54" s="106">
        <f t="shared" si="20"/>
        <v>0</v>
      </c>
      <c r="AQ54" s="106">
        <f t="shared" si="20"/>
        <v>0</v>
      </c>
      <c r="AR54" s="917"/>
      <c r="AS54" s="917"/>
    </row>
    <row r="55" spans="1:45">
      <c r="A55" s="435" t="s">
        <v>926</v>
      </c>
      <c r="F55" s="495">
        <v>1.5E-3</v>
      </c>
      <c r="G55" s="106">
        <f>($G$48+$G$45)*$F55/12</f>
        <v>0</v>
      </c>
      <c r="H55" s="106">
        <f>($G$48+$G$45)*$F55/12</f>
        <v>0</v>
      </c>
      <c r="I55" s="106">
        <f t="shared" ref="I55:Q55" si="21">($G$48+$G$45)*$F55/12</f>
        <v>0</v>
      </c>
      <c r="J55" s="106">
        <f t="shared" si="21"/>
        <v>0</v>
      </c>
      <c r="K55" s="106">
        <f t="shared" si="21"/>
        <v>0</v>
      </c>
      <c r="L55" s="106">
        <f t="shared" si="21"/>
        <v>0</v>
      </c>
      <c r="M55" s="106">
        <f t="shared" si="21"/>
        <v>0</v>
      </c>
      <c r="N55" s="106">
        <f t="shared" si="21"/>
        <v>0</v>
      </c>
      <c r="O55" s="106">
        <f t="shared" si="21"/>
        <v>0</v>
      </c>
      <c r="P55" s="106">
        <f t="shared" si="21"/>
        <v>0</v>
      </c>
      <c r="Q55" s="106">
        <f t="shared" si="21"/>
        <v>0</v>
      </c>
      <c r="R55" s="106">
        <f>($G$48+$G$45)*$F55/12</f>
        <v>0</v>
      </c>
      <c r="S55" s="224">
        <f>SUM(G55:R55)</f>
        <v>0</v>
      </c>
      <c r="T55" s="106">
        <f>($R$48+$R$45)*($F55)/12</f>
        <v>4.0247431250000007E-3</v>
      </c>
      <c r="U55" s="106">
        <f t="shared" ref="U55:AD55" si="22">($R$48+$R$45)*($F55)/12</f>
        <v>4.0247431250000007E-3</v>
      </c>
      <c r="V55" s="106">
        <f t="shared" si="22"/>
        <v>4.0247431250000007E-3</v>
      </c>
      <c r="W55" s="106">
        <f t="shared" si="22"/>
        <v>4.0247431250000007E-3</v>
      </c>
      <c r="X55" s="106">
        <f t="shared" si="22"/>
        <v>4.0247431250000007E-3</v>
      </c>
      <c r="Y55" s="106">
        <f t="shared" si="22"/>
        <v>4.0247431250000007E-3</v>
      </c>
      <c r="Z55" s="106">
        <f t="shared" si="22"/>
        <v>4.0247431250000007E-3</v>
      </c>
      <c r="AA55" s="106">
        <f t="shared" si="22"/>
        <v>4.0247431250000007E-3</v>
      </c>
      <c r="AB55" s="106">
        <f t="shared" si="22"/>
        <v>4.0247431250000007E-3</v>
      </c>
      <c r="AC55" s="106">
        <f t="shared" si="22"/>
        <v>4.0247431250000007E-3</v>
      </c>
      <c r="AD55" s="106">
        <f t="shared" si="22"/>
        <v>4.0247431250000007E-3</v>
      </c>
      <c r="AE55" s="106">
        <f>($R$48+$R$45)*($F55)/12</f>
        <v>4.0247431250000007E-3</v>
      </c>
      <c r="AF55" s="224">
        <f>SUM(T55:AE55)</f>
        <v>4.8296917500000008E-2</v>
      </c>
      <c r="AG55" s="106">
        <f>(AE$48+AE$45)*($F55)</f>
        <v>9.17230593954E-2</v>
      </c>
      <c r="AH55" s="106">
        <f>(AG$48+AG$45)*($F55)</f>
        <v>9.0496149317999999E-2</v>
      </c>
      <c r="AI55" s="106">
        <f t="shared" ref="AI55:AQ55" si="23">(AH$48+AH$45)*($F55)</f>
        <v>8.8392874899600002E-2</v>
      </c>
      <c r="AJ55" s="106">
        <f t="shared" si="23"/>
        <v>8.6289600481200004E-2</v>
      </c>
      <c r="AK55" s="106">
        <f t="shared" si="23"/>
        <v>8.4186326062799993E-2</v>
      </c>
      <c r="AL55" s="106">
        <f t="shared" si="23"/>
        <v>8.208305164440001E-2</v>
      </c>
      <c r="AM55" s="106">
        <f t="shared" si="23"/>
        <v>7.9979777225999998E-2</v>
      </c>
      <c r="AN55" s="106">
        <f t="shared" si="23"/>
        <v>7.7876502807600001E-2</v>
      </c>
      <c r="AO55" s="106">
        <f t="shared" si="23"/>
        <v>7.5773228389200004E-2</v>
      </c>
      <c r="AP55" s="106">
        <f t="shared" si="23"/>
        <v>7.3669953970800006E-2</v>
      </c>
      <c r="AQ55" s="106">
        <f t="shared" si="23"/>
        <v>7.1566679552399995E-2</v>
      </c>
      <c r="AR55" s="917"/>
      <c r="AS55" s="917"/>
    </row>
    <row r="56" spans="1:45">
      <c r="F56" s="495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224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224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917"/>
      <c r="AS56" s="917"/>
    </row>
    <row r="57" spans="1:45">
      <c r="A57" s="435" t="s">
        <v>927</v>
      </c>
      <c r="F57" s="495">
        <v>1E-3</v>
      </c>
      <c r="G57" s="106">
        <f>F$46*$F57/12</f>
        <v>0</v>
      </c>
      <c r="H57" s="106">
        <f>G$46*$F57/12</f>
        <v>0</v>
      </c>
      <c r="I57" s="106">
        <f t="shared" ref="I57:Q57" si="24">H$46*$F57/12</f>
        <v>0</v>
      </c>
      <c r="J57" s="106">
        <f t="shared" si="24"/>
        <v>0</v>
      </c>
      <c r="K57" s="106">
        <f t="shared" si="24"/>
        <v>0</v>
      </c>
      <c r="L57" s="106">
        <f t="shared" si="24"/>
        <v>0</v>
      </c>
      <c r="M57" s="106">
        <f>L$46*$F57/12</f>
        <v>0</v>
      </c>
      <c r="N57" s="106">
        <f t="shared" si="24"/>
        <v>0</v>
      </c>
      <c r="O57" s="106">
        <f t="shared" si="24"/>
        <v>0</v>
      </c>
      <c r="P57" s="106">
        <f t="shared" si="24"/>
        <v>0</v>
      </c>
      <c r="Q57" s="106">
        <f t="shared" si="24"/>
        <v>0</v>
      </c>
      <c r="R57" s="106">
        <f>Q$46*$F57/12</f>
        <v>0</v>
      </c>
      <c r="S57" s="224">
        <f>SUM(G57:R57)</f>
        <v>0</v>
      </c>
      <c r="T57" s="106">
        <f>R$46*($F57*1.03^T$4)/12</f>
        <v>0</v>
      </c>
      <c r="U57" s="106">
        <f>T$46*($F57*1.03^U$4)/12</f>
        <v>0</v>
      </c>
      <c r="V57" s="106">
        <f t="shared" ref="V57:AE57" si="25">U$46*($F57*1.03^V$4)/12</f>
        <v>0</v>
      </c>
      <c r="W57" s="106">
        <f t="shared" si="25"/>
        <v>0</v>
      </c>
      <c r="X57" s="106">
        <f t="shared" si="25"/>
        <v>0</v>
      </c>
      <c r="Y57" s="106">
        <f t="shared" si="25"/>
        <v>0</v>
      </c>
      <c r="Z57" s="106">
        <f t="shared" si="25"/>
        <v>0</v>
      </c>
      <c r="AA57" s="106">
        <f>Z$46*($F57*1.03^AA$4)/12</f>
        <v>0</v>
      </c>
      <c r="AB57" s="106">
        <f>AA$46*($F57*1.03^AB$4)/12</f>
        <v>5.437046370566666E-3</v>
      </c>
      <c r="AC57" s="106">
        <f t="shared" si="25"/>
        <v>5.437046370566666E-3</v>
      </c>
      <c r="AD57" s="106">
        <f t="shared" si="25"/>
        <v>5.437046370566666E-3</v>
      </c>
      <c r="AE57" s="106">
        <f t="shared" si="25"/>
        <v>5.437046370566666E-3</v>
      </c>
      <c r="AF57" s="224">
        <f>SUM(T57:AE57)</f>
        <v>2.1748185482266664E-2</v>
      </c>
      <c r="AG57" s="106">
        <f>AE$46*($F57*1.03^AG$4)</f>
        <v>6.7201893140203986E-2</v>
      </c>
      <c r="AH57" s="106">
        <f>AG$46*($F57*1.03^AH$4)</f>
        <v>6.9217949934410106E-2</v>
      </c>
      <c r="AI57" s="106">
        <f t="shared" ref="AI57:AQ57" si="26">AH$46*($F57*1.03^AI$4)</f>
        <v>7.1294488432442404E-2</v>
      </c>
      <c r="AJ57" s="106">
        <f t="shared" si="26"/>
        <v>7.3433323085415669E-2</v>
      </c>
      <c r="AK57" s="106">
        <f t="shared" si="26"/>
        <v>7.563632277797816E-2</v>
      </c>
      <c r="AL57" s="106">
        <f t="shared" si="26"/>
        <v>7.7905412461317491E-2</v>
      </c>
      <c r="AM57" s="106">
        <f t="shared" si="26"/>
        <v>8.0242574835157024E-2</v>
      </c>
      <c r="AN57" s="106">
        <f t="shared" si="26"/>
        <v>8.2649852080211722E-2</v>
      </c>
      <c r="AO57" s="106">
        <f t="shared" si="26"/>
        <v>8.5129347642618092E-2</v>
      </c>
      <c r="AP57" s="106">
        <f t="shared" si="26"/>
        <v>8.7683228071896616E-2</v>
      </c>
      <c r="AQ57" s="106">
        <f t="shared" si="26"/>
        <v>9.0313724914053511E-2</v>
      </c>
      <c r="AR57" s="917"/>
      <c r="AS57" s="917"/>
    </row>
    <row r="58" spans="1:45"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224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224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917"/>
      <c r="AS58" s="917"/>
    </row>
    <row r="59" spans="1:45">
      <c r="A59" s="435" t="s">
        <v>928</v>
      </c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224">
        <f>SUM(G59:R59)</f>
        <v>0</v>
      </c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224">
        <f>SUM(T59:AE59)</f>
        <v>0</v>
      </c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917"/>
      <c r="AS59" s="917"/>
    </row>
    <row r="60" spans="1:45"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224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224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917"/>
      <c r="AS60" s="917"/>
    </row>
    <row r="61" spans="1:45">
      <c r="A61" t="s">
        <v>934</v>
      </c>
      <c r="G61" s="106">
        <f>'Regulatory Charge'!M37</f>
        <v>2.1335972121212122E-2</v>
      </c>
      <c r="H61" s="106">
        <f>'Regulatory Charge'!N37</f>
        <v>2.1335972121212122E-2</v>
      </c>
      <c r="I61" s="106">
        <f>'Regulatory Charge'!O37</f>
        <v>2.1335972121212122E-2</v>
      </c>
      <c r="J61" s="106">
        <f>'Regulatory Charge'!P37</f>
        <v>2.1335972121212122E-2</v>
      </c>
      <c r="K61" s="106">
        <f>'Regulatory Charge'!Q37</f>
        <v>2.1335972121212122E-2</v>
      </c>
      <c r="L61" s="106">
        <f>'Regulatory Charge'!R37</f>
        <v>2.1335972121212122E-2</v>
      </c>
      <c r="M61" s="106">
        <f>'Regulatory Charge'!S37</f>
        <v>2.1335972121212122E-2</v>
      </c>
      <c r="N61" s="106">
        <f>'Regulatory Charge'!T37</f>
        <v>2.1335972121212122E-2</v>
      </c>
      <c r="O61" s="106">
        <f>'Regulatory Charge'!U37</f>
        <v>2.1335972121212122E-2</v>
      </c>
      <c r="P61" s="106">
        <f>'Regulatory Charge'!V37</f>
        <v>2.1335972121212122E-2</v>
      </c>
      <c r="Q61" s="106">
        <f>'Regulatory Charge'!W37</f>
        <v>2.1335972121212122E-2</v>
      </c>
      <c r="R61" s="106">
        <f>'Regulatory Charge'!X37</f>
        <v>2.1335972121212122E-2</v>
      </c>
      <c r="S61" s="224">
        <f>SUM(G61:R61)</f>
        <v>0.25603166545454553</v>
      </c>
      <c r="T61" s="106">
        <f>'Regulatory Charge'!Z37</f>
        <v>2.1335972121212122E-2</v>
      </c>
      <c r="U61" s="106">
        <f>'Regulatory Charge'!AA37</f>
        <v>2.1335972121212122E-2</v>
      </c>
      <c r="V61" s="106">
        <f>'Regulatory Charge'!AB37</f>
        <v>2.1335972121212122E-2</v>
      </c>
      <c r="W61" s="106">
        <f>'Regulatory Charge'!AC37</f>
        <v>2.1335972121212122E-2</v>
      </c>
      <c r="X61" s="106">
        <f>'Regulatory Charge'!AD37</f>
        <v>2.1335972121212122E-2</v>
      </c>
      <c r="Y61" s="106">
        <f>'Regulatory Charge'!AE37</f>
        <v>2.1335972121212122E-2</v>
      </c>
      <c r="Z61" s="106">
        <f>'Regulatory Charge'!AF37</f>
        <v>2.1335972121212122E-2</v>
      </c>
      <c r="AA61" s="106">
        <f>'Regulatory Charge'!AG37</f>
        <v>2.1335972121212122E-2</v>
      </c>
      <c r="AB61" s="106">
        <f>'Regulatory Charge'!AH37</f>
        <v>2.1335972121212122E-2</v>
      </c>
      <c r="AC61" s="106">
        <f>'Regulatory Charge'!AI37</f>
        <v>2.1335972121212122E-2</v>
      </c>
      <c r="AD61" s="106">
        <f>'Regulatory Charge'!AJ37</f>
        <v>2.1335972121212122E-2</v>
      </c>
      <c r="AE61" s="106">
        <f>'Regulatory Charge'!AK37</f>
        <v>2.1335972121212122E-2</v>
      </c>
      <c r="AF61" s="224">
        <f>SUM(T61:AE61)</f>
        <v>0.25603166545454553</v>
      </c>
      <c r="AG61" s="106">
        <f>'Regulatory Charge'!AM37</f>
        <v>0.19202374909090911</v>
      </c>
      <c r="AH61" s="106">
        <f>'Regulatory Charge'!AN37</f>
        <v>0</v>
      </c>
      <c r="AI61" s="106">
        <f>'Regulatory Charge'!AO37</f>
        <v>0</v>
      </c>
      <c r="AJ61" s="106">
        <f>'Regulatory Charge'!AP37</f>
        <v>0</v>
      </c>
      <c r="AK61" s="106">
        <f>'Regulatory Charge'!AQ37</f>
        <v>0</v>
      </c>
      <c r="AL61" s="106">
        <f>'Regulatory Charge'!AR37</f>
        <v>0</v>
      </c>
      <c r="AM61" s="106">
        <f>'Regulatory Charge'!AS37</f>
        <v>0</v>
      </c>
      <c r="AN61" s="106">
        <f>'Regulatory Charge'!AT37</f>
        <v>0</v>
      </c>
      <c r="AO61" s="106">
        <f>'Regulatory Charge'!AU37</f>
        <v>0</v>
      </c>
      <c r="AP61" s="106">
        <f>'Regulatory Charge'!AV37</f>
        <v>0</v>
      </c>
      <c r="AQ61" s="106">
        <f>'Regulatory Charge'!AW37</f>
        <v>0</v>
      </c>
      <c r="AR61" s="917"/>
      <c r="AS61" s="917"/>
    </row>
    <row r="62" spans="1:45"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224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224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917"/>
      <c r="AS62" s="917"/>
    </row>
    <row r="63" spans="1:45">
      <c r="A63" s="435" t="s">
        <v>929</v>
      </c>
      <c r="D63" s="435"/>
      <c r="F63">
        <v>1.24</v>
      </c>
      <c r="G63" s="106">
        <f>(G48+G49+G50)*(Debt!P9+Debt!$C$124)*ECP!$F63/12</f>
        <v>0</v>
      </c>
      <c r="H63" s="106">
        <f>(H48+H49+H50)*(Debt!Q9+Debt!$C$124)*ECP!$F63/12</f>
        <v>0</v>
      </c>
      <c r="I63" s="106">
        <f>(I48+I49+I50)*(Debt!R9+Debt!$C$124)*ECP!$F63/12</f>
        <v>0</v>
      </c>
      <c r="J63" s="106">
        <f>(J48+J49+J50)*(Debt!S9+Debt!$C$124)*ECP!$F63/12</f>
        <v>0</v>
      </c>
      <c r="K63" s="106">
        <f>(K48+K49+K50)*(Debt!T9+Debt!$C$124)*ECP!$F63/12</f>
        <v>0</v>
      </c>
      <c r="L63" s="106">
        <f>(L48+L49+L50)*(Debt!U9+Debt!$C$124)*ECP!$F63/12</f>
        <v>0</v>
      </c>
      <c r="M63" s="106">
        <f>(M48+M49+M50)*(Debt!V9+Debt!$C$124)*ECP!$F63/12</f>
        <v>0</v>
      </c>
      <c r="N63" s="106">
        <f>(N48+N49+N50)*(Debt!W9+Debt!$C$124)*ECP!$F63/12</f>
        <v>0</v>
      </c>
      <c r="O63" s="106">
        <f>(O48+O49+O50)*(Debt!X9+Debt!$C$124)*ECP!$F63/12</f>
        <v>0</v>
      </c>
      <c r="P63" s="106">
        <f>(P48+P49+P50)*(Debt!Y9+Debt!$C$124)*ECP!$F63/12</f>
        <v>0</v>
      </c>
      <c r="Q63" s="106">
        <f>(Q48+Q49+Q50)*(Debt!Z9+Debt!$C$124)*ECP!$F63/12</f>
        <v>0</v>
      </c>
      <c r="R63" s="106">
        <f>(R48+R49+R50)*(Debt!AA9+Debt!$C$124)*ECP!$F63/12</f>
        <v>0</v>
      </c>
      <c r="S63" s="224">
        <f>SUM(G63:R63)</f>
        <v>0</v>
      </c>
      <c r="T63" s="106">
        <f>(T48+T49+T50)*(Debt!AC9+Debt!$C$124)*ECP!$F63/12</f>
        <v>0</v>
      </c>
      <c r="U63" s="106">
        <f>(U48+U49+U50)*(Debt!AD9+Debt!$C$124)*ECP!$F63/12</f>
        <v>0</v>
      </c>
      <c r="V63" s="106">
        <f>(V48+V49+V50)*(Debt!AE9+Debt!$C$124)*ECP!$F63/12</f>
        <v>0</v>
      </c>
      <c r="W63" s="106">
        <f>(W48+W49+W50)*(Debt!AF9+Debt!$C$124)*ECP!$F63/12</f>
        <v>0</v>
      </c>
      <c r="X63" s="106">
        <f>(X48+X49+X50)*(Debt!AG9+Debt!$C$124)*ECP!$F63/12</f>
        <v>0</v>
      </c>
      <c r="Y63" s="106">
        <f>(Y48+Y49+Y50)*(Debt!AH9+Debt!$C$124)*ECP!$F63/12</f>
        <v>0</v>
      </c>
      <c r="Z63" s="106">
        <f>(Z48+Z49+Z50)*(Debt!AI9+Debt!$C$124)*ECP!$F63/12</f>
        <v>0</v>
      </c>
      <c r="AA63" s="106">
        <f>(AA48+AA49+AA50)*(Debt!AJ9+Debt!$C$124)*ECP!$F63/12</f>
        <v>0.21161601504001493</v>
      </c>
      <c r="AB63" s="106">
        <f>(AB48+AB49+AB50)*(Debt!AK9+Debt!$C$124)*ECP!$F63/12</f>
        <v>0.21161601504001493</v>
      </c>
      <c r="AC63" s="106">
        <f>(AC48+AC49+AC50)*(Debt!AL9+Debt!$C$124)*ECP!$F63/12</f>
        <v>0.21122213454332842</v>
      </c>
      <c r="AD63" s="106">
        <f>(AD48+AD49+AD50)*(Debt!AM9+Debt!$C$124)*ECP!$F63/12</f>
        <v>0.21082825404664196</v>
      </c>
      <c r="AE63" s="106">
        <f>(AE48+AE49+AE50)*(Debt!AN9+Debt!$C$124)*ECP!$F63/12</f>
        <v>0.21043437354995545</v>
      </c>
      <c r="AF63" s="224">
        <f>SUM(T63:AE63)</f>
        <v>1.0557167922199557</v>
      </c>
      <c r="AG63" s="106">
        <f>(AG48+AG49+AG50)*(Debt!AP9+Debt!$C$124)*ECP!$F63</f>
        <v>2.4921265208778012</v>
      </c>
      <c r="AH63" s="106">
        <f>(AH48+AH49+AH50)*(Debt!AQ9+Debt!$C$124)*ECP!$F63</f>
        <v>2.4369595059234919</v>
      </c>
      <c r="AI63" s="106">
        <f>(AI48+AI49+AI50)*Debt!AR9*ECP!$F63</f>
        <v>2.1904485744837596</v>
      </c>
      <c r="AJ63" s="106">
        <f>(AJ48+AJ49+AJ50)*Debt!AS9*ECP!$F63</f>
        <v>2.1398013633839392</v>
      </c>
      <c r="AK63" s="106">
        <f>(AK48+AK49+AK50)*Debt!AT9*ECP!$F63</f>
        <v>2.0891995721184147</v>
      </c>
      <c r="AL63" s="106">
        <f>(AL48+AL49+AL50)*Debt!AU9*ECP!$F63</f>
        <v>2.0386445632822134</v>
      </c>
      <c r="AM63" s="106">
        <f>(AM48+AM49+AM50)*Debt!AV9*ECP!$F63</f>
        <v>1.9881377403482159</v>
      </c>
      <c r="AN63" s="106">
        <f>(AN48+AN49+AN50)*Debt!AW9*ECP!$F63</f>
        <v>1.9376805488934878</v>
      </c>
      <c r="AO63" s="106">
        <f>(AO48+AO49+AO50)*Debt!AX9*ECP!$F63</f>
        <v>1.887274477862408</v>
      </c>
      <c r="AP63" s="106">
        <f>(AP48+AP49+AP50)*Debt!AY9*ECP!$F63</f>
        <v>1.8369210608676847</v>
      </c>
      <c r="AQ63" s="106">
        <f>(AQ48+AQ49+AQ50)*Debt!AZ9*ECP!$F63</f>
        <v>1.7866218775304097</v>
      </c>
      <c r="AR63" s="917"/>
      <c r="AS63" s="917"/>
    </row>
    <row r="64" spans="1:45"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224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224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917"/>
      <c r="AS64" s="917"/>
    </row>
    <row r="65" spans="1:45" ht="13.5" thickBot="1">
      <c r="A65" s="33" t="s">
        <v>918</v>
      </c>
      <c r="G65" s="814">
        <f t="shared" ref="G65:AQ65" si="27">SUM(G53:G64)</f>
        <v>2.1335972121212122E-2</v>
      </c>
      <c r="H65" s="814">
        <f t="shared" si="27"/>
        <v>2.1335972121212122E-2</v>
      </c>
      <c r="I65" s="814">
        <f t="shared" si="27"/>
        <v>2.1335972121212122E-2</v>
      </c>
      <c r="J65" s="814">
        <f t="shared" si="27"/>
        <v>2.1335972121212122E-2</v>
      </c>
      <c r="K65" s="814">
        <f t="shared" si="27"/>
        <v>2.1335972121212122E-2</v>
      </c>
      <c r="L65" s="814">
        <f t="shared" si="27"/>
        <v>2.1335972121212122E-2</v>
      </c>
      <c r="M65" s="814">
        <f t="shared" si="27"/>
        <v>2.1335972121212122E-2</v>
      </c>
      <c r="N65" s="814">
        <f t="shared" si="27"/>
        <v>2.1335972121212122E-2</v>
      </c>
      <c r="O65" s="814">
        <f t="shared" si="27"/>
        <v>2.1335972121212122E-2</v>
      </c>
      <c r="P65" s="814">
        <f t="shared" si="27"/>
        <v>2.1335972121212122E-2</v>
      </c>
      <c r="Q65" s="814">
        <f t="shared" si="27"/>
        <v>2.1335972121212122E-2</v>
      </c>
      <c r="R65" s="814">
        <f t="shared" si="27"/>
        <v>2.1335972121212122E-2</v>
      </c>
      <c r="S65" s="815">
        <f t="shared" si="27"/>
        <v>0.25603166545454553</v>
      </c>
      <c r="T65" s="814">
        <f t="shared" si="27"/>
        <v>2.5360715246212123E-2</v>
      </c>
      <c r="U65" s="814">
        <f t="shared" si="27"/>
        <v>2.5360715246212123E-2</v>
      </c>
      <c r="V65" s="814">
        <f t="shared" si="27"/>
        <v>2.5360715246212123E-2</v>
      </c>
      <c r="W65" s="814">
        <f t="shared" si="27"/>
        <v>2.5360715246212123E-2</v>
      </c>
      <c r="X65" s="814">
        <f t="shared" si="27"/>
        <v>2.5360715246212123E-2</v>
      </c>
      <c r="Y65" s="814">
        <f t="shared" si="27"/>
        <v>2.5360715246212123E-2</v>
      </c>
      <c r="Z65" s="814">
        <f t="shared" si="27"/>
        <v>2.5360715246212123E-2</v>
      </c>
      <c r="AA65" s="814">
        <f t="shared" si="27"/>
        <v>0.23697673028622704</v>
      </c>
      <c r="AB65" s="814">
        <f t="shared" si="27"/>
        <v>0.35926235545679375</v>
      </c>
      <c r="AC65" s="814">
        <f t="shared" si="27"/>
        <v>0.35886847496010721</v>
      </c>
      <c r="AD65" s="814">
        <f t="shared" si="27"/>
        <v>0.35847459446342078</v>
      </c>
      <c r="AE65" s="814">
        <f t="shared" si="27"/>
        <v>0.35808071396673424</v>
      </c>
      <c r="AF65" s="815">
        <f t="shared" si="27"/>
        <v>1.8491878758567679</v>
      </c>
      <c r="AG65" s="814">
        <f t="shared" si="27"/>
        <v>4.2452581681043142</v>
      </c>
      <c r="AH65" s="814">
        <f t="shared" si="27"/>
        <v>3.9988565507759022</v>
      </c>
      <c r="AI65" s="814">
        <f t="shared" si="27"/>
        <v>3.7523188834158017</v>
      </c>
      <c r="AJ65" s="814">
        <f t="shared" si="27"/>
        <v>3.7017072325505547</v>
      </c>
      <c r="AK65" s="814">
        <f t="shared" si="27"/>
        <v>3.6512051665591927</v>
      </c>
      <c r="AL65" s="814">
        <f t="shared" si="27"/>
        <v>3.600815972987931</v>
      </c>
      <c r="AM65" s="814">
        <f t="shared" si="27"/>
        <v>3.5505430380093728</v>
      </c>
      <c r="AN65" s="814">
        <f t="shared" si="27"/>
        <v>3.5003898493812997</v>
      </c>
      <c r="AO65" s="814">
        <f t="shared" si="27"/>
        <v>3.4503599994942258</v>
      </c>
      <c r="AP65" s="814">
        <f t="shared" si="27"/>
        <v>3.4004571885103809</v>
      </c>
      <c r="AQ65" s="814">
        <f t="shared" si="27"/>
        <v>3.350685227596863</v>
      </c>
      <c r="AR65" s="917"/>
      <c r="AS65" s="917"/>
    </row>
    <row r="66" spans="1:45" ht="13.5" thickTop="1"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224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224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917"/>
      <c r="AS66" s="917"/>
    </row>
    <row r="67" spans="1:45">
      <c r="A67" s="33" t="s">
        <v>930</v>
      </c>
      <c r="G67" s="106">
        <f>PCM!N73</f>
        <v>2.7523266915150661</v>
      </c>
      <c r="H67" s="106">
        <f>PCM!O73</f>
        <v>2.4685296496044837</v>
      </c>
      <c r="I67" s="106">
        <f>PCM!P73</f>
        <v>2.653982952232151</v>
      </c>
      <c r="J67" s="106">
        <f>PCM!Q73</f>
        <v>2.2217041891204388</v>
      </c>
      <c r="K67" s="106">
        <f>PCM!R73</f>
        <v>2.3914102918496671</v>
      </c>
      <c r="L67" s="106">
        <f>PCM!S73</f>
        <v>2.5162740866117836</v>
      </c>
      <c r="M67" s="106">
        <f>PCM!T73</f>
        <v>2.6454771831173929</v>
      </c>
      <c r="N67" s="106">
        <f>PCM!U73</f>
        <v>2.7914473551819978</v>
      </c>
      <c r="O67" s="106">
        <f>PCM!V73</f>
        <v>2.0740299519863887</v>
      </c>
      <c r="P67" s="106">
        <f>PCM!W73</f>
        <v>2.06645218201604</v>
      </c>
      <c r="Q67" s="106">
        <f>PCM!X73</f>
        <v>1.8919451324052046</v>
      </c>
      <c r="R67" s="106">
        <f>PCM!Y73</f>
        <v>1.9610367902356729</v>
      </c>
      <c r="S67" s="224"/>
      <c r="T67" s="106">
        <f>PCM!AA73</f>
        <v>2.1760157167010923</v>
      </c>
      <c r="U67" s="106">
        <f>PCM!AB73</f>
        <v>1.9559158863064008</v>
      </c>
      <c r="V67" s="106">
        <f>PCM!AC73</f>
        <v>1.8006570134769604</v>
      </c>
      <c r="W67" s="106">
        <f>PCM!AD73</f>
        <v>1.7571968001494807</v>
      </c>
      <c r="X67" s="106">
        <f>PCM!AE73</f>
        <v>1.8073612116389171</v>
      </c>
      <c r="Y67" s="106">
        <f>PCM!AF73</f>
        <v>2.0170324438514702</v>
      </c>
      <c r="Z67" s="106">
        <f>PCM!AG73</f>
        <v>2.1025726606420974</v>
      </c>
      <c r="AA67" s="106">
        <f>PCM!AH73</f>
        <v>2.254958805967048</v>
      </c>
      <c r="AB67" s="106">
        <f>PCM!AI73</f>
        <v>2.2416215042205168</v>
      </c>
      <c r="AC67" s="106">
        <f>PCM!AJ73</f>
        <v>2.2420630291069052</v>
      </c>
      <c r="AD67" s="106">
        <f>PCM!AK73</f>
        <v>2.0516758242145587</v>
      </c>
      <c r="AE67" s="106">
        <f>PCM!AL73</f>
        <v>2.1019916832425043</v>
      </c>
      <c r="AF67" s="224">
        <f>SUM(T67:AE67)</f>
        <v>24.509062579517952</v>
      </c>
      <c r="AG67" s="106">
        <f>PCM!AN73</f>
        <v>29.051082686670338</v>
      </c>
      <c r="AH67" s="106">
        <f>PCM!AO73</f>
        <v>31.042431962528937</v>
      </c>
      <c r="AI67" s="106">
        <f>PCM!AP73</f>
        <v>32.105602254451647</v>
      </c>
      <c r="AJ67" s="106">
        <f>PCM!AQ73</f>
        <v>33.188602892524777</v>
      </c>
      <c r="AK67" s="106">
        <f>PCM!AR73</f>
        <v>46.079431081516383</v>
      </c>
      <c r="AL67" s="106">
        <f>PCM!AS73</f>
        <v>50.138696557724352</v>
      </c>
      <c r="AM67" s="106">
        <f>PCM!AT73</f>
        <v>49.495313056612652</v>
      </c>
      <c r="AN67" s="106">
        <f>PCM!AU73</f>
        <v>52.466963641397712</v>
      </c>
      <c r="AO67" s="106">
        <f>PCM!AV73</f>
        <v>52.501398302588917</v>
      </c>
      <c r="AP67" s="106">
        <f>PCM!AW73</f>
        <v>54.16948712557263</v>
      </c>
      <c r="AQ67" s="106">
        <f>PCM!AX73</f>
        <v>54.645375243526274</v>
      </c>
      <c r="AR67" s="917"/>
      <c r="AS67" s="917"/>
    </row>
    <row r="68" spans="1:45"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224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224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917"/>
      <c r="AS68" s="917"/>
    </row>
    <row r="69" spans="1:45" s="33" customFormat="1">
      <c r="A69" s="33" t="s">
        <v>931</v>
      </c>
      <c r="G69" s="813">
        <f t="shared" ref="G69:Q69" si="28">G67+G65</f>
        <v>2.7736626636362782</v>
      </c>
      <c r="H69" s="813">
        <f t="shared" si="28"/>
        <v>2.4898656217256958</v>
      </c>
      <c r="I69" s="813">
        <f t="shared" si="28"/>
        <v>2.675318924353363</v>
      </c>
      <c r="J69" s="813">
        <f t="shared" si="28"/>
        <v>2.2430401612416508</v>
      </c>
      <c r="K69" s="813">
        <f t="shared" si="28"/>
        <v>2.4127462639708792</v>
      </c>
      <c r="L69" s="813">
        <f t="shared" si="28"/>
        <v>2.5376100587329957</v>
      </c>
      <c r="M69" s="813">
        <f t="shared" si="28"/>
        <v>2.666813155238605</v>
      </c>
      <c r="N69" s="813">
        <f t="shared" si="28"/>
        <v>2.8127833273032099</v>
      </c>
      <c r="O69" s="813">
        <f t="shared" si="28"/>
        <v>2.0953659241076008</v>
      </c>
      <c r="P69" s="813">
        <f t="shared" si="28"/>
        <v>2.0877881541372521</v>
      </c>
      <c r="Q69" s="813">
        <f t="shared" si="28"/>
        <v>1.9132811045264166</v>
      </c>
      <c r="R69" s="813">
        <f>R67+R65</f>
        <v>1.982372762356885</v>
      </c>
      <c r="S69" s="280"/>
      <c r="T69" s="813">
        <f>T67+T65</f>
        <v>2.2013764319473044</v>
      </c>
      <c r="U69" s="813">
        <f t="shared" ref="U69:AQ69" si="29">U67+U65</f>
        <v>1.9812766015526129</v>
      </c>
      <c r="V69" s="813">
        <f t="shared" si="29"/>
        <v>1.8260177287231725</v>
      </c>
      <c r="W69" s="813">
        <f t="shared" si="29"/>
        <v>1.7825575153956927</v>
      </c>
      <c r="X69" s="813">
        <f t="shared" si="29"/>
        <v>1.8327219268851291</v>
      </c>
      <c r="Y69" s="813">
        <f t="shared" si="29"/>
        <v>2.0423931590976823</v>
      </c>
      <c r="Z69" s="813">
        <f t="shared" si="29"/>
        <v>2.1279333758883094</v>
      </c>
      <c r="AA69" s="813">
        <f t="shared" si="29"/>
        <v>2.4919355362532749</v>
      </c>
      <c r="AB69" s="813">
        <f t="shared" si="29"/>
        <v>2.6008838596773103</v>
      </c>
      <c r="AC69" s="813">
        <f t="shared" si="29"/>
        <v>2.6009315040670122</v>
      </c>
      <c r="AD69" s="813">
        <f t="shared" si="29"/>
        <v>2.4101504186779796</v>
      </c>
      <c r="AE69" s="813">
        <f t="shared" si="29"/>
        <v>2.4600723972092386</v>
      </c>
      <c r="AF69" s="280">
        <f>SUM(T69:AE69)</f>
        <v>26.358250455374719</v>
      </c>
      <c r="AG69" s="813">
        <f>AG67+AG65</f>
        <v>33.296340854774655</v>
      </c>
      <c r="AH69" s="813">
        <f t="shared" si="29"/>
        <v>35.041288513304842</v>
      </c>
      <c r="AI69" s="813">
        <f t="shared" si="29"/>
        <v>35.85792113786745</v>
      </c>
      <c r="AJ69" s="813">
        <f t="shared" si="29"/>
        <v>36.890310125075331</v>
      </c>
      <c r="AK69" s="813">
        <f t="shared" si="29"/>
        <v>49.730636248075577</v>
      </c>
      <c r="AL69" s="813">
        <f t="shared" si="29"/>
        <v>53.739512530712283</v>
      </c>
      <c r="AM69" s="813">
        <f t="shared" si="29"/>
        <v>53.045856094622025</v>
      </c>
      <c r="AN69" s="813">
        <f t="shared" si="29"/>
        <v>55.967353490779011</v>
      </c>
      <c r="AO69" s="813">
        <f t="shared" si="29"/>
        <v>55.951758302083142</v>
      </c>
      <c r="AP69" s="813">
        <f t="shared" si="29"/>
        <v>57.56994431408301</v>
      </c>
      <c r="AQ69" s="813">
        <f t="shared" si="29"/>
        <v>57.996060471123137</v>
      </c>
      <c r="AR69" s="944"/>
      <c r="AS69" s="944"/>
    </row>
    <row r="70" spans="1:45"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224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224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917"/>
      <c r="AS70" s="917"/>
    </row>
    <row r="71" spans="1:45">
      <c r="A71" s="34" t="s">
        <v>920</v>
      </c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224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224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917"/>
      <c r="AS71" s="917"/>
    </row>
    <row r="72" spans="1:45">
      <c r="A72" t="s">
        <v>133</v>
      </c>
      <c r="G72" s="106">
        <f>(Rates!M33+Rates!M39)*Rates!M7</f>
        <v>13.488239523648298</v>
      </c>
      <c r="H72" s="106">
        <f>(Rates!N33+Rates!N39)*Rates!N7</f>
        <v>11.582546307336282</v>
      </c>
      <c r="I72" s="106">
        <f>(Rates!O33+Rates!O39)*Rates!O7</f>
        <v>10.294116883168485</v>
      </c>
      <c r="J72" s="106">
        <f>(Rates!P33+Rates!P39)*Rates!P7</f>
        <v>8.1000763335186843</v>
      </c>
      <c r="K72" s="106">
        <f>(Rates!Q33+Rates!Q39)*Rates!Q7</f>
        <v>9.1252292658829219</v>
      </c>
      <c r="L72" s="106">
        <f>(Rates!R33+Rates!R39)*Rates!R7</f>
        <v>11.821181946586913</v>
      </c>
      <c r="M72" s="106">
        <f>(Rates!S33+Rates!S39)*Rates!S7</f>
        <v>13.04730229096087</v>
      </c>
      <c r="N72" s="106">
        <f>(Rates!T33+Rates!T39)*Rates!T7</f>
        <v>14.449136656602823</v>
      </c>
      <c r="O72" s="106">
        <f>(Rates!U33+Rates!U39)*Rates!U7</f>
        <v>13.261327314860019</v>
      </c>
      <c r="P72" s="106">
        <f>(Rates!V33+Rates!V39)*Rates!V7</f>
        <v>11.009614699414321</v>
      </c>
      <c r="Q72" s="106">
        <f>(Rates!W33+Rates!W39)*Rates!W7</f>
        <v>12.59425881276692</v>
      </c>
      <c r="R72" s="106">
        <f>(Rates!X33+Rates!X39)*Rates!X7</f>
        <v>16.890502468446893</v>
      </c>
      <c r="S72" s="224"/>
      <c r="T72" s="106">
        <f>(Rates!Z33+Rates!Z39)*Rates!Z7</f>
        <v>18.132069674795058</v>
      </c>
      <c r="U72" s="106">
        <f>(Rates!AA33+Rates!AA39)*Rates!AA7</f>
        <v>15.708490670345281</v>
      </c>
      <c r="V72" s="106">
        <f>(Rates!AB33+Rates!AB39)*Rates!AB7</f>
        <v>13.921599966016064</v>
      </c>
      <c r="W72" s="106">
        <f>(Rates!AC33+Rates!AC39)*Rates!AC7</f>
        <v>10.956785798542334</v>
      </c>
      <c r="X72" s="106">
        <f>(Rates!AD33+Rates!AD39)*Rates!AD7</f>
        <v>12.390015852126169</v>
      </c>
      <c r="Y72" s="106">
        <f>(Rates!AE33+Rates!AE39)*Rates!AE7</f>
        <v>15.969849941965276</v>
      </c>
      <c r="Z72" s="106">
        <f>(Rates!AF33+Rates!AF39)*Rates!AF7</f>
        <v>17.301175158552098</v>
      </c>
      <c r="AA72" s="106">
        <f>(Rates!AG33+Rates!AG39)*Rates!AG7</f>
        <v>17.66902941180226</v>
      </c>
      <c r="AB72" s="106">
        <f>(Rates!AH33+Rates!AH39+Rates!AH37)*Rates!AH7</f>
        <v>13.603039426764346</v>
      </c>
      <c r="AC72" s="106">
        <f>(Rates!AI33+Rates!AI39+Rates!AI37)*Rates!AI7</f>
        <v>11.271440886900345</v>
      </c>
      <c r="AD72" s="106">
        <f>(Rates!AJ33+Rates!AJ39+Rates!AJ37)*Rates!AJ7</f>
        <v>12.887462147799232</v>
      </c>
      <c r="AE72" s="106">
        <f>(Rates!AK33+Rates!AK39+Rates!AK37)*Rates!AK7</f>
        <v>17.272646642605263</v>
      </c>
      <c r="AF72" s="224">
        <f>SUM(T72:AE72)</f>
        <v>177.08360557821371</v>
      </c>
      <c r="AG72" s="106">
        <f>(Rates!AM33+Rates!AM39+Rates!AM37)*Rates!AM7</f>
        <v>181.27933981288766</v>
      </c>
      <c r="AH72" s="106">
        <f>(Rates!AN33+Rates!AN39+Rates!AN37)*Rates!AN7</f>
        <v>188.74627657270071</v>
      </c>
      <c r="AI72" s="106">
        <f>(Rates!AO33+Rates!AO39+Rates!AO37)*Rates!AO7</f>
        <v>194.48497369841886</v>
      </c>
      <c r="AJ72" s="106">
        <f>(Rates!AP33+Rates!AP39+Rates!AP37)*Rates!AP7</f>
        <v>198.88056269049846</v>
      </c>
      <c r="AK72" s="106">
        <f>(Rates!AQ33+Rates!AQ39+Rates!AQ37)*Rates!AQ7</f>
        <v>202.65524825591751</v>
      </c>
      <c r="AL72" s="106">
        <f>(Rates!AR33+Rates!AR39+Rates!AR37)*Rates!AR7</f>
        <v>209.4528932213957</v>
      </c>
      <c r="AM72" s="106">
        <f>(Rates!AS33+Rates!AS39+Rates!AS37)*Rates!AS7</f>
        <v>216.02953260629701</v>
      </c>
      <c r="AN72" s="106">
        <f>(Rates!AT33+Rates!AT39+Rates!AT37)*Rates!AT7</f>
        <v>222.52877484256143</v>
      </c>
      <c r="AO72" s="106">
        <f>(Rates!AU33+Rates!AU39+Rates!AU37)*Rates!AU7</f>
        <v>229.91953186261719</v>
      </c>
      <c r="AP72" s="106">
        <f>(Rates!AV33+Rates!AV39+Rates!AV37)*Rates!AV7</f>
        <v>234.99461341595955</v>
      </c>
      <c r="AQ72" s="106">
        <f>(Rates!AW33+Rates!AW39+Rates!AW37)*Rates!AW7</f>
        <v>246.92722076504546</v>
      </c>
      <c r="AR72" s="917"/>
      <c r="AS72" s="917"/>
    </row>
    <row r="73" spans="1:45">
      <c r="A73" t="s">
        <v>134</v>
      </c>
      <c r="G73" s="106">
        <f>(Rates!M53+Rates!M59)*Rates!M8</f>
        <v>3.6844079995479397</v>
      </c>
      <c r="H73" s="106">
        <f>(Rates!N53+Rates!N59)*Rates!N8</f>
        <v>3.5813709999451264</v>
      </c>
      <c r="I73" s="106">
        <f>(Rates!O53+Rates!O59)*Rates!O8</f>
        <v>3.7457540413257293</v>
      </c>
      <c r="J73" s="106">
        <f>(Rates!P53+Rates!P59)*Rates!P8</f>
        <v>3.6617243203340393</v>
      </c>
      <c r="K73" s="106">
        <f>(Rates!Q53+Rates!Q59)*Rates!Q8</f>
        <v>3.7031561110086102</v>
      </c>
      <c r="L73" s="106">
        <f>(Rates!R53+Rates!R59)*Rates!R8</f>
        <v>3.6536923688393448</v>
      </c>
      <c r="M73" s="106">
        <f>(Rates!S53+Rates!S59)*Rates!S8</f>
        <v>3.9204594663204868</v>
      </c>
      <c r="N73" s="106">
        <f>(Rates!T53+Rates!T59)*Rates!T8</f>
        <v>4.1239294658317123</v>
      </c>
      <c r="O73" s="106">
        <f>(Rates!U53+Rates!U59)*Rates!U8</f>
        <v>4.3574518528795512</v>
      </c>
      <c r="P73" s="106">
        <f>(Rates!V53+Rates!V59)*Rates!V8</f>
        <v>4.4370500375036652</v>
      </c>
      <c r="Q73" s="106">
        <f>(Rates!W53+Rates!W59)*Rates!W8</f>
        <v>4.3790309878824063</v>
      </c>
      <c r="R73" s="106">
        <f>(Rates!X53+Rates!X59)*Rates!X8</f>
        <v>4.4572301358557835</v>
      </c>
      <c r="S73" s="224"/>
      <c r="T73" s="106">
        <f>(Rates!Z53+Rates!Z59)*Rates!Z8</f>
        <v>4.5070088069236576</v>
      </c>
      <c r="U73" s="106">
        <f>(Rates!AA53+Rates!AA59)*Rates!AA8</f>
        <v>4.3408366670387579</v>
      </c>
      <c r="V73" s="106">
        <f>(Rates!AB53+Rates!AB59)*Rates!AB8</f>
        <v>4.5563670976113144</v>
      </c>
      <c r="W73" s="106">
        <f>(Rates!AC53+Rates!AC59)*Rates!AC8</f>
        <v>4.4576588081796107</v>
      </c>
      <c r="X73" s="106">
        <f>(Rates!AD53+Rates!AD59)*Rates!AD8</f>
        <v>4.5176407422737705</v>
      </c>
      <c r="Y73" s="106">
        <f>(Rates!AE53+Rates!AE59)*Rates!AE8</f>
        <v>4.4578126383474679</v>
      </c>
      <c r="Z73" s="106">
        <f>(Rates!AF53+Rates!AF59)*Rates!AF8</f>
        <v>4.7347625660814785</v>
      </c>
      <c r="AA73" s="106">
        <f>(Rates!AG53+Rates!AG59)*Rates!AG8</f>
        <v>4.7138523094224878</v>
      </c>
      <c r="AB73" s="106">
        <f>(Rates!AH53+Rates!AH59+Rates!AH57)*Rates!AH8</f>
        <v>4.4152365538461202</v>
      </c>
      <c r="AC73" s="106">
        <f>(Rates!AI53+Rates!AI59+Rates!AI57)*Rates!AI8</f>
        <v>4.4835751499673497</v>
      </c>
      <c r="AD73" s="106">
        <f>(Rates!AJ53+Rates!AJ59+Rates!AJ57)*Rates!AJ8</f>
        <v>4.4183903931237412</v>
      </c>
      <c r="AE73" s="106">
        <f>(Rates!AK53+Rates!AK59+Rates!AK57)*Rates!AK8</f>
        <v>4.4937003155485975</v>
      </c>
      <c r="AF73" s="224">
        <f>SUM(T73:AE73)</f>
        <v>54.096842048364351</v>
      </c>
      <c r="AG73" s="106">
        <f>(Rates!AM53+Rates!AM59+Rates!AM57)*Rates!AM8</f>
        <v>54.870921838322246</v>
      </c>
      <c r="AH73" s="106">
        <f>(Rates!AN53+Rates!AN59+Rates!AN57)*Rates!AN8</f>
        <v>56.628029433643135</v>
      </c>
      <c r="AI73" s="106">
        <f>(Rates!AO53+Rates!AO59+Rates!AO57)*Rates!AO8</f>
        <v>57.735427515044606</v>
      </c>
      <c r="AJ73" s="106">
        <f>(Rates!AP53+Rates!AP59+Rates!AP57)*Rates!AP8</f>
        <v>58.59652112679057</v>
      </c>
      <c r="AK73" s="106">
        <f>(Rates!AQ53+Rates!AQ59+Rates!AQ57)*Rates!AQ8</f>
        <v>59.217566032051302</v>
      </c>
      <c r="AL73" s="106">
        <f>(Rates!AR53+Rates!AR59+Rates!AR57)*Rates!AR8</f>
        <v>60.738571441487196</v>
      </c>
      <c r="AM73" s="106">
        <f>(Rates!AS53+Rates!AS59+Rates!AS57)*Rates!AS8</f>
        <v>62.082642227670803</v>
      </c>
      <c r="AN73" s="106">
        <f>(Rates!AT53+Rates!AT59+Rates!AT57)*Rates!AT8</f>
        <v>63.350145418551961</v>
      </c>
      <c r="AO73" s="106">
        <f>(Rates!AU53+Rates!AU59+Rates!AU57)*Rates!AU8</f>
        <v>64.868435186215038</v>
      </c>
      <c r="AP73" s="106">
        <f>(Rates!AV53+Rates!AV59+Rates!AV57)*Rates!AV8</f>
        <v>65.555928877550969</v>
      </c>
      <c r="AQ73" s="106">
        <f>(Rates!AW53+Rates!AW59+Rates!AW57)*Rates!AW8</f>
        <v>68.482380717398954</v>
      </c>
      <c r="AR73" s="917"/>
      <c r="AS73" s="917"/>
    </row>
    <row r="74" spans="1:45">
      <c r="A74" t="s">
        <v>223</v>
      </c>
      <c r="G74" s="106">
        <f>(Rates!M72-0.25+'FAC, PPA, ES, SC'!M16+'FAC, PPA, ES, SC'!M24)*(Rates!M9+Rates!M10)</f>
        <v>26.577816153453544</v>
      </c>
      <c r="H74" s="106">
        <f>(Rates!N72-0.25+'FAC, PPA, ES, SC'!N16+'FAC, PPA, ES, SC'!N24)*(Rates!N9+Rates!N10)</f>
        <v>24.098636573493678</v>
      </c>
      <c r="I74" s="106">
        <f>(Rates!O72-0.25+'FAC, PPA, ES, SC'!O16+'FAC, PPA, ES, SC'!O24)*(Rates!O9+Rates!O10)</f>
        <v>26.665714026518664</v>
      </c>
      <c r="J74" s="106">
        <f>(Rates!P72-0.25+'FAC, PPA, ES, SC'!P16+'FAC, PPA, ES, SC'!P24)*(Rates!P9+Rates!P10)</f>
        <v>25.844023023554477</v>
      </c>
      <c r="K74" s="106">
        <f>(Rates!Q72-0.25+'FAC, PPA, ES, SC'!Q16+'FAC, PPA, ES, SC'!Q24)*(Rates!Q9+Rates!Q10)</f>
        <v>26.700527688249842</v>
      </c>
      <c r="L74" s="106">
        <f>(Rates!R72-0.25+'FAC, PPA, ES, SC'!R16+'FAC, PPA, ES, SC'!R24)*(Rates!R9+Rates!R10)</f>
        <v>25.91850719852988</v>
      </c>
      <c r="M74" s="106">
        <f>(Rates!S72-0.25+'FAC, PPA, ES, SC'!S16+'FAC, PPA, ES, SC'!S24)*(Rates!S9+Rates!S10)</f>
        <v>26.785878651074817</v>
      </c>
      <c r="N74" s="106">
        <f>(Rates!T72-0.25+'FAC, PPA, ES, SC'!T16+'FAC, PPA, ES, SC'!T24)*(Rates!T9+Rates!T10)</f>
        <v>22.129719135624633</v>
      </c>
      <c r="O74" s="106">
        <f>(Rates!U72-0.25+'FAC, PPA, ES, SC'!U16+'FAC, PPA, ES, SC'!U24)*(Rates!U9+Rates!U10)</f>
        <v>13.420288950846174</v>
      </c>
      <c r="P74" s="106">
        <f>(Rates!V72-0.25+'FAC, PPA, ES, SC'!V16+'FAC, PPA, ES, SC'!V24)*(Rates!V9+Rates!V10)</f>
        <v>13.812703689683232</v>
      </c>
      <c r="Q74" s="106">
        <f>(Rates!W72-0.25+'FAC, PPA, ES, SC'!W16+'FAC, PPA, ES, SC'!W24)*(Rates!W9+Rates!W10)</f>
        <v>13.395126700052868</v>
      </c>
      <c r="R74" s="106">
        <f>(Rates!X72-0.25+'FAC, PPA, ES, SC'!X16+'FAC, PPA, ES, SC'!X24)*(Rates!X9+Rates!X10)</f>
        <v>13.84098983578083</v>
      </c>
      <c r="S74" s="224"/>
      <c r="T74" s="106">
        <f>(Rates!Z72-0.25+'FAC, PPA, ES, SC'!Z16+'FAC, PPA, ES, SC'!Z24)*(Rates!Z9+Rates!Z10)</f>
        <v>13.904264817651173</v>
      </c>
      <c r="U74" s="106">
        <f>(Rates!AA72-0.25+'FAC, PPA, ES, SC'!AA16+'FAC, PPA, ES, SC'!AA24)*(Rates!AA9+Rates!AA10)</f>
        <v>12.614896891720765</v>
      </c>
      <c r="V74" s="106">
        <f>(Rates!AB72-0.25+'FAC, PPA, ES, SC'!AB16+'FAC, PPA, ES, SC'!AB24)*(Rates!AB9+Rates!AB10)</f>
        <v>14.002538096017105</v>
      </c>
      <c r="W74" s="106">
        <f>(Rates!AC72-0.25+'FAC, PPA, ES, SC'!AC16+'FAC, PPA, ES, SC'!AC24)*(Rates!AC9+Rates!AC10)</f>
        <v>13.59680019651017</v>
      </c>
      <c r="X74" s="106">
        <f>(Rates!AD72-0.25+'FAC, PPA, ES, SC'!AD16+'FAC, PPA, ES, SC'!AD24)*(Rates!AD9+Rates!AD10)</f>
        <v>14.07099117170454</v>
      </c>
      <c r="Y74" s="106">
        <f>(Rates!AE72-0.25+'FAC, PPA, ES, SC'!AE16+'FAC, PPA, ES, SC'!AE24)*(Rates!AE9+Rates!AE10)</f>
        <v>13.658182370150275</v>
      </c>
      <c r="Z74" s="106">
        <f>(Rates!AF72-0.25+'FAC, PPA, ES, SC'!AF16+'FAC, PPA, ES, SC'!AF24)*(Rates!AF9+Rates!AF10)</f>
        <v>14.110018753444079</v>
      </c>
      <c r="AA74" s="106">
        <f>(Rates!AG72-0.25+'FAC, PPA, ES, SC'!AG16+'FAC, PPA, ES, SC'!AG24)*(Rates!AG9+Rates!AG10)</f>
        <v>14.122476080325187</v>
      </c>
      <c r="AB74" s="106">
        <f>(Rates!AH72-0.25+'FAC, PPA, ES, SC'!AH16+'FAC, PPA, ES, SC'!AH24)*(Rates!AH9+Rates!AH10)</f>
        <v>13.701996343103415</v>
      </c>
      <c r="AC74" s="106">
        <f>(Rates!AI72-0.25+'FAC, PPA, ES, SC'!AI16+'FAC, PPA, ES, SC'!AI24)*(Rates!AI9+Rates!AI10)</f>
        <v>14.060416205680545</v>
      </c>
      <c r="AD74" s="106">
        <f>(Rates!AJ72-0.25+'FAC, PPA, ES, SC'!AJ16+'FAC, PPA, ES, SC'!AJ24)*(Rates!AJ9+Rates!AJ10)</f>
        <v>13.614343021138533</v>
      </c>
      <c r="AE74" s="106">
        <f>(Rates!AK72-0.25+'FAC, PPA, ES, SC'!AK16+'FAC, PPA, ES, SC'!AK24)*(Rates!AK9+Rates!AK10)</f>
        <v>14.053559692120817</v>
      </c>
      <c r="AF74" s="224">
        <f>SUM(T74:AE74)</f>
        <v>165.51048363956659</v>
      </c>
      <c r="AG74" s="106">
        <f>(Rates!AM72-0.25+'FAC, PPA, ES, SC'!AM16+'FAC, PPA, ES, SC'!AM24)*(Rates!AM9+Rates!AM10)</f>
        <v>173.13403480972815</v>
      </c>
      <c r="AH74" s="106">
        <f>(Rates!AN72-0.25+'FAC, PPA, ES, SC'!AN16+'FAC, PPA, ES, SC'!AN24)*(Rates!AN9+Rates!AN10)</f>
        <v>174.97127094237231</v>
      </c>
      <c r="AI74" s="106">
        <f>(Rates!AO72-0.25+'FAC, PPA, ES, SC'!AO16+'FAC, PPA, ES, SC'!AO24)*(Rates!AO9+Rates!AO10)</f>
        <v>178.5249717770881</v>
      </c>
      <c r="AJ74" s="106">
        <f>(Rates!AP72-0.25+'FAC, PPA, ES, SC'!AP16+'FAC, PPA, ES, SC'!AP24)*(Rates!AP9+Rates!AP10)</f>
        <v>181.69656686097019</v>
      </c>
      <c r="AK74" s="106">
        <f>(Rates!AQ72-0.25+'FAC, PPA, ES, SC'!AQ16+'FAC, PPA, ES, SC'!AQ24)*(Rates!AQ9+Rates!AQ10)</f>
        <v>183.47272103673527</v>
      </c>
      <c r="AL74" s="106">
        <f>(Rates!AR72-0.25+'FAC, PPA, ES, SC'!AR16+'FAC, PPA, ES, SC'!AR24)*(Rates!AR9+Rates!AR10)</f>
        <v>188.86076985141119</v>
      </c>
      <c r="AM74" s="106">
        <f>(Rates!AS72-0.25+'FAC, PPA, ES, SC'!AS16+'FAC, PPA, ES, SC'!AS24)*(Rates!AS9+Rates!AS10)</f>
        <v>193.37764708618738</v>
      </c>
      <c r="AN74" s="106">
        <f>(Rates!AT72-0.25+'FAC, PPA, ES, SC'!AT16+'FAC, PPA, ES, SC'!AT24)*(Rates!AT9+Rates!AT10)</f>
        <v>197.30602304498609</v>
      </c>
      <c r="AO74" s="106">
        <f>(Rates!AU72-0.25+'FAC, PPA, ES, SC'!AU16+'FAC, PPA, ES, SC'!AU24)*(Rates!AU9+Rates!AU10)</f>
        <v>202.39230347826711</v>
      </c>
      <c r="AP74" s="106">
        <f>(Rates!AV72-0.25+'FAC, PPA, ES, SC'!AV16+'FAC, PPA, ES, SC'!AV24)*(Rates!AV9+Rates!AV10)</f>
        <v>205.34497095411268</v>
      </c>
      <c r="AQ74" s="106">
        <f>(Rates!AW72-0.25+'FAC, PPA, ES, SC'!AW16+'FAC, PPA, ES, SC'!AW24)*(Rates!AW9+Rates!AW10)</f>
        <v>214.49834586451013</v>
      </c>
      <c r="AR74" s="917"/>
      <c r="AS74" s="917"/>
    </row>
    <row r="75" spans="1:45">
      <c r="A75" t="s">
        <v>137</v>
      </c>
      <c r="G75" s="106">
        <f>'Stmts RUS'!G81*'Stmts RUS'!G11</f>
        <v>3.5832022533844055</v>
      </c>
      <c r="H75" s="106">
        <f>'Stmts RUS'!H81*'Stmts RUS'!H11</f>
        <v>3.3714956045813005</v>
      </c>
      <c r="I75" s="106">
        <f>'Stmts RUS'!I81*'Stmts RUS'!I11</f>
        <v>3.9447198841739168</v>
      </c>
      <c r="J75" s="106">
        <f>'Stmts RUS'!J81*'Stmts RUS'!J11</f>
        <v>2.4615969789114112</v>
      </c>
      <c r="K75" s="106">
        <f>'Stmts RUS'!K81*'Stmts RUS'!K11</f>
        <v>1.9742129510805424</v>
      </c>
      <c r="L75" s="106">
        <f>'Stmts RUS'!L81*'Stmts RUS'!L11</f>
        <v>1.9839802552353518</v>
      </c>
      <c r="M75" s="106">
        <f>'Stmts RUS'!M81*'Stmts RUS'!M11</f>
        <v>3.4172134995957673</v>
      </c>
      <c r="N75" s="106">
        <f>'Stmts RUS'!N81*'Stmts RUS'!N11</f>
        <v>6.5409816462873076</v>
      </c>
      <c r="O75" s="106">
        <f>'Stmts RUS'!O81*'Stmts RUS'!O11</f>
        <v>4.6731979653710018</v>
      </c>
      <c r="P75" s="106">
        <f>'Stmts RUS'!P81*'Stmts RUS'!P11</f>
        <v>6.8936346099604453</v>
      </c>
      <c r="Q75" s="106">
        <f>'Stmts RUS'!Q81*'Stmts RUS'!Q11</f>
        <v>5.7948949477747211</v>
      </c>
      <c r="R75" s="106">
        <f>'Stmts RUS'!R81*'Stmts RUS'!R11</f>
        <v>4.7089354599070559</v>
      </c>
      <c r="S75" s="224"/>
      <c r="T75" s="106">
        <f>'Stmts RUS'!T81*'Stmts RUS'!T11</f>
        <v>5.7566989981360068</v>
      </c>
      <c r="U75" s="106">
        <f>'Stmts RUS'!U81*'Stmts RUS'!U11</f>
        <v>5.2967042770114903</v>
      </c>
      <c r="V75" s="106">
        <f>'Stmts RUS'!V81*'Stmts RUS'!V11</f>
        <v>3.8270949399697463</v>
      </c>
      <c r="W75" s="106">
        <f>'Stmts RUS'!W81*'Stmts RUS'!W11</f>
        <v>3.5831114882960575</v>
      </c>
      <c r="X75" s="106">
        <f>'Stmts RUS'!X81*'Stmts RUS'!X11</f>
        <v>3.3177176280984106</v>
      </c>
      <c r="Y75" s="106">
        <f>'Stmts RUS'!Y81*'Stmts RUS'!Y11</f>
        <v>4.1394084150745902</v>
      </c>
      <c r="Z75" s="106">
        <f>'Stmts RUS'!Z81*'Stmts RUS'!Z11</f>
        <v>4.1009745028856948</v>
      </c>
      <c r="AA75" s="106">
        <f>'Stmts RUS'!AA81*'Stmts RUS'!AA11</f>
        <v>4.1266500839949272</v>
      </c>
      <c r="AB75" s="106">
        <f>'Stmts RUS'!AB81*'Stmts RUS'!AB11</f>
        <v>4.625795757196026</v>
      </c>
      <c r="AC75" s="106">
        <f>'Stmts RUS'!AC81*'Stmts RUS'!AC11</f>
        <v>6.9088881393163701</v>
      </c>
      <c r="AD75" s="106">
        <f>'Stmts RUS'!AD81*'Stmts RUS'!AD11</f>
        <v>5.7656739052663459</v>
      </c>
      <c r="AE75" s="106">
        <f>'Stmts RUS'!AE81*'Stmts RUS'!AE11</f>
        <v>4.5455792902488623</v>
      </c>
      <c r="AF75" s="224">
        <f>SUM(T75:AE75)</f>
        <v>55.994297425494523</v>
      </c>
      <c r="AG75" s="106">
        <f>'Stmts RUS'!AG81*'Stmts RUS'!AG11</f>
        <v>58.736209835812559</v>
      </c>
      <c r="AH75" s="106">
        <f>'Stmts RUS'!AH81*'Stmts RUS'!AH11</f>
        <v>57.872900048375776</v>
      </c>
      <c r="AI75" s="106">
        <f>'Stmts RUS'!AI81*'Stmts RUS'!AI11</f>
        <v>59.135910536332723</v>
      </c>
      <c r="AJ75" s="106">
        <f>'Stmts RUS'!AJ81*'Stmts RUS'!AJ11</f>
        <v>64.595536280598083</v>
      </c>
      <c r="AK75" s="106">
        <f>'Stmts RUS'!AK81*'Stmts RUS'!AK11</f>
        <v>231.54893638856259</v>
      </c>
      <c r="AL75" s="106">
        <f>'Stmts RUS'!AL81*'Stmts RUS'!AL11</f>
        <v>324.33297923495741</v>
      </c>
      <c r="AM75" s="106">
        <f>'Stmts RUS'!AM81*'Stmts RUS'!AM11</f>
        <v>348.02709461864919</v>
      </c>
      <c r="AN75" s="106">
        <f>'Stmts RUS'!AN81*'Stmts RUS'!AN11</f>
        <v>373.92693574530119</v>
      </c>
      <c r="AO75" s="106">
        <f>'Stmts RUS'!AO81*'Stmts RUS'!AO11</f>
        <v>349.96812270278002</v>
      </c>
      <c r="AP75" s="106">
        <f>'Stmts RUS'!AP81*'Stmts RUS'!AP11</f>
        <v>361.8305305149529</v>
      </c>
      <c r="AQ75" s="106">
        <f>'Stmts RUS'!AQ81*'Stmts RUS'!AQ11</f>
        <v>352.51002671368315</v>
      </c>
      <c r="AR75" s="917"/>
      <c r="AS75" s="917"/>
    </row>
    <row r="76" spans="1:45" ht="13.5" thickBot="1">
      <c r="A76" t="s">
        <v>131</v>
      </c>
      <c r="G76" s="814">
        <f t="shared" ref="G76:Q76" si="30">SUM(G72:G75)</f>
        <v>47.333665930034194</v>
      </c>
      <c r="H76" s="814">
        <f t="shared" si="30"/>
        <v>42.634049485356385</v>
      </c>
      <c r="I76" s="814">
        <f t="shared" si="30"/>
        <v>44.650304835186795</v>
      </c>
      <c r="J76" s="814">
        <f t="shared" si="30"/>
        <v>40.06742065631861</v>
      </c>
      <c r="K76" s="814">
        <f t="shared" si="30"/>
        <v>41.50312601622192</v>
      </c>
      <c r="L76" s="814">
        <f t="shared" si="30"/>
        <v>43.377361769191488</v>
      </c>
      <c r="M76" s="814">
        <f t="shared" si="30"/>
        <v>47.170853907951944</v>
      </c>
      <c r="N76" s="814">
        <f t="shared" si="30"/>
        <v>47.243766904346472</v>
      </c>
      <c r="O76" s="814">
        <f t="shared" si="30"/>
        <v>35.712266083956742</v>
      </c>
      <c r="P76" s="814">
        <f t="shared" si="30"/>
        <v>36.153003036561664</v>
      </c>
      <c r="Q76" s="814">
        <f t="shared" si="30"/>
        <v>36.163311448476918</v>
      </c>
      <c r="R76" s="814">
        <f>SUM(R72:R75)</f>
        <v>39.897657899990563</v>
      </c>
      <c r="S76" s="224"/>
      <c r="T76" s="814">
        <f>SUM(T72:T75)</f>
        <v>42.300042297505897</v>
      </c>
      <c r="U76" s="814">
        <f t="shared" ref="U76:AQ76" si="31">SUM(U72:U75)</f>
        <v>37.960928506116296</v>
      </c>
      <c r="V76" s="814">
        <f t="shared" si="31"/>
        <v>36.307600099614227</v>
      </c>
      <c r="W76" s="814">
        <f t="shared" si="31"/>
        <v>32.594356291528172</v>
      </c>
      <c r="X76" s="814">
        <f t="shared" si="31"/>
        <v>34.296365394202894</v>
      </c>
      <c r="Y76" s="814">
        <f t="shared" si="31"/>
        <v>38.225253365537604</v>
      </c>
      <c r="Z76" s="814">
        <f t="shared" si="31"/>
        <v>40.246930980963356</v>
      </c>
      <c r="AA76" s="814">
        <f t="shared" si="31"/>
        <v>40.632007885544859</v>
      </c>
      <c r="AB76" s="814">
        <f t="shared" si="31"/>
        <v>36.346068080909902</v>
      </c>
      <c r="AC76" s="814">
        <f t="shared" si="31"/>
        <v>36.724320381864608</v>
      </c>
      <c r="AD76" s="814">
        <f t="shared" si="31"/>
        <v>36.685869467327855</v>
      </c>
      <c r="AE76" s="814">
        <f t="shared" si="31"/>
        <v>40.365485940523534</v>
      </c>
      <c r="AF76" s="815">
        <f t="shared" si="31"/>
        <v>452.68522869163917</v>
      </c>
      <c r="AG76" s="814">
        <f t="shared" si="31"/>
        <v>468.02050629675068</v>
      </c>
      <c r="AH76" s="814">
        <f t="shared" si="31"/>
        <v>478.2184769970919</v>
      </c>
      <c r="AI76" s="814">
        <f t="shared" si="31"/>
        <v>489.88128352688432</v>
      </c>
      <c r="AJ76" s="814">
        <f t="shared" si="31"/>
        <v>503.76918695885735</v>
      </c>
      <c r="AK76" s="814">
        <f t="shared" si="31"/>
        <v>676.89447171326674</v>
      </c>
      <c r="AL76" s="814">
        <f t="shared" si="31"/>
        <v>783.38521374925153</v>
      </c>
      <c r="AM76" s="814">
        <f t="shared" si="31"/>
        <v>819.51691653880437</v>
      </c>
      <c r="AN76" s="814">
        <f t="shared" si="31"/>
        <v>857.11187905140071</v>
      </c>
      <c r="AO76" s="814">
        <f t="shared" si="31"/>
        <v>847.14839322987928</v>
      </c>
      <c r="AP76" s="814">
        <f t="shared" si="31"/>
        <v>867.72604376257607</v>
      </c>
      <c r="AQ76" s="814">
        <f t="shared" si="31"/>
        <v>882.41797406063768</v>
      </c>
      <c r="AR76" s="917"/>
      <c r="AS76" s="917"/>
    </row>
    <row r="77" spans="1:45" ht="13.5" thickTop="1"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224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224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917"/>
      <c r="AS77" s="917"/>
    </row>
    <row r="78" spans="1:45">
      <c r="A78" s="34" t="s">
        <v>221</v>
      </c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224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224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917"/>
      <c r="AS78" s="917"/>
    </row>
    <row r="79" spans="1:45">
      <c r="A79" t="s">
        <v>133</v>
      </c>
      <c r="G79" s="106">
        <f t="shared" ref="G79:Q79" si="32">G$69/G$76*G72</f>
        <v>0.79038514405848892</v>
      </c>
      <c r="H79" s="106">
        <f t="shared" si="32"/>
        <v>0.67643079207354917</v>
      </c>
      <c r="I79" s="106">
        <f t="shared" si="32"/>
        <v>0.61679412511744147</v>
      </c>
      <c r="J79" s="106">
        <f t="shared" si="32"/>
        <v>0.45345560626549142</v>
      </c>
      <c r="K79" s="106">
        <f t="shared" si="32"/>
        <v>0.53048685562941045</v>
      </c>
      <c r="L79" s="106">
        <f t="shared" si="32"/>
        <v>0.69154851725162836</v>
      </c>
      <c r="M79" s="106">
        <f t="shared" si="32"/>
        <v>0.73763170490419361</v>
      </c>
      <c r="N79" s="106">
        <f t="shared" si="32"/>
        <v>0.86026778440224116</v>
      </c>
      <c r="O79" s="106">
        <f t="shared" si="32"/>
        <v>0.7780893348708029</v>
      </c>
      <c r="P79" s="106">
        <f t="shared" si="32"/>
        <v>0.63579070119865333</v>
      </c>
      <c r="Q79" s="106">
        <f t="shared" si="32"/>
        <v>0.66632054551511788</v>
      </c>
      <c r="R79" s="106">
        <f>R$69/R$76*R72</f>
        <v>0.83922901238718506</v>
      </c>
      <c r="S79" s="224"/>
      <c r="T79" s="106">
        <f>T$69/T$76*T72</f>
        <v>0.94362815440668646</v>
      </c>
      <c r="U79" s="106">
        <f t="shared" ref="U79:AE79" si="33">U$69/U$76*U72</f>
        <v>0.81986574711543436</v>
      </c>
      <c r="V79" s="106">
        <f t="shared" si="33"/>
        <v>0.70015887253333919</v>
      </c>
      <c r="W79" s="106">
        <f t="shared" si="33"/>
        <v>0.59921726003985853</v>
      </c>
      <c r="X79" s="106">
        <f t="shared" si="33"/>
        <v>0.66209504901310046</v>
      </c>
      <c r="Y79" s="106">
        <f t="shared" si="33"/>
        <v>0.8532765489186358</v>
      </c>
      <c r="Z79" s="106">
        <f t="shared" si="33"/>
        <v>0.91474671893333759</v>
      </c>
      <c r="AA79" s="106">
        <f t="shared" si="33"/>
        <v>1.0836304818211651</v>
      </c>
      <c r="AB79" s="106">
        <f t="shared" si="33"/>
        <v>0.97341824179898373</v>
      </c>
      <c r="AC79" s="106">
        <f t="shared" si="33"/>
        <v>0.79827878076799574</v>
      </c>
      <c r="AD79" s="106">
        <f t="shared" si="33"/>
        <v>0.8466671975398421</v>
      </c>
      <c r="AE79" s="106">
        <f t="shared" si="33"/>
        <v>1.0526805324437754</v>
      </c>
      <c r="AF79" s="224">
        <f>SUM(T79:AE79)</f>
        <v>10.247663585332154</v>
      </c>
      <c r="AG79" s="106">
        <f t="shared" ref="AG79:AQ79" si="34">AG$69/AG$76*AG72</f>
        <v>12.896739794797181</v>
      </c>
      <c r="AH79" s="106">
        <f t="shared" si="34"/>
        <v>13.830316165797701</v>
      </c>
      <c r="AI79" s="106">
        <f t="shared" si="34"/>
        <v>14.235748708687725</v>
      </c>
      <c r="AJ79" s="106">
        <f t="shared" si="34"/>
        <v>14.563744320672724</v>
      </c>
      <c r="AK79" s="106">
        <f t="shared" si="34"/>
        <v>14.888841401333842</v>
      </c>
      <c r="AL79" s="106">
        <f t="shared" si="34"/>
        <v>14.368277805493481</v>
      </c>
      <c r="AM79" s="106">
        <f t="shared" si="34"/>
        <v>13.983203113391106</v>
      </c>
      <c r="AN79" s="106">
        <f t="shared" si="34"/>
        <v>14.530596189224818</v>
      </c>
      <c r="AO79" s="106">
        <f t="shared" si="34"/>
        <v>15.185535590356036</v>
      </c>
      <c r="AP79" s="106">
        <f t="shared" si="34"/>
        <v>15.590896349963547</v>
      </c>
      <c r="AQ79" s="106">
        <f t="shared" si="34"/>
        <v>16.229050686213537</v>
      </c>
      <c r="AR79" s="917"/>
      <c r="AS79" s="917"/>
    </row>
    <row r="80" spans="1:45">
      <c r="A80" t="s">
        <v>134</v>
      </c>
      <c r="G80" s="106">
        <f t="shared" ref="G80:Q82" si="35">G$69/G$76*G73</f>
        <v>0.21589929081458678</v>
      </c>
      <c r="H80" s="106">
        <f t="shared" si="35"/>
        <v>0.2091551855629275</v>
      </c>
      <c r="I80" s="106">
        <f t="shared" si="35"/>
        <v>0.22443489937463243</v>
      </c>
      <c r="J80" s="106">
        <f t="shared" si="35"/>
        <v>0.204989354826595</v>
      </c>
      <c r="K80" s="106">
        <f t="shared" si="35"/>
        <v>0.21527959287318998</v>
      </c>
      <c r="L80" s="106">
        <f t="shared" si="35"/>
        <v>0.21374390070139856</v>
      </c>
      <c r="M80" s="106">
        <f t="shared" si="35"/>
        <v>0.22164391808053943</v>
      </c>
      <c r="N80" s="106">
        <f t="shared" si="35"/>
        <v>0.245529110071845</v>
      </c>
      <c r="O80" s="106">
        <f t="shared" si="35"/>
        <v>0.25566722948911591</v>
      </c>
      <c r="P80" s="106">
        <f t="shared" si="35"/>
        <v>0.25623377671409675</v>
      </c>
      <c r="Q80" s="106">
        <f t="shared" si="35"/>
        <v>0.23168003453411409</v>
      </c>
      <c r="R80" s="106">
        <f>R$69/R$76*R73</f>
        <v>0.22146391748170444</v>
      </c>
      <c r="S80" s="224"/>
      <c r="T80" s="106">
        <f>T$69/T$76*T73</f>
        <v>0.23455349988445942</v>
      </c>
      <c r="U80" s="106">
        <f t="shared" ref="U80:AE80" si="36">U$69/U$76*U73</f>
        <v>0.22655921385536759</v>
      </c>
      <c r="V80" s="106">
        <f t="shared" si="36"/>
        <v>0.22915331985540977</v>
      </c>
      <c r="W80" s="106">
        <f t="shared" si="36"/>
        <v>0.24378555411617936</v>
      </c>
      <c r="X80" s="106">
        <f t="shared" si="36"/>
        <v>0.2414127313780674</v>
      </c>
      <c r="Y80" s="106">
        <f t="shared" si="36"/>
        <v>0.23818301346586798</v>
      </c>
      <c r="Z80" s="106">
        <f t="shared" si="36"/>
        <v>0.2503360888818309</v>
      </c>
      <c r="AA80" s="106">
        <f t="shared" si="36"/>
        <v>0.28909760294367365</v>
      </c>
      <c r="AB80" s="106">
        <f t="shared" si="36"/>
        <v>0.31594937488127223</v>
      </c>
      <c r="AC80" s="106">
        <f t="shared" si="36"/>
        <v>0.31754084860235526</v>
      </c>
      <c r="AD80" s="106">
        <f t="shared" si="36"/>
        <v>0.29027485542775128</v>
      </c>
      <c r="AE80" s="106">
        <f t="shared" si="36"/>
        <v>0.27386832711243142</v>
      </c>
      <c r="AF80" s="224">
        <f>SUM(T80:AE80)</f>
        <v>3.1507144304046664</v>
      </c>
      <c r="AG80" s="106">
        <f t="shared" ref="AG80:AQ80" si="37">AG$69/AG$76*AG73</f>
        <v>3.9036770653507582</v>
      </c>
      <c r="AH80" s="106">
        <f t="shared" si="37"/>
        <v>4.1493986802527383</v>
      </c>
      <c r="AI80" s="106">
        <f t="shared" si="37"/>
        <v>4.2260696138269935</v>
      </c>
      <c r="AJ80" s="106">
        <f t="shared" si="37"/>
        <v>4.2909409558516201</v>
      </c>
      <c r="AK80" s="106">
        <f t="shared" si="37"/>
        <v>4.3506445375193046</v>
      </c>
      <c r="AL80" s="106">
        <f t="shared" si="37"/>
        <v>4.1666107092520841</v>
      </c>
      <c r="AM80" s="106">
        <f t="shared" si="37"/>
        <v>4.0184977748741746</v>
      </c>
      <c r="AN80" s="106">
        <f t="shared" si="37"/>
        <v>4.1366128144861785</v>
      </c>
      <c r="AO80" s="106">
        <f t="shared" si="37"/>
        <v>4.2843769001738048</v>
      </c>
      <c r="AP80" s="106">
        <f t="shared" si="37"/>
        <v>4.3493579593091454</v>
      </c>
      <c r="AQ80" s="106">
        <f t="shared" si="37"/>
        <v>4.5009376622464634</v>
      </c>
      <c r="AR80" s="917"/>
      <c r="AS80" s="917"/>
    </row>
    <row r="81" spans="1:45">
      <c r="A81" t="s">
        <v>223</v>
      </c>
      <c r="G81" s="106">
        <f t="shared" si="35"/>
        <v>1.5574094018998796</v>
      </c>
      <c r="H81" s="106">
        <f t="shared" si="35"/>
        <v>1.4073813644048185</v>
      </c>
      <c r="I81" s="106">
        <f t="shared" si="35"/>
        <v>1.5977335346279915</v>
      </c>
      <c r="J81" s="106">
        <f t="shared" si="35"/>
        <v>1.4467909493631173</v>
      </c>
      <c r="K81" s="106">
        <f t="shared" si="35"/>
        <v>1.5522107515635324</v>
      </c>
      <c r="L81" s="106">
        <f t="shared" si="35"/>
        <v>1.5162532226901473</v>
      </c>
      <c r="M81" s="106">
        <f t="shared" si="35"/>
        <v>1.5143447201677482</v>
      </c>
      <c r="N81" s="106">
        <f t="shared" si="35"/>
        <v>1.3175516920277808</v>
      </c>
      <c r="O81" s="106">
        <f t="shared" si="35"/>
        <v>0.78741618056865736</v>
      </c>
      <c r="P81" s="106">
        <f t="shared" si="35"/>
        <v>0.79766538648987451</v>
      </c>
      <c r="Q81" s="106">
        <f t="shared" si="35"/>
        <v>0.70869181447784257</v>
      </c>
      <c r="R81" s="106">
        <f>R$69/R$76*R74</f>
        <v>0.68770957240868269</v>
      </c>
      <c r="S81" s="224"/>
      <c r="T81" s="106">
        <f t="shared" ref="T81:AE81" si="38">T$69/T$76*T74</f>
        <v>0.72360497083796338</v>
      </c>
      <c r="U81" s="106">
        <f t="shared" si="38"/>
        <v>0.65840328532897052</v>
      </c>
      <c r="V81" s="106">
        <f t="shared" si="38"/>
        <v>0.70422949300690696</v>
      </c>
      <c r="W81" s="106">
        <f t="shared" si="38"/>
        <v>0.74359739332917785</v>
      </c>
      <c r="X81" s="106">
        <f t="shared" si="38"/>
        <v>0.75192265293945582</v>
      </c>
      <c r="Y81" s="106">
        <f t="shared" si="38"/>
        <v>0.72976306976300842</v>
      </c>
      <c r="Z81" s="106">
        <f t="shared" si="38"/>
        <v>0.74602408452126223</v>
      </c>
      <c r="AA81" s="106">
        <f t="shared" si="38"/>
        <v>0.86612259240501666</v>
      </c>
      <c r="AB81" s="106">
        <f t="shared" si="38"/>
        <v>0.98049948772458928</v>
      </c>
      <c r="AC81" s="106">
        <f t="shared" si="38"/>
        <v>0.99580275657621609</v>
      </c>
      <c r="AD81" s="106">
        <f t="shared" si="38"/>
        <v>0.89442106753515338</v>
      </c>
      <c r="AE81" s="106">
        <f t="shared" si="38"/>
        <v>0.85649344918230375</v>
      </c>
      <c r="AF81" s="224">
        <f>SUM(T81:AE81)</f>
        <v>9.6508843031500255</v>
      </c>
      <c r="AG81" s="106">
        <f t="shared" ref="AG81:AQ81" si="39">AG$69/AG$76*AG74</f>
        <v>12.317259092344072</v>
      </c>
      <c r="AH81" s="106">
        <f t="shared" si="39"/>
        <v>12.820957536253006</v>
      </c>
      <c r="AI81" s="106">
        <f t="shared" si="39"/>
        <v>13.067521814744993</v>
      </c>
      <c r="AJ81" s="106">
        <f t="shared" si="39"/>
        <v>13.305384437317906</v>
      </c>
      <c r="AK81" s="106">
        <f t="shared" si="39"/>
        <v>13.479523814441126</v>
      </c>
      <c r="AL81" s="106">
        <f t="shared" si="39"/>
        <v>12.955676887767373</v>
      </c>
      <c r="AM81" s="106">
        <f t="shared" si="39"/>
        <v>12.516987303415581</v>
      </c>
      <c r="AN81" s="106">
        <f t="shared" si="39"/>
        <v>12.88361088851074</v>
      </c>
      <c r="AO81" s="106">
        <f t="shared" si="39"/>
        <v>13.367439915978174</v>
      </c>
      <c r="AP81" s="106">
        <f t="shared" si="39"/>
        <v>13.623768271083344</v>
      </c>
      <c r="AQ81" s="106">
        <f t="shared" si="39"/>
        <v>14.097694520509805</v>
      </c>
      <c r="AR81" s="917"/>
      <c r="AS81" s="917"/>
    </row>
    <row r="82" spans="1:45">
      <c r="A82" t="s">
        <v>137</v>
      </c>
      <c r="G82" s="106">
        <f t="shared" si="35"/>
        <v>0.20996882686332266</v>
      </c>
      <c r="H82" s="106">
        <f t="shared" si="35"/>
        <v>0.19689827968440043</v>
      </c>
      <c r="I82" s="106">
        <f t="shared" si="35"/>
        <v>0.23635636523329764</v>
      </c>
      <c r="J82" s="106">
        <f t="shared" si="35"/>
        <v>0.1378042507864474</v>
      </c>
      <c r="K82" s="106">
        <f t="shared" si="35"/>
        <v>0.11476906390474607</v>
      </c>
      <c r="L82" s="106">
        <f t="shared" si="35"/>
        <v>0.11606441808982161</v>
      </c>
      <c r="M82" s="106">
        <f t="shared" si="35"/>
        <v>0.19319281208612349</v>
      </c>
      <c r="N82" s="106">
        <f t="shared" si="35"/>
        <v>0.3894347408013431</v>
      </c>
      <c r="O82" s="106">
        <f t="shared" si="35"/>
        <v>0.27419317917902503</v>
      </c>
      <c r="P82" s="106">
        <f t="shared" si="35"/>
        <v>0.39809828973462752</v>
      </c>
      <c r="Q82" s="106">
        <f t="shared" si="35"/>
        <v>0.30658870999934185</v>
      </c>
      <c r="R82" s="106">
        <f>R$69/R$76*R75</f>
        <v>0.23397026007931276</v>
      </c>
      <c r="S82" s="224"/>
      <c r="T82" s="106">
        <f t="shared" ref="T82:AE82" si="40">T$69/T$76*T75</f>
        <v>0.29958980681819486</v>
      </c>
      <c r="U82" s="106">
        <f t="shared" si="40"/>
        <v>0.27644835525284045</v>
      </c>
      <c r="V82" s="106">
        <f t="shared" si="40"/>
        <v>0.19247604332751683</v>
      </c>
      <c r="W82" s="106">
        <f t="shared" si="40"/>
        <v>0.19595730791047714</v>
      </c>
      <c r="X82" s="106">
        <f t="shared" si="40"/>
        <v>0.17729149355450524</v>
      </c>
      <c r="Y82" s="106">
        <f t="shared" si="40"/>
        <v>0.22117052695017028</v>
      </c>
      <c r="Z82" s="106">
        <f t="shared" si="40"/>
        <v>0.21682648355187845</v>
      </c>
      <c r="AA82" s="106">
        <f t="shared" si="40"/>
        <v>0.25308485908341977</v>
      </c>
      <c r="AB82" s="106">
        <f t="shared" si="40"/>
        <v>0.3310167552724656</v>
      </c>
      <c r="AC82" s="106">
        <f t="shared" si="40"/>
        <v>0.48930911812044536</v>
      </c>
      <c r="AD82" s="106">
        <f t="shared" si="40"/>
        <v>0.37878729817523282</v>
      </c>
      <c r="AE82" s="106">
        <f t="shared" si="40"/>
        <v>0.27703008847072863</v>
      </c>
      <c r="AF82" s="224">
        <f>SUM(T82:AE82)</f>
        <v>3.3089881364878755</v>
      </c>
      <c r="AG82" s="106">
        <f t="shared" ref="AG82:AQ82" si="41">AG$69/AG$76*AG75</f>
        <v>4.1786649022826383</v>
      </c>
      <c r="AH82" s="106">
        <f t="shared" si="41"/>
        <v>4.2406161310013992</v>
      </c>
      <c r="AI82" s="106">
        <f t="shared" si="41"/>
        <v>4.3285810006077376</v>
      </c>
      <c r="AJ82" s="106">
        <f t="shared" si="41"/>
        <v>4.7302404112330771</v>
      </c>
      <c r="AK82" s="106">
        <f t="shared" si="41"/>
        <v>17.011626494781293</v>
      </c>
      <c r="AL82" s="106">
        <f t="shared" si="41"/>
        <v>22.248947128199347</v>
      </c>
      <c r="AM82" s="106">
        <f t="shared" si="41"/>
        <v>22.527167902941169</v>
      </c>
      <c r="AN82" s="106">
        <f t="shared" si="41"/>
        <v>24.416533598557272</v>
      </c>
      <c r="AO82" s="106">
        <f t="shared" si="41"/>
        <v>23.114405895575135</v>
      </c>
      <c r="AP82" s="106">
        <f t="shared" si="41"/>
        <v>24.005921733726979</v>
      </c>
      <c r="AQ82" s="106">
        <f t="shared" si="41"/>
        <v>23.168377602153335</v>
      </c>
      <c r="AR82" s="917"/>
      <c r="AS82" s="917"/>
    </row>
    <row r="83" spans="1:45" ht="13.5" thickBot="1">
      <c r="A83" t="s">
        <v>131</v>
      </c>
      <c r="G83" s="814">
        <f t="shared" ref="G83:Q83" si="42">SUM(G79:G82)</f>
        <v>2.7736626636362782</v>
      </c>
      <c r="H83" s="814">
        <f t="shared" si="42"/>
        <v>2.4898656217256958</v>
      </c>
      <c r="I83" s="814">
        <f t="shared" si="42"/>
        <v>2.675318924353363</v>
      </c>
      <c r="J83" s="814">
        <f t="shared" si="42"/>
        <v>2.2430401612416508</v>
      </c>
      <c r="K83" s="814">
        <f t="shared" si="42"/>
        <v>2.4127462639708792</v>
      </c>
      <c r="L83" s="814">
        <f t="shared" si="42"/>
        <v>2.5376100587329957</v>
      </c>
      <c r="M83" s="814">
        <f t="shared" si="42"/>
        <v>2.6668131552386045</v>
      </c>
      <c r="N83" s="814">
        <f t="shared" si="42"/>
        <v>2.8127833273032099</v>
      </c>
      <c r="O83" s="814">
        <f t="shared" si="42"/>
        <v>2.0953659241076008</v>
      </c>
      <c r="P83" s="814">
        <f t="shared" si="42"/>
        <v>2.0877881541372521</v>
      </c>
      <c r="Q83" s="814">
        <f t="shared" si="42"/>
        <v>1.9132811045264164</v>
      </c>
      <c r="R83" s="814">
        <f>SUM(R79:R82)</f>
        <v>1.9823727623568848</v>
      </c>
      <c r="S83" s="224"/>
      <c r="T83" s="814">
        <f>SUM(T79:T82)</f>
        <v>2.2013764319473044</v>
      </c>
      <c r="U83" s="814">
        <f t="shared" ref="U83:AQ83" si="43">SUM(U79:U82)</f>
        <v>1.9812766015526131</v>
      </c>
      <c r="V83" s="814">
        <f t="shared" si="43"/>
        <v>1.8260177287231727</v>
      </c>
      <c r="W83" s="814">
        <f t="shared" si="43"/>
        <v>1.782557515395693</v>
      </c>
      <c r="X83" s="814">
        <f t="shared" si="43"/>
        <v>1.8327219268851289</v>
      </c>
      <c r="Y83" s="814">
        <f t="shared" si="43"/>
        <v>2.0423931590976827</v>
      </c>
      <c r="Z83" s="814">
        <f t="shared" si="43"/>
        <v>2.127933375888309</v>
      </c>
      <c r="AA83" s="814">
        <f t="shared" si="43"/>
        <v>2.4919355362532754</v>
      </c>
      <c r="AB83" s="814">
        <f t="shared" si="43"/>
        <v>2.6008838596773107</v>
      </c>
      <c r="AC83" s="814">
        <f t="shared" si="43"/>
        <v>2.6009315040670127</v>
      </c>
      <c r="AD83" s="814">
        <f t="shared" si="43"/>
        <v>2.4101504186779796</v>
      </c>
      <c r="AE83" s="814">
        <f t="shared" si="43"/>
        <v>2.4600723972092391</v>
      </c>
      <c r="AF83" s="815">
        <f t="shared" si="43"/>
        <v>26.358250455374723</v>
      </c>
      <c r="AG83" s="814">
        <f t="shared" si="43"/>
        <v>33.296340854774655</v>
      </c>
      <c r="AH83" s="814">
        <f t="shared" si="43"/>
        <v>35.041288513304849</v>
      </c>
      <c r="AI83" s="814">
        <f t="shared" si="43"/>
        <v>35.85792113786745</v>
      </c>
      <c r="AJ83" s="814">
        <f t="shared" si="43"/>
        <v>36.890310125075324</v>
      </c>
      <c r="AK83" s="814">
        <f t="shared" si="43"/>
        <v>49.730636248075569</v>
      </c>
      <c r="AL83" s="814">
        <f t="shared" si="43"/>
        <v>53.739512530712283</v>
      </c>
      <c r="AM83" s="814">
        <f t="shared" si="43"/>
        <v>53.045856094622025</v>
      </c>
      <c r="AN83" s="814">
        <f t="shared" si="43"/>
        <v>55.967353490779011</v>
      </c>
      <c r="AO83" s="814">
        <f t="shared" si="43"/>
        <v>55.951758302083149</v>
      </c>
      <c r="AP83" s="814">
        <f t="shared" si="43"/>
        <v>57.569944314083017</v>
      </c>
      <c r="AQ83" s="814">
        <f t="shared" si="43"/>
        <v>57.996060471123137</v>
      </c>
      <c r="AR83" s="917"/>
      <c r="AS83" s="917"/>
    </row>
    <row r="84" spans="1:45" ht="13.5" thickTop="1"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224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224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917"/>
      <c r="AS84" s="917"/>
    </row>
    <row r="85" spans="1:45">
      <c r="A85" s="34" t="s">
        <v>222</v>
      </c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224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224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917"/>
      <c r="AS85" s="917"/>
    </row>
    <row r="86" spans="1:45">
      <c r="A86" t="s">
        <v>133</v>
      </c>
      <c r="G86" s="106">
        <f>G79/Rates!M7</f>
        <v>3.1716008942705818</v>
      </c>
      <c r="H86" s="106">
        <f>H79/Rates!N7</f>
        <v>3.2516177651844176</v>
      </c>
      <c r="I86" s="106">
        <f>I79/Rates!O7</f>
        <v>3.2867814766008636</v>
      </c>
      <c r="J86" s="106">
        <f>J79/Rates!P7</f>
        <v>3.0664376898739589</v>
      </c>
      <c r="K86" s="106">
        <f>K79/Rates!Q7</f>
        <v>3.2114127880318817</v>
      </c>
      <c r="L86" s="106">
        <f>L79/Rates!R7</f>
        <v>3.1903880663020314</v>
      </c>
      <c r="M86" s="106">
        <f>M79/Rates!S7</f>
        <v>3.0324515301554542</v>
      </c>
      <c r="N86" s="106">
        <f>N79/Rates!T7</f>
        <v>3.6736420697614207</v>
      </c>
      <c r="O86" s="106">
        <f>O79/Rates!U7</f>
        <v>4.3494677537455511</v>
      </c>
      <c r="P86" s="106">
        <f>P79/Rates!V7</f>
        <v>4.1292081857888565</v>
      </c>
      <c r="Q86" s="106">
        <f>Q79/Rates!W7</f>
        <v>3.7169998578352357</v>
      </c>
      <c r="R86" s="106">
        <f>R79/Rates!X7</f>
        <v>3.4175989362609904</v>
      </c>
      <c r="S86" s="224"/>
      <c r="T86" s="106">
        <f>T79/Rates!Z7</f>
        <v>3.7265445363547869</v>
      </c>
      <c r="U86" s="106">
        <f>U79/Rates!AA7</f>
        <v>3.8787078339803682</v>
      </c>
      <c r="V86" s="106">
        <f>V79/Rates!AB7</f>
        <v>3.6717318384035744</v>
      </c>
      <c r="W86" s="106">
        <f>W79/Rates!AC7</f>
        <v>3.9876040463156892</v>
      </c>
      <c r="X86" s="106">
        <f>X79/Rates!AD7</f>
        <v>3.9441644219119927</v>
      </c>
      <c r="Y86" s="106">
        <f>Y79/Rates!AE7</f>
        <v>3.8736173167602712</v>
      </c>
      <c r="Z86" s="106">
        <f>Z79/Rates!AF7</f>
        <v>3.700551469842623</v>
      </c>
      <c r="AA86" s="106">
        <f>AA79/Rates!AG7</f>
        <v>4.5535475651693043</v>
      </c>
      <c r="AB86" s="106">
        <f>AB79/Rates!AH7</f>
        <v>5.3544830264802865</v>
      </c>
      <c r="AC86" s="106">
        <f>AC79/Rates!AI7</f>
        <v>5.1019312871038807</v>
      </c>
      <c r="AD86" s="106">
        <f>AD79/Rates!AJ7</f>
        <v>4.6479825071632437</v>
      </c>
      <c r="AE86" s="106">
        <f>AE79/Rates!AK7</f>
        <v>4.2190082620016724</v>
      </c>
      <c r="AF86" s="224"/>
      <c r="AG86" s="106">
        <f>AG79/Rates!AM7</f>
        <v>5.201019736123552</v>
      </c>
      <c r="AH86" s="106">
        <f>AH79/Rates!AN7</f>
        <v>5.4894471129056619</v>
      </c>
      <c r="AI86" s="106">
        <f>AI79/Rates!AO7</f>
        <v>5.568374913728201</v>
      </c>
      <c r="AJ86" s="106">
        <f>AJ79/Rates!AP7</f>
        <v>5.6360879902848682</v>
      </c>
      <c r="AK86" s="106">
        <f>AK79/Rates!AQ7</f>
        <v>5.7014712995706232</v>
      </c>
      <c r="AL86" s="106">
        <f>AL79/Rates!AR7</f>
        <v>5.4309972122314019</v>
      </c>
      <c r="AM86" s="106">
        <f>AM79/Rates!AS7</f>
        <v>5.216122612612426</v>
      </c>
      <c r="AN86" s="106">
        <f>AN79/Rates!AT7</f>
        <v>5.3478965715691151</v>
      </c>
      <c r="AO86" s="106">
        <f>AO79/Rates!AU7</f>
        <v>5.5137202453999388</v>
      </c>
      <c r="AP86" s="106">
        <f>AP79/Rates!AV7</f>
        <v>5.5837821652791719</v>
      </c>
      <c r="AQ86" s="106">
        <f>AQ79/Rates!AW7</f>
        <v>5.7348489131511311</v>
      </c>
      <c r="AR86" s="917"/>
      <c r="AS86" s="917"/>
    </row>
    <row r="87" spans="1:45">
      <c r="A87" t="s">
        <v>134</v>
      </c>
      <c r="G87" s="106">
        <f>G80/Rates!M8</f>
        <v>2.7498441214673086</v>
      </c>
      <c r="H87" s="106">
        <f>H80/Rates!N8</f>
        <v>2.8148839930336496</v>
      </c>
      <c r="I87" s="106">
        <f>I80/Rates!O8</f>
        <v>2.7916147759721062</v>
      </c>
      <c r="J87" s="106">
        <f>J80/Rates!P8</f>
        <v>2.6545285841609165</v>
      </c>
      <c r="K87" s="106">
        <f>K80/Rates!Q8</f>
        <v>2.7244568534564375</v>
      </c>
      <c r="L87" s="106">
        <f>L80/Rates!R8</f>
        <v>2.7808014481734187</v>
      </c>
      <c r="M87" s="106">
        <f>M80/Rates!S8</f>
        <v>2.6715814694002846</v>
      </c>
      <c r="N87" s="106">
        <f>N80/Rates!T8</f>
        <v>2.9882582127127075</v>
      </c>
      <c r="O87" s="106">
        <f>O80/Rates!U8</f>
        <v>3.3286064555343953</v>
      </c>
      <c r="P87" s="106">
        <f>P80/Rates!V8</f>
        <v>3.2488535995599137</v>
      </c>
      <c r="Q87" s="106">
        <f>Q80/Rates!W8</f>
        <v>3.0117304665703051</v>
      </c>
      <c r="R87" s="106">
        <f>R80/Rates!X8</f>
        <v>2.8041022649997411</v>
      </c>
      <c r="S87" s="224"/>
      <c r="T87" s="106">
        <f>T80/Rates!Z8</f>
        <v>2.9621130404280636</v>
      </c>
      <c r="U87" s="106">
        <f>U80/Rates!AA8</f>
        <v>3.0491135222840962</v>
      </c>
      <c r="V87" s="106">
        <f>V80/Rates!AB8</f>
        <v>2.8503044555633377</v>
      </c>
      <c r="W87" s="106">
        <f>W80/Rates!AC8</f>
        <v>3.1569235502708537</v>
      </c>
      <c r="X87" s="106">
        <f>X80/Rates!AD8</f>
        <v>3.0551830841766852</v>
      </c>
      <c r="Y87" s="106">
        <f>Y80/Rates!AE8</f>
        <v>3.0987535391781158</v>
      </c>
      <c r="Z87" s="106">
        <f>Z80/Rates!AF8</f>
        <v>3.0174220974374788</v>
      </c>
      <c r="AA87" s="106">
        <f>AA80/Rates!AG8</f>
        <v>3.5185167494770879</v>
      </c>
      <c r="AB87" s="106">
        <f>AB80/Rates!AH8</f>
        <v>4.1134373417874057</v>
      </c>
      <c r="AC87" s="106">
        <f>AC80/Rates!AI8</f>
        <v>4.0261816463805626</v>
      </c>
      <c r="AD87" s="106">
        <f>AD80/Rates!AJ8</f>
        <v>3.7734353222496688</v>
      </c>
      <c r="AE87" s="106">
        <f>AE80/Rates!AK8</f>
        <v>3.4676294228882734</v>
      </c>
      <c r="AF87" s="224"/>
      <c r="AG87" s="106">
        <f>AG80/Rates!AM8</f>
        <v>4.1365715055226415</v>
      </c>
      <c r="AH87" s="106">
        <f>AH80/Rates!AN8</f>
        <v>4.3950532451154336</v>
      </c>
      <c r="AI87" s="106">
        <f>AI80/Rates!AO8</f>
        <v>4.4781980815160098</v>
      </c>
      <c r="AJ87" s="106">
        <f>AJ80/Rates!AP8</f>
        <v>4.5469396655281527</v>
      </c>
      <c r="AK87" s="106">
        <f>AK80/Rates!AQ8</f>
        <v>4.610205179188668</v>
      </c>
      <c r="AL87" s="106">
        <f>AL80/Rates!AR8</f>
        <v>4.4132842683884217</v>
      </c>
      <c r="AM87" s="106">
        <f>AM80/Rates!AS8</f>
        <v>4.2582424499443157</v>
      </c>
      <c r="AN87" s="106">
        <f>AN80/Rates!AT8</f>
        <v>4.3834042650876466</v>
      </c>
      <c r="AO87" s="106">
        <f>AO80/Rates!AU8</f>
        <v>4.5399839964953514</v>
      </c>
      <c r="AP87" s="106">
        <f>AP80/Rates!AV8</f>
        <v>4.606850603245956</v>
      </c>
      <c r="AQ87" s="106">
        <f>AQ80/Rates!AW8</f>
        <v>4.7694648327959168</v>
      </c>
      <c r="AR87" s="917"/>
      <c r="AS87" s="917"/>
    </row>
    <row r="88" spans="1:45">
      <c r="A88" t="s">
        <v>223</v>
      </c>
      <c r="G88" s="106">
        <f>G81/(Rates!M9+Rates!M10)</f>
        <v>2.4837354139234424</v>
      </c>
      <c r="H88" s="106">
        <f>H81/(Rates!N9+Rates!N10)</f>
        <v>2.484951953672033</v>
      </c>
      <c r="I88" s="106">
        <f>I81/(Rates!O9+Rates!O10)</f>
        <v>2.5480437944753915</v>
      </c>
      <c r="J88" s="106">
        <f>J81/(Rates!P9+Rates!P10)</f>
        <v>2.3842333579917425</v>
      </c>
      <c r="K88" s="106">
        <f>K81/(Rates!Q9+Rates!Q10)</f>
        <v>2.4754446767998322</v>
      </c>
      <c r="L88" s="106">
        <f>L81/(Rates!R9+Rates!R10)</f>
        <v>2.4987034334792542</v>
      </c>
      <c r="M88" s="106">
        <f>M81/(Rates!S9+Rates!S10)</f>
        <v>2.443468871690206</v>
      </c>
      <c r="N88" s="106">
        <f>N81/(Rates!T9+Rates!T10)</f>
        <v>2.7238332321735794</v>
      </c>
      <c r="O88" s="106">
        <f>O81/(Rates!U9+Rates!U10)</f>
        <v>3.0324799914683211</v>
      </c>
      <c r="P88" s="106">
        <f>P81/(Rates!V9+Rates!V10)</f>
        <v>2.9728562994113905</v>
      </c>
      <c r="Q88" s="106">
        <f>Q81/(Rates!W9+Rates!W10)</f>
        <v>2.7292984327162308</v>
      </c>
      <c r="R88" s="106">
        <f>R81/(Rates!X9+Rates!X10)</f>
        <v>2.5630568520684061</v>
      </c>
      <c r="S88" s="224"/>
      <c r="T88" s="106">
        <f>T81/(Rates!Z9+Rates!Z10)</f>
        <v>2.6968370851683456</v>
      </c>
      <c r="U88" s="106">
        <f>U81/(Rates!AA9+Rates!AA10)</f>
        <v>2.7167446585079342</v>
      </c>
      <c r="V88" s="106">
        <f>V81/(Rates!AB9+Rates!AB10)</f>
        <v>2.6246257139596327</v>
      </c>
      <c r="W88" s="106">
        <f>W81/(Rates!AC9+Rates!AC10)</f>
        <v>2.8637260353860805</v>
      </c>
      <c r="X88" s="106">
        <f>X81/(Rates!AD9+Rates!AD10)</f>
        <v>2.8023755741713652</v>
      </c>
      <c r="Y88" s="106">
        <f>Y81/(Rates!AE9+Rates!AE10)</f>
        <v>2.8104475907145341</v>
      </c>
      <c r="Z88" s="106">
        <f>Z81/(Rates!AF9+Rates!AF10)</f>
        <v>2.7803919246655227</v>
      </c>
      <c r="AA88" s="106">
        <f>AA81/(Rates!AG9+Rates!AG10)</f>
        <v>3.2279926501818479</v>
      </c>
      <c r="AB88" s="106">
        <f>AB81/(Rates!AH9+Rates!AH10)</f>
        <v>3.7760782055843216</v>
      </c>
      <c r="AC88" s="106">
        <f>AC81/(Rates!AI9+Rates!AI10)</f>
        <v>3.7113036970125699</v>
      </c>
      <c r="AD88" s="106">
        <f>AD81/(Rates!AJ9+Rates!AJ10)</f>
        <v>3.4445748743559039</v>
      </c>
      <c r="AE88" s="106">
        <f>AE81/(Rates!AK9+Rates!AK10)</f>
        <v>3.1921053475955525</v>
      </c>
      <c r="AF88" s="224"/>
      <c r="AG88" s="106">
        <f>AG81/(Rates!AM9+Rates!AM10)</f>
        <v>3.8988459545865926</v>
      </c>
      <c r="AH88" s="106">
        <f>AH81/(Rates!AN9+Rates!AN10)</f>
        <v>4.0471960292399274</v>
      </c>
      <c r="AI88" s="106">
        <f>AI81/(Rates!AO9+Rates!AO10)</f>
        <v>4.1363305084292668</v>
      </c>
      <c r="AJ88" s="106">
        <f>AJ81/(Rates!AP9+Rates!AP10)</f>
        <v>4.2116223990043533</v>
      </c>
      <c r="AK88" s="106">
        <f>AK81/(Rates!AQ9+Rates!AQ10)</f>
        <v>4.2667436399347398</v>
      </c>
      <c r="AL88" s="106">
        <f>AL81/(Rates!AR9+Rates!AR10)</f>
        <v>4.0897229327858593</v>
      </c>
      <c r="AM88" s="106">
        <f>AM81/(Rates!AS9+Rates!AS10)</f>
        <v>3.962066961948286</v>
      </c>
      <c r="AN88" s="106">
        <f>AN81/(Rates!AT9+Rates!AT10)</f>
        <v>4.0781162283384651</v>
      </c>
      <c r="AO88" s="106">
        <f>AO81/(Rates!AU9+Rates!AU10)</f>
        <v>4.2312651417704696</v>
      </c>
      <c r="AP88" s="106">
        <f>AP81/(Rates!AV9+Rates!AV10)</f>
        <v>4.30061956715035</v>
      </c>
      <c r="AQ88" s="106">
        <f>AQ81/(Rates!AW9+Rates!AW10)</f>
        <v>4.4624164222096425</v>
      </c>
      <c r="AR88" s="917"/>
      <c r="AS88" s="917"/>
    </row>
    <row r="89" spans="1:45">
      <c r="A89" t="s">
        <v>137</v>
      </c>
      <c r="G89" s="106">
        <f>G82/Rates!M11</f>
        <v>1.8965452039240092</v>
      </c>
      <c r="H89" s="106">
        <f>H82/Rates!N11</f>
        <v>1.8369254132878545</v>
      </c>
      <c r="I89" s="106">
        <f>I82/Rates!O11</f>
        <v>1.8193865141341177</v>
      </c>
      <c r="J89" s="106">
        <f>J82/Rates!P11</f>
        <v>1.7689007217565897</v>
      </c>
      <c r="K89" s="106">
        <f>K82/Rates!Q11</f>
        <v>1.7226316005027986</v>
      </c>
      <c r="L89" s="106">
        <f>L82/Rates!R11</f>
        <v>1.9135125591255742</v>
      </c>
      <c r="M89" s="106">
        <f>M82/Rates!S11</f>
        <v>2.3320938037371577</v>
      </c>
      <c r="N89" s="106">
        <f>N82/Rates!T11</f>
        <v>1.9801441254498215</v>
      </c>
      <c r="O89" s="106">
        <f>O82/Rates!U11</f>
        <v>1.6693507282323419</v>
      </c>
      <c r="P89" s="106">
        <f>P82/Rates!V11</f>
        <v>1.621697902995745</v>
      </c>
      <c r="Q89" s="106">
        <f>Q82/Rates!W11</f>
        <v>1.4756458166342821</v>
      </c>
      <c r="R89" s="106">
        <f>R82/Rates!X11</f>
        <v>1.5259794691486723</v>
      </c>
      <c r="S89" s="224"/>
      <c r="T89" s="106">
        <f>T82/Rates!Z11</f>
        <v>1.8009012337276957</v>
      </c>
      <c r="U89" s="106">
        <f>U82/Rates!AA11</f>
        <v>1.7580411388375516</v>
      </c>
      <c r="V89" s="106">
        <f>V82/Rates!AB11</f>
        <v>1.6012929379123537</v>
      </c>
      <c r="W89" s="106">
        <f>W82/Rates!AC11</f>
        <v>1.7461649686842371</v>
      </c>
      <c r="X89" s="106">
        <f>X82/Rates!AD11</f>
        <v>1.6000727591918005</v>
      </c>
      <c r="Y89" s="106">
        <f>Y82/Rates!AE11</f>
        <v>1.7356049770770765</v>
      </c>
      <c r="Z89" s="106">
        <f>Z82/Rates!AF11</f>
        <v>1.9147637686453416</v>
      </c>
      <c r="AA89" s="106">
        <f>AA82/Rates!AG11</f>
        <v>2.0743391017066806</v>
      </c>
      <c r="AB89" s="106">
        <f>AB82/Rates!AH11</f>
        <v>2.0867655465192483</v>
      </c>
      <c r="AC89" s="106">
        <f>AC82/Rates!AI11</f>
        <v>2.0496885965284384</v>
      </c>
      <c r="AD89" s="106">
        <f>AD82/Rates!AJ11</f>
        <v>1.9121197554482043</v>
      </c>
      <c r="AE89" s="106">
        <f>AE82/Rates!AK11</f>
        <v>1.9528859893379482</v>
      </c>
      <c r="AF89" s="224"/>
      <c r="AG89" s="106">
        <f>AG82/Rates!AM11</f>
        <v>2.4461872338081094</v>
      </c>
      <c r="AH89" s="106">
        <f>AH82/Rates!AN11</f>
        <v>2.6058001158287807</v>
      </c>
      <c r="AI89" s="106">
        <f>AI82/Rates!AO11</f>
        <v>2.7830025841741248</v>
      </c>
      <c r="AJ89" s="106">
        <f>AJ82/Rates!AP11</f>
        <v>2.9549876281504575</v>
      </c>
      <c r="AK89" s="106">
        <f>AK82/Rates!AQ11</f>
        <v>3.4165983265542881</v>
      </c>
      <c r="AL89" s="106">
        <f>AL82/Rates!AR11</f>
        <v>3.9380733913458958</v>
      </c>
      <c r="AM89" s="106">
        <f>AM82/Rates!AS11</f>
        <v>4.2763637502597067</v>
      </c>
      <c r="AN89" s="106">
        <f>AN82/Rates!AT11</f>
        <v>4.3933023834663922</v>
      </c>
      <c r="AO89" s="106">
        <f>AO82/Rates!AU11</f>
        <v>4.5233672972181367</v>
      </c>
      <c r="AP89" s="106">
        <f>AP82/Rates!AV11</f>
        <v>4.5796173290287658</v>
      </c>
      <c r="AQ89" s="106">
        <f>AQ82/Rates!AW11</f>
        <v>4.7681727064928294</v>
      </c>
      <c r="AR89" s="917"/>
      <c r="AS89" s="917"/>
    </row>
    <row r="90" spans="1:45">
      <c r="A90" t="s">
        <v>224</v>
      </c>
      <c r="G90" s="106">
        <f>G83/Rates!M12</f>
        <v>2.6032177616571071</v>
      </c>
      <c r="H90" s="106">
        <f>H83/Rates!N12</f>
        <v>2.6047808695883692</v>
      </c>
      <c r="I90" s="106">
        <f>I83/Rates!O12</f>
        <v>2.6100463374370078</v>
      </c>
      <c r="J90" s="106">
        <f>J83/Rates!P12</f>
        <v>2.4653685789087931</v>
      </c>
      <c r="K90" s="106">
        <f>K83/Rates!Q12</f>
        <v>2.5725727483658813</v>
      </c>
      <c r="L90" s="106">
        <f>L83/Rates!R12</f>
        <v>2.6403313581212973</v>
      </c>
      <c r="M90" s="106">
        <f>M83/Rates!S12</f>
        <v>2.5921527029338787</v>
      </c>
      <c r="N90" s="106">
        <f>N83/Rates!T12</f>
        <v>2.8220400702600736</v>
      </c>
      <c r="O90" s="106">
        <f>O83/Rates!U12</f>
        <v>3.0831693591070528</v>
      </c>
      <c r="P90" s="106">
        <f>P83/Rates!V12</f>
        <v>2.7962389477248371</v>
      </c>
      <c r="Q90" s="106">
        <f>Q83/Rates!W12</f>
        <v>2.6440577680386195</v>
      </c>
      <c r="R90" s="106">
        <f>R83/Rates!X12</f>
        <v>2.6566938708006513</v>
      </c>
      <c r="S90" s="224"/>
      <c r="T90" s="106">
        <f>T83/Rates!Z12</f>
        <v>2.8698351711507959</v>
      </c>
      <c r="U90" s="106">
        <f>U83/Rates!AA12</f>
        <v>2.8912040641306671</v>
      </c>
      <c r="V90" s="106">
        <f>V83/Rates!AB12</f>
        <v>2.7683644460362058</v>
      </c>
      <c r="W90" s="106">
        <f>W83/Rates!AC12</f>
        <v>2.9740279311618969</v>
      </c>
      <c r="X90" s="106">
        <f>X83/Rates!AD12</f>
        <v>2.9276579953709616</v>
      </c>
      <c r="Y90" s="106">
        <f>Y83/Rates!AE12</f>
        <v>2.9849280346225968</v>
      </c>
      <c r="Z90" s="106">
        <f>Z83/Rates!AF12</f>
        <v>2.9898840203249204</v>
      </c>
      <c r="AA90" s="106">
        <f>AA83/Rates!AG12</f>
        <v>3.5074798538183014</v>
      </c>
      <c r="AB90" s="106">
        <f>AB83/Rates!AH12</f>
        <v>3.8423934640011952</v>
      </c>
      <c r="AC90" s="106">
        <f>AC83/Rates!AI12</f>
        <v>3.5035289103800276</v>
      </c>
      <c r="AD90" s="106">
        <f>AD83/Rates!AJ12</f>
        <v>3.3621743181346355</v>
      </c>
      <c r="AE90" s="106">
        <f>AE83/Rates!AK12</f>
        <v>3.3304508595258109</v>
      </c>
      <c r="AF90" s="224"/>
      <c r="AG90" s="106">
        <f>AG83/Rates!AM12</f>
        <v>4.0160603202291236</v>
      </c>
      <c r="AH90" s="106">
        <f>AH83/Rates!AN12</f>
        <v>4.2429128211548015</v>
      </c>
      <c r="AI90" s="106">
        <f>AI83/Rates!AO12</f>
        <v>4.3650365589618598</v>
      </c>
      <c r="AJ90" s="106">
        <f>AJ83/Rates!AP12</f>
        <v>4.4512193297413329</v>
      </c>
      <c r="AK90" s="106">
        <f>AK83/Rates!AQ12</f>
        <v>4.2528732702769378</v>
      </c>
      <c r="AL90" s="106">
        <f>AL83/Rates!AR12</f>
        <v>4.3312895799324371</v>
      </c>
      <c r="AM90" s="106">
        <f>AM83/Rates!AS12</f>
        <v>4.4015965864200757</v>
      </c>
      <c r="AN90" s="106">
        <f>AN83/Rates!AT12</f>
        <v>4.5216481208034152</v>
      </c>
      <c r="AO90" s="106">
        <f>AO83/Rates!AU12</f>
        <v>4.6754881859589892</v>
      </c>
      <c r="AP90" s="106">
        <f>AP83/Rates!AV12</f>
        <v>4.7398084035269772</v>
      </c>
      <c r="AQ90" s="106">
        <f>AQ83/Rates!AW12</f>
        <v>4.9183511455736761</v>
      </c>
      <c r="AR90" s="917"/>
      <c r="AS90" s="917"/>
    </row>
    <row r="93" spans="1:45">
      <c r="AI93" s="498"/>
      <c r="AJ93" s="498"/>
      <c r="AK93" s="498"/>
      <c r="AL93" s="495"/>
    </row>
    <row r="94" spans="1:45">
      <c r="AI94" s="498"/>
      <c r="AJ94" s="498"/>
      <c r="AK94" s="498"/>
      <c r="AL94" s="495"/>
    </row>
    <row r="95" spans="1:45">
      <c r="AI95" s="498"/>
      <c r="AJ95" s="498"/>
      <c r="AK95" s="498"/>
      <c r="AL95" s="495"/>
    </row>
    <row r="96" spans="1:45">
      <c r="AI96" s="498"/>
      <c r="AJ96" s="498"/>
      <c r="AK96" s="498"/>
      <c r="AL96" s="495"/>
    </row>
    <row r="97" spans="35:38">
      <c r="AI97" s="498"/>
      <c r="AJ97" s="498"/>
      <c r="AK97" s="498"/>
      <c r="AL97" s="495"/>
    </row>
  </sheetData>
  <phoneticPr fontId="6" type="noConversion"/>
  <pageMargins left="0.75" right="0.75" top="1" bottom="1" header="0.5" footer="0.5"/>
  <pageSetup orientation="portrait" horizontalDpi="4294967295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V181"/>
  <sheetViews>
    <sheetView topLeftCell="H79" zoomScaleNormal="100" workbookViewId="0">
      <selection activeCell="T79" sqref="T1:U1048576"/>
    </sheetView>
  </sheetViews>
  <sheetFormatPr defaultRowHeight="12.75"/>
  <cols>
    <col min="1" max="1" width="4.140625" customWidth="1"/>
    <col min="2" max="2" width="36.140625" customWidth="1"/>
    <col min="3" max="3" width="12.140625" hidden="1" customWidth="1"/>
    <col min="4" max="5" width="11.28515625" hidden="1" customWidth="1"/>
    <col min="6" max="6" width="10.5703125" customWidth="1"/>
    <col min="7" max="7" width="10.7109375" customWidth="1"/>
    <col min="8" max="19" width="10.7109375" bestFit="1" customWidth="1"/>
    <col min="20" max="21" width="10.7109375" style="547" bestFit="1" customWidth="1"/>
  </cols>
  <sheetData>
    <row r="1" spans="1:21" ht="15.75">
      <c r="B1" s="15" t="s">
        <v>945</v>
      </c>
      <c r="C1" t="s">
        <v>945</v>
      </c>
    </row>
    <row r="2" spans="1:21" ht="15.75">
      <c r="B2" s="15" t="s">
        <v>946</v>
      </c>
    </row>
    <row r="4" spans="1:21">
      <c r="A4">
        <v>1</v>
      </c>
      <c r="B4" s="406" t="s">
        <v>5</v>
      </c>
      <c r="C4" s="408"/>
      <c r="D4" s="408">
        <v>2010</v>
      </c>
      <c r="E4" s="408">
        <v>2011</v>
      </c>
      <c r="F4" s="407">
        <f>'Stmts RUS'!E2</f>
        <v>2012</v>
      </c>
      <c r="G4" s="407">
        <f>'Stmts RUS'!R1</f>
        <v>2013</v>
      </c>
      <c r="H4" s="407">
        <f>'Stmts RUS'!AE1</f>
        <v>2014</v>
      </c>
      <c r="I4" s="408">
        <f>'Stmts RUS'!AG2</f>
        <v>2015</v>
      </c>
      <c r="J4" s="408">
        <f>'Stmts RUS'!AH2</f>
        <v>2016</v>
      </c>
      <c r="K4" s="408">
        <f>'Stmts RUS'!AI2</f>
        <v>2017</v>
      </c>
      <c r="L4" s="408">
        <f>'Stmts RUS'!AJ2</f>
        <v>2018</v>
      </c>
      <c r="M4" s="408">
        <f>'Stmts RUS'!AK2</f>
        <v>2019</v>
      </c>
      <c r="N4" s="408">
        <f>'Stmts RUS'!AL2</f>
        <v>2020</v>
      </c>
      <c r="O4" s="408">
        <f>'Stmts RUS'!AM2</f>
        <v>2021</v>
      </c>
      <c r="P4" s="408">
        <f>'Stmts RUS'!AN2</f>
        <v>2022</v>
      </c>
      <c r="Q4" s="408">
        <f>'Stmts RUS'!AO2</f>
        <v>2023</v>
      </c>
      <c r="R4" s="408">
        <f>'Stmts RUS'!AP2</f>
        <v>2024</v>
      </c>
      <c r="S4" s="408">
        <f>'Stmts RUS'!AQ2</f>
        <v>2025</v>
      </c>
      <c r="T4" s="945"/>
      <c r="U4" s="945"/>
    </row>
    <row r="5" spans="1:21">
      <c r="A5">
        <f>A4+1</f>
        <v>2</v>
      </c>
    </row>
    <row r="6" spans="1:21">
      <c r="A6">
        <f t="shared" ref="A6:A69" si="0">A5+1</f>
        <v>3</v>
      </c>
      <c r="B6" t="s">
        <v>261</v>
      </c>
    </row>
    <row r="7" spans="1:21">
      <c r="A7">
        <f t="shared" si="0"/>
        <v>4</v>
      </c>
      <c r="B7" t="s">
        <v>6</v>
      </c>
      <c r="C7" s="105"/>
      <c r="D7" s="548">
        <v>1092</v>
      </c>
      <c r="E7" s="548">
        <v>1092.0633544899999</v>
      </c>
      <c r="F7" s="566">
        <f>'Stmts RUS'!E135</f>
        <v>1087.2274214199999</v>
      </c>
      <c r="G7" s="105">
        <f>'Stmts RUS'!R135</f>
        <v>1121.4844664200002</v>
      </c>
      <c r="H7" s="105">
        <f>'Stmts RUS'!AE135</f>
        <v>1149.7185474199998</v>
      </c>
      <c r="I7" s="105">
        <f>'Stmts RUS'!AG135</f>
        <v>1147.3740784199999</v>
      </c>
      <c r="J7" s="105">
        <f>'Stmts RUS'!AH135</f>
        <v>1134.2487644199998</v>
      </c>
      <c r="K7" s="105">
        <f>'Stmts RUS'!AI135</f>
        <v>1121.3522597594126</v>
      </c>
      <c r="L7" s="105">
        <f>'Stmts RUS'!AJ135</f>
        <v>1108.6916064465872</v>
      </c>
      <c r="M7" s="105">
        <f>'Stmts RUS'!AK135</f>
        <v>1107.5697067748079</v>
      </c>
      <c r="N7" s="105">
        <f>'Stmts RUS'!AL135</f>
        <v>1107.068727485414</v>
      </c>
      <c r="O7" s="105">
        <f>'Stmts RUS'!AM135</f>
        <v>1107.2072961898764</v>
      </c>
      <c r="P7" s="105">
        <f>'Stmts RUS'!AN135</f>
        <v>1108.0045993280116</v>
      </c>
      <c r="Q7" s="105">
        <f>'Stmts RUS'!AO135</f>
        <v>1109.4803989328293</v>
      </c>
      <c r="R7" s="105">
        <f>'Stmts RUS'!AP135</f>
        <v>1111.6550498983304</v>
      </c>
      <c r="S7" s="105">
        <f>'Stmts RUS'!AQ135</f>
        <v>1114.5495177653347</v>
      </c>
      <c r="T7" s="946"/>
      <c r="U7" s="946"/>
    </row>
    <row r="8" spans="1:21">
      <c r="A8">
        <f t="shared" si="0"/>
        <v>5</v>
      </c>
      <c r="B8" t="s">
        <v>7</v>
      </c>
      <c r="C8" s="105"/>
      <c r="D8" s="548">
        <v>45</v>
      </c>
      <c r="E8" s="548">
        <v>44.849488569999998</v>
      </c>
      <c r="F8" s="566">
        <f>'Stmts RUS'!E147+'Stmts RUS'!E150</f>
        <v>110.17274750999999</v>
      </c>
      <c r="G8" s="105">
        <f>'Stmts RUS'!R147+'Stmts RUS'!R150</f>
        <v>81.021230808534881</v>
      </c>
      <c r="H8" s="105">
        <f>'Stmts RUS'!AE147+'Stmts RUS'!AE150</f>
        <v>79.190235385085487</v>
      </c>
      <c r="I8" s="105">
        <f>'Stmts RUS'!AG147+'Stmts RUS'!AG150</f>
        <v>80.943336688638738</v>
      </c>
      <c r="J8" s="105">
        <f>'Stmts RUS'!AH147+'Stmts RUS'!AH150</f>
        <v>89.425148325038535</v>
      </c>
      <c r="K8" s="105">
        <f>'Stmts RUS'!AI147+'Stmts RUS'!AI150</f>
        <v>92.244107434146798</v>
      </c>
      <c r="L8" s="105">
        <f>'Stmts RUS'!AJ147+'Stmts RUS'!AJ150</f>
        <v>94.783934729083825</v>
      </c>
      <c r="M8" s="105">
        <f>'Stmts RUS'!AK147+'Stmts RUS'!AK150</f>
        <v>82.851228223269999</v>
      </c>
      <c r="N8" s="105">
        <f>'Stmts RUS'!AL147+'Stmts RUS'!AL150</f>
        <v>58.617864702643253</v>
      </c>
      <c r="O8" s="105">
        <f>'Stmts RUS'!AM147+'Stmts RUS'!AM150</f>
        <v>28.712000780535043</v>
      </c>
      <c r="P8" s="105">
        <f>'Stmts RUS'!AN147+'Stmts RUS'!AN150</f>
        <v>18.593417971085465</v>
      </c>
      <c r="Q8" s="105">
        <f>'Stmts RUS'!AO147+'Stmts RUS'!AO150</f>
        <v>188.82916958902601</v>
      </c>
      <c r="R8" s="105">
        <f>'Stmts RUS'!AP147+'Stmts RUS'!AP150</f>
        <v>152.22168510089946</v>
      </c>
      <c r="S8" s="105">
        <f>'Stmts RUS'!AQ147+'Stmts RUS'!AQ150</f>
        <v>113.85337889712386</v>
      </c>
      <c r="T8" s="946"/>
      <c r="U8" s="946"/>
    </row>
    <row r="9" spans="1:21">
      <c r="A9">
        <f t="shared" si="0"/>
        <v>6</v>
      </c>
      <c r="B9" t="s">
        <v>319</v>
      </c>
      <c r="C9" s="105"/>
      <c r="D9" s="548">
        <v>35</v>
      </c>
      <c r="E9" s="548">
        <v>0</v>
      </c>
      <c r="F9" s="566">
        <f>'Stmts RUS'!E142</f>
        <v>35.00869994</v>
      </c>
      <c r="G9" s="105">
        <f>'Stmts RUS'!R142</f>
        <v>35.113870560546914</v>
      </c>
      <c r="H9" s="105">
        <f>'Stmts RUS'!AE142</f>
        <v>35.219357127114236</v>
      </c>
      <c r="I9" s="105">
        <f>'Stmts RUS'!AG142</f>
        <v>35.325015198495578</v>
      </c>
      <c r="J9" s="105">
        <f>'Stmts RUS'!AH142</f>
        <v>35.430990244091063</v>
      </c>
      <c r="K9" s="105">
        <f>'Stmts RUS'!AI142</f>
        <v>35.53728321482334</v>
      </c>
      <c r="L9" s="105">
        <f>'Stmts RUS'!AJ142</f>
        <v>35.643895064467813</v>
      </c>
      <c r="M9" s="105">
        <f>'Stmts RUS'!AK142</f>
        <v>35.750826749661215</v>
      </c>
      <c r="N9" s="105">
        <f>'Stmts RUS'!AL142</f>
        <v>35.858079229910196</v>
      </c>
      <c r="O9" s="105">
        <f>'Stmts RUS'!AM142</f>
        <v>35.965653467599928</v>
      </c>
      <c r="P9" s="105">
        <f>'Stmts RUS'!AN142</f>
        <v>36.073550428002726</v>
      </c>
      <c r="Q9" s="105">
        <f>'Stmts RUS'!AO142</f>
        <v>36.181771079286733</v>
      </c>
      <c r="R9" s="105">
        <f>'Stmts RUS'!AP142</f>
        <v>36.290316392524595</v>
      </c>
      <c r="S9" s="105">
        <f>'Stmts RUS'!AQ142</f>
        <v>36.399187341702167</v>
      </c>
      <c r="T9" s="946"/>
      <c r="U9" s="946"/>
    </row>
    <row r="10" spans="1:21">
      <c r="A10">
        <f t="shared" si="0"/>
        <v>7</v>
      </c>
      <c r="B10" t="s">
        <v>146</v>
      </c>
      <c r="C10" s="105"/>
      <c r="D10" s="548">
        <v>121</v>
      </c>
      <c r="E10" s="548">
        <v>100.31026622</v>
      </c>
      <c r="F10" s="566">
        <f>'Stmts RUS'!E143</f>
        <v>80.510928620000001</v>
      </c>
      <c r="G10" s="105">
        <f>'Stmts RUS'!R143</f>
        <v>54.246955986803989</v>
      </c>
      <c r="H10" s="105">
        <f>'Stmts RUS'!AE143</f>
        <v>21.267143334747672</v>
      </c>
      <c r="I10" s="105">
        <f>'Stmts RUS'!AG143</f>
        <v>0</v>
      </c>
      <c r="J10" s="105">
        <f>'Stmts RUS'!AH143</f>
        <v>0</v>
      </c>
      <c r="K10" s="105">
        <f>'Stmts RUS'!AI143</f>
        <v>0</v>
      </c>
      <c r="L10" s="105">
        <f>'Stmts RUS'!AJ143</f>
        <v>0</v>
      </c>
      <c r="M10" s="105">
        <f>'Stmts RUS'!AK143</f>
        <v>0</v>
      </c>
      <c r="N10" s="105">
        <f>'Stmts RUS'!AL143</f>
        <v>0</v>
      </c>
      <c r="O10" s="105">
        <f>'Stmts RUS'!AM143</f>
        <v>0</v>
      </c>
      <c r="P10" s="105">
        <f>'Stmts RUS'!AN143</f>
        <v>0</v>
      </c>
      <c r="Q10" s="105">
        <f>'Stmts RUS'!AO143</f>
        <v>0</v>
      </c>
      <c r="R10" s="105">
        <f>'Stmts RUS'!AP143</f>
        <v>0</v>
      </c>
      <c r="S10" s="105">
        <f>'Stmts RUS'!AQ143</f>
        <v>0</v>
      </c>
      <c r="T10" s="946"/>
      <c r="U10" s="946"/>
    </row>
    <row r="11" spans="1:21">
      <c r="A11">
        <f t="shared" si="0"/>
        <v>8</v>
      </c>
      <c r="B11" t="s">
        <v>639</v>
      </c>
      <c r="C11" s="105"/>
      <c r="D11" s="548">
        <v>62</v>
      </c>
      <c r="E11" s="548">
        <v>62.851736180000003</v>
      </c>
      <c r="F11" s="566">
        <f>'Stmts RUS'!E144</f>
        <v>64.003003169999999</v>
      </c>
      <c r="G11" s="105">
        <f>'Stmts RUS'!R144</f>
        <v>65.190640188159961</v>
      </c>
      <c r="H11" s="105">
        <f>'Stmts RUS'!AE144</f>
        <v>66.400314948567058</v>
      </c>
      <c r="I11" s="105">
        <f>'Stmts RUS'!AG144</f>
        <v>55.541797744363286</v>
      </c>
      <c r="J11" s="105">
        <f>'Stmts RUS'!AH144</f>
        <v>26.517347636553719</v>
      </c>
      <c r="K11" s="105">
        <f>'Stmts RUS'!AI144</f>
        <v>0</v>
      </c>
      <c r="L11" s="105">
        <f>'Stmts RUS'!AJ144</f>
        <v>0</v>
      </c>
      <c r="M11" s="105">
        <f>'Stmts RUS'!AK144</f>
        <v>0</v>
      </c>
      <c r="N11" s="105">
        <f>'Stmts RUS'!AL144</f>
        <v>0</v>
      </c>
      <c r="O11" s="105">
        <f>'Stmts RUS'!AM144</f>
        <v>0</v>
      </c>
      <c r="P11" s="105">
        <f>'Stmts RUS'!AN144</f>
        <v>0</v>
      </c>
      <c r="Q11" s="105">
        <f>'Stmts RUS'!AO144</f>
        <v>0</v>
      </c>
      <c r="R11" s="105">
        <f>'Stmts RUS'!AP144</f>
        <v>0</v>
      </c>
      <c r="S11" s="105">
        <f>'Stmts RUS'!AQ144</f>
        <v>0</v>
      </c>
      <c r="T11" s="946"/>
      <c r="U11" s="946"/>
    </row>
    <row r="12" spans="1:21">
      <c r="A12">
        <f t="shared" si="0"/>
        <v>9</v>
      </c>
      <c r="B12" s="98" t="s">
        <v>8</v>
      </c>
      <c r="C12" s="403"/>
      <c r="D12" s="560">
        <v>117</v>
      </c>
      <c r="E12" s="560">
        <v>117.84743098</v>
      </c>
      <c r="F12" s="403">
        <f>SUM('Stmts RUS'!E137:E141)+SUM('Stmts RUS'!E151:E156)+SUM('Stmts RUS'!E159:E162)+'Stmts RUS'!E149</f>
        <v>169.75512039000003</v>
      </c>
      <c r="G12" s="403">
        <f>SUM('Stmts RUS'!R137:R141)+SUM('Stmts RUS'!R151:R156)+SUM('Stmts RUS'!R159:R162)+'Stmts RUS'!R149</f>
        <v>174.02892110587948</v>
      </c>
      <c r="H12" s="403">
        <f>SUM('Stmts RUS'!AE137:AE141)+SUM('Stmts RUS'!AE151:AE156)+SUM('Stmts RUS'!AE159:AE162)+'Stmts RUS'!AE149</f>
        <v>173.54700557816651</v>
      </c>
      <c r="I12" s="403">
        <f>SUM('Stmts RUS'!AG137:AG141)+SUM('Stmts RUS'!AG151:AG156)+SUM('Stmts RUS'!AG159:AG162)+'Stmts RUS'!AG149</f>
        <v>174.25128568058241</v>
      </c>
      <c r="J12" s="403">
        <f>SUM('Stmts RUS'!AH137:AH141)+SUM('Stmts RUS'!AH151:AH156)+SUM('Stmts RUS'!AH159:AH162)+'Stmts RUS'!AH149</f>
        <v>173.34003475832844</v>
      </c>
      <c r="K12" s="403">
        <f>SUM('Stmts RUS'!AI137:AI141)+SUM('Stmts RUS'!AI151:AI156)+SUM('Stmts RUS'!AI159:AI162)+'Stmts RUS'!AI149</f>
        <v>174.89230717535244</v>
      </c>
      <c r="L12" s="403">
        <f>SUM('Stmts RUS'!AJ137:AJ141)+SUM('Stmts RUS'!AJ151:AJ156)+SUM('Stmts RUS'!AJ159:AJ162)+'Stmts RUS'!AJ149</f>
        <v>176.65732969394966</v>
      </c>
      <c r="M12" s="403">
        <f>SUM('Stmts RUS'!AK137:AK141)+SUM('Stmts RUS'!AK151:AK156)+SUM('Stmts RUS'!AK159:AK162)+'Stmts RUS'!AK149</f>
        <v>190.47540648218643</v>
      </c>
      <c r="N12" s="403">
        <f>SUM('Stmts RUS'!AL137:AL141)+SUM('Stmts RUS'!AL151:AL156)+SUM('Stmts RUS'!AL159:AL162)+'Stmts RUS'!AL149</f>
        <v>195.85034109323595</v>
      </c>
      <c r="O12" s="403">
        <f>SUM('Stmts RUS'!AM137:AM141)+SUM('Stmts RUS'!AM151:AM156)+SUM('Stmts RUS'!AM159:AM162)+'Stmts RUS'!AM149</f>
        <v>197.48061772299945</v>
      </c>
      <c r="P12" s="403">
        <f>SUM('Stmts RUS'!AN137:AN141)+SUM('Stmts RUS'!AN151:AN156)+SUM('Stmts RUS'!AN159:AN162)+'Stmts RUS'!AN149</f>
        <v>201.42148783905714</v>
      </c>
      <c r="Q12" s="403">
        <f>SUM('Stmts RUS'!AO137:AO141)+SUM('Stmts RUS'!AO151:AO156)+SUM('Stmts RUS'!AO159:AO162)+'Stmts RUS'!AO149</f>
        <v>209.41981037273945</v>
      </c>
      <c r="R12" s="403">
        <f>SUM('Stmts RUS'!AP137:AP141)+SUM('Stmts RUS'!AP151:AP156)+SUM('Stmts RUS'!AP159:AP162)+'Stmts RUS'!AP149</f>
        <v>212.7861390225944</v>
      </c>
      <c r="S12" s="403">
        <f>SUM('Stmts RUS'!AQ137:AQ141)+SUM('Stmts RUS'!AQ151:AQ156)+SUM('Stmts RUS'!AQ159:AQ162)+'Stmts RUS'!AQ149</f>
        <v>217.87669568132418</v>
      </c>
      <c r="T12" s="946"/>
      <c r="U12" s="946"/>
    </row>
    <row r="13" spans="1:21">
      <c r="A13">
        <f t="shared" si="0"/>
        <v>10</v>
      </c>
      <c r="B13" s="406" t="s">
        <v>131</v>
      </c>
      <c r="C13" s="417"/>
      <c r="D13" s="417">
        <f>SUM(D7:D12)</f>
        <v>1472</v>
      </c>
      <c r="E13" s="417">
        <f>SUM(E7:E12)</f>
        <v>1417.9222764399997</v>
      </c>
      <c r="F13" s="417">
        <f t="shared" ref="F13" si="1">SUM(F7:F12)</f>
        <v>1546.6779210499999</v>
      </c>
      <c r="G13" s="417">
        <f t="shared" ref="G13:S13" si="2">SUM(G7:G12)</f>
        <v>1531.0860850699255</v>
      </c>
      <c r="H13" s="417">
        <f t="shared" si="2"/>
        <v>1525.3426037936811</v>
      </c>
      <c r="I13" s="417">
        <f t="shared" si="2"/>
        <v>1493.4355137320799</v>
      </c>
      <c r="J13" s="417">
        <f t="shared" si="2"/>
        <v>1458.9622853840115</v>
      </c>
      <c r="K13" s="417">
        <f t="shared" si="2"/>
        <v>1424.0259575837354</v>
      </c>
      <c r="L13" s="417">
        <f t="shared" si="2"/>
        <v>1415.7767659340884</v>
      </c>
      <c r="M13" s="417">
        <f t="shared" si="2"/>
        <v>1416.6471682299255</v>
      </c>
      <c r="N13" s="417">
        <f t="shared" si="2"/>
        <v>1397.3950125112033</v>
      </c>
      <c r="O13" s="417">
        <f t="shared" si="2"/>
        <v>1369.3655681610107</v>
      </c>
      <c r="P13" s="417">
        <f t="shared" si="2"/>
        <v>1364.0930555661571</v>
      </c>
      <c r="Q13" s="417">
        <f t="shared" si="2"/>
        <v>1543.9111499738815</v>
      </c>
      <c r="R13" s="417">
        <f t="shared" si="2"/>
        <v>1512.9531904143489</v>
      </c>
      <c r="S13" s="417">
        <f t="shared" si="2"/>
        <v>1482.6787796854849</v>
      </c>
      <c r="T13" s="947"/>
      <c r="U13" s="947"/>
    </row>
    <row r="14" spans="1:21">
      <c r="A14">
        <f t="shared" si="0"/>
        <v>11</v>
      </c>
      <c r="F14" s="566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946"/>
      <c r="U14" s="946"/>
    </row>
    <row r="15" spans="1:21">
      <c r="A15">
        <f t="shared" si="0"/>
        <v>12</v>
      </c>
      <c r="B15" t="s">
        <v>9</v>
      </c>
      <c r="F15" s="56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946"/>
      <c r="U15" s="946"/>
    </row>
    <row r="16" spans="1:21">
      <c r="A16">
        <f t="shared" si="0"/>
        <v>13</v>
      </c>
      <c r="B16" t="s">
        <v>10</v>
      </c>
      <c r="C16" s="105"/>
      <c r="D16" s="548">
        <v>387</v>
      </c>
      <c r="E16" s="548">
        <v>389.82051521</v>
      </c>
      <c r="F16" s="566">
        <f>'Stmts RUS'!E167</f>
        <v>402.88168718999998</v>
      </c>
      <c r="G16" s="105">
        <f>'Stmts RUS'!R167</f>
        <v>407.83802827762446</v>
      </c>
      <c r="H16" s="105">
        <f>'Stmts RUS'!AE167</f>
        <v>419.26260715801646</v>
      </c>
      <c r="I16" s="105">
        <f>'Stmts RUS'!AG167</f>
        <v>430.66898120593919</v>
      </c>
      <c r="J16" s="105">
        <f>'Stmts RUS'!AH167</f>
        <v>439.16650459198547</v>
      </c>
      <c r="K16" s="105">
        <f>'Stmts RUS'!AI167</f>
        <v>445.71850777277416</v>
      </c>
      <c r="L16" s="105">
        <f>'Stmts RUS'!AJ167</f>
        <v>452.88427037881416</v>
      </c>
      <c r="M16" s="105">
        <f>'Stmts RUS'!AK167</f>
        <v>463.81030879569039</v>
      </c>
      <c r="N16" s="105">
        <f>'Stmts RUS'!AL167</f>
        <v>474.20216229821455</v>
      </c>
      <c r="O16" s="105">
        <f>'Stmts RUS'!AM167</f>
        <v>483.95796343544225</v>
      </c>
      <c r="P16" s="105">
        <f>'Stmts RUS'!AN167</f>
        <v>493.3073588490185</v>
      </c>
      <c r="Q16" s="105">
        <f>'Stmts RUS'!AO167</f>
        <v>502.48398052332936</v>
      </c>
      <c r="R16" s="105">
        <f>'Stmts RUS'!AP167</f>
        <v>514.41200262600205</v>
      </c>
      <c r="S16" s="105">
        <f>'Stmts RUS'!AQ167</f>
        <v>525.93409067112987</v>
      </c>
      <c r="T16" s="946"/>
      <c r="U16" s="946"/>
    </row>
    <row r="17" spans="1:21">
      <c r="A17">
        <f t="shared" si="0"/>
        <v>14</v>
      </c>
      <c r="B17" t="s">
        <v>376</v>
      </c>
      <c r="C17" s="105"/>
      <c r="D17" s="548">
        <v>817</v>
      </c>
      <c r="E17" s="548">
        <v>786.39842973000009</v>
      </c>
      <c r="F17" s="566">
        <f>'Stmts RUS'!E171</f>
        <v>925.24393489000011</v>
      </c>
      <c r="G17" s="105">
        <f>'Stmts RUS'!R171</f>
        <v>943.23074710604237</v>
      </c>
      <c r="H17" s="105">
        <f>'Stmts RUS'!AE171</f>
        <v>957.08700765604226</v>
      </c>
      <c r="I17" s="105">
        <f>'Stmts RUS'!AG171</f>
        <v>942.90047395604233</v>
      </c>
      <c r="J17" s="105">
        <f>'Stmts RUS'!AH171</f>
        <v>926.91235351825526</v>
      </c>
      <c r="K17" s="105">
        <f>'Stmts RUS'!AI171</f>
        <v>910.4396278986344</v>
      </c>
      <c r="L17" s="105">
        <f>'Stmts RUS'!AJ171</f>
        <v>893.45662827272497</v>
      </c>
      <c r="M17" s="105">
        <f>'Stmts RUS'!AK171</f>
        <v>873.5251677969386</v>
      </c>
      <c r="N17" s="105">
        <f>'Stmts RUS'!AL171</f>
        <v>811.75338625687846</v>
      </c>
      <c r="O17" s="105">
        <f>'Stmts RUS'!AM171</f>
        <v>758.54447273201629</v>
      </c>
      <c r="P17" s="105">
        <f>'Stmts RUS'!AN171</f>
        <v>739.05222695570842</v>
      </c>
      <c r="Q17" s="105">
        <f>'Stmts RUS'!AO171</f>
        <v>918.84319278951125</v>
      </c>
      <c r="R17" s="105">
        <f>'Stmts RUS'!AP171</f>
        <v>883.33490705072813</v>
      </c>
      <c r="S17" s="105">
        <f>'Stmts RUS'!AQ171</f>
        <v>846.17244973208165</v>
      </c>
      <c r="T17" s="946"/>
      <c r="U17" s="946"/>
    </row>
    <row r="18" spans="1:21">
      <c r="A18">
        <f t="shared" si="0"/>
        <v>15</v>
      </c>
      <c r="B18" t="s">
        <v>11</v>
      </c>
      <c r="C18" s="105"/>
      <c r="D18" s="548">
        <v>181</v>
      </c>
      <c r="E18" s="548">
        <v>162.36062337999999</v>
      </c>
      <c r="F18" s="566">
        <f>'Stmts RUS'!E183+'Stmts RUS'!E184</f>
        <v>143.89411275999998</v>
      </c>
      <c r="G18" s="105">
        <f>'Stmts RUS'!R183+'Stmts RUS'!R184</f>
        <v>119.43759617496394</v>
      </c>
      <c r="H18" s="105">
        <f>'Stmts RUS'!AE183+'Stmts RUS'!AE184</f>
        <v>87.66745828331473</v>
      </c>
      <c r="I18" s="105">
        <f>'Stmts RUS'!AG183+'Stmts RUS'!AG184</f>
        <v>55.541797744363286</v>
      </c>
      <c r="J18" s="105">
        <f>'Stmts RUS'!AH183+'Stmts RUS'!AH184</f>
        <v>26.517347636553719</v>
      </c>
      <c r="K18" s="105">
        <f>'Stmts RUS'!AI183+'Stmts RUS'!AI184</f>
        <v>0</v>
      </c>
      <c r="L18" s="105">
        <f>'Stmts RUS'!AJ183+'Stmts RUS'!AJ184</f>
        <v>0</v>
      </c>
      <c r="M18" s="105">
        <f>'Stmts RUS'!AK183+'Stmts RUS'!AK184</f>
        <v>0</v>
      </c>
      <c r="N18" s="105">
        <f>'Stmts RUS'!AL183+'Stmts RUS'!AL184</f>
        <v>0</v>
      </c>
      <c r="O18" s="105">
        <f>'Stmts RUS'!AM183+'Stmts RUS'!AM184</f>
        <v>0</v>
      </c>
      <c r="P18" s="105">
        <f>'Stmts RUS'!AN183+'Stmts RUS'!AN184</f>
        <v>0</v>
      </c>
      <c r="Q18" s="105">
        <f>'Stmts RUS'!AO183+'Stmts RUS'!AO184</f>
        <v>0</v>
      </c>
      <c r="R18" s="105">
        <f>'Stmts RUS'!AP183+'Stmts RUS'!AP184</f>
        <v>0</v>
      </c>
      <c r="S18" s="105">
        <f>'Stmts RUS'!AQ183+'Stmts RUS'!AQ184</f>
        <v>0</v>
      </c>
      <c r="T18" s="946"/>
      <c r="U18" s="946"/>
    </row>
    <row r="19" spans="1:21">
      <c r="A19">
        <f t="shared" si="0"/>
        <v>16</v>
      </c>
      <c r="B19" t="s">
        <v>399</v>
      </c>
      <c r="C19" s="105"/>
      <c r="D19" s="548">
        <v>10</v>
      </c>
      <c r="E19" s="548">
        <v>0</v>
      </c>
      <c r="F19" s="566">
        <f>'Stmts RUS'!E173</f>
        <v>0</v>
      </c>
      <c r="G19" s="105">
        <f>'Stmts RUS'!R173</f>
        <v>0</v>
      </c>
      <c r="H19" s="105">
        <f>'Stmts RUS'!AE173</f>
        <v>0</v>
      </c>
      <c r="I19" s="105">
        <f>'Stmts RUS'!AG173</f>
        <v>0</v>
      </c>
      <c r="J19" s="105">
        <f>'Stmts RUS'!AH173</f>
        <v>0</v>
      </c>
      <c r="K19" s="105">
        <f>'Stmts RUS'!AI173</f>
        <v>0</v>
      </c>
      <c r="L19" s="105">
        <f>'Stmts RUS'!AJ173</f>
        <v>0</v>
      </c>
      <c r="M19" s="105">
        <f>'Stmts RUS'!AK173</f>
        <v>0</v>
      </c>
      <c r="N19" s="105">
        <f>'Stmts RUS'!AL173</f>
        <v>0</v>
      </c>
      <c r="O19" s="105">
        <f>'Stmts RUS'!AM173</f>
        <v>0</v>
      </c>
      <c r="P19" s="105">
        <f>'Stmts RUS'!AN173</f>
        <v>0</v>
      </c>
      <c r="Q19" s="105">
        <f>'Stmts RUS'!AO173</f>
        <v>0</v>
      </c>
      <c r="R19" s="105">
        <f>'Stmts RUS'!AP173</f>
        <v>0</v>
      </c>
      <c r="S19" s="105">
        <f>'Stmts RUS'!AQ173</f>
        <v>0</v>
      </c>
      <c r="T19" s="946"/>
      <c r="U19" s="946"/>
    </row>
    <row r="20" spans="1:21">
      <c r="A20">
        <f t="shared" si="0"/>
        <v>17</v>
      </c>
      <c r="B20" s="98" t="s">
        <v>12</v>
      </c>
      <c r="C20" s="403"/>
      <c r="D20" s="560">
        <v>77</v>
      </c>
      <c r="E20" s="560">
        <v>79.342708119999998</v>
      </c>
      <c r="F20" s="403">
        <f>'Stmts RUS'!E180+'Stmts RUS'!E182+'Stmts RUS'!E185-'Stmts RUS'!E173</f>
        <v>74.658186210000011</v>
      </c>
      <c r="G20" s="403">
        <f>'Stmts RUS'!R180+'Stmts RUS'!R182+'Stmts RUS'!R185-'Stmts RUS'!R173</f>
        <v>60.579713511294457</v>
      </c>
      <c r="H20" s="403">
        <f>'Stmts RUS'!AE180+'Stmts RUS'!AE182+'Stmts RUS'!AE185-'Stmts RUS'!AE173</f>
        <v>61.325530696307453</v>
      </c>
      <c r="I20" s="403">
        <f>'Stmts RUS'!AG180+'Stmts RUS'!AG182+'Stmts RUS'!AG185-'Stmts RUS'!AG173</f>
        <v>64.324260825735337</v>
      </c>
      <c r="J20" s="403">
        <f>'Stmts RUS'!AH180+'Stmts RUS'!AH182+'Stmts RUS'!AH185-'Stmts RUS'!AH173</f>
        <v>66.366079637217382</v>
      </c>
      <c r="K20" s="403">
        <f>'Stmts RUS'!AI180+'Stmts RUS'!AI182+'Stmts RUS'!AI185-'Stmts RUS'!AI173</f>
        <v>67.867821912326946</v>
      </c>
      <c r="L20" s="403">
        <f>'Stmts RUS'!AJ180+'Stmts RUS'!AJ182+'Stmts RUS'!AJ185-'Stmts RUS'!AJ173</f>
        <v>69.435867282549495</v>
      </c>
      <c r="M20" s="403">
        <f>'Stmts RUS'!AK180+'Stmts RUS'!AK182+'Stmts RUS'!AK185-'Stmts RUS'!AK173</f>
        <v>79.311691637296548</v>
      </c>
      <c r="N20" s="403">
        <f>'Stmts RUS'!AL180+'Stmts RUS'!AL182+'Stmts RUS'!AL185-'Stmts RUS'!AL173</f>
        <v>111.43946395611036</v>
      </c>
      <c r="O20" s="403">
        <f>'Stmts RUS'!AM180+'Stmts RUS'!AM182+'Stmts RUS'!AM185-'Stmts RUS'!AM173</f>
        <v>126.86313199355249</v>
      </c>
      <c r="P20" s="403">
        <f>'Stmts RUS'!AN180+'Stmts RUS'!AN182+'Stmts RUS'!AN185-'Stmts RUS'!AN173</f>
        <v>131.73346976143051</v>
      </c>
      <c r="Q20" s="403">
        <f>'Stmts RUS'!AO180+'Stmts RUS'!AO182+'Stmts RUS'!AO185-'Stmts RUS'!AO173</f>
        <v>122.58397666104129</v>
      </c>
      <c r="R20" s="403">
        <f>'Stmts RUS'!AP180+'Stmts RUS'!AP182+'Stmts RUS'!AP185-'Stmts RUS'!AP173</f>
        <v>115.20628073761891</v>
      </c>
      <c r="S20" s="403">
        <f>'Stmts RUS'!AQ180+'Stmts RUS'!AQ182+'Stmts RUS'!AQ185-'Stmts RUS'!AQ173</f>
        <v>110.57223928227413</v>
      </c>
      <c r="T20" s="946"/>
      <c r="U20" s="946"/>
    </row>
    <row r="21" spans="1:21">
      <c r="A21">
        <f t="shared" si="0"/>
        <v>18</v>
      </c>
      <c r="B21" s="406" t="s">
        <v>131</v>
      </c>
      <c r="C21" s="417"/>
      <c r="D21" s="417">
        <f>SUM(D16:D20)</f>
        <v>1472</v>
      </c>
      <c r="E21" s="417">
        <f>SUM(E16:E20)</f>
        <v>1417.9222764399999</v>
      </c>
      <c r="F21" s="417">
        <f t="shared" ref="F21" si="3">SUM(F16:F20)</f>
        <v>1546.6779210500001</v>
      </c>
      <c r="G21" s="417">
        <f t="shared" ref="G21:S21" si="4">SUM(G16:G20)</f>
        <v>1531.0860850699253</v>
      </c>
      <c r="H21" s="417">
        <f t="shared" si="4"/>
        <v>1525.3426037936808</v>
      </c>
      <c r="I21" s="417">
        <f>SUM(I16:I20)</f>
        <v>1493.4355137320802</v>
      </c>
      <c r="J21" s="417">
        <f t="shared" si="4"/>
        <v>1458.9622853840117</v>
      </c>
      <c r="K21" s="417">
        <f t="shared" si="4"/>
        <v>1424.0259575837356</v>
      </c>
      <c r="L21" s="417">
        <f t="shared" si="4"/>
        <v>1415.7767659340886</v>
      </c>
      <c r="M21" s="417">
        <f t="shared" si="4"/>
        <v>1416.6471682299255</v>
      </c>
      <c r="N21" s="417">
        <f t="shared" si="4"/>
        <v>1397.3950125112033</v>
      </c>
      <c r="O21" s="417">
        <f t="shared" si="4"/>
        <v>1369.3655681610112</v>
      </c>
      <c r="P21" s="417">
        <f t="shared" si="4"/>
        <v>1364.0930555661575</v>
      </c>
      <c r="Q21" s="417">
        <f t="shared" si="4"/>
        <v>1543.9111499738819</v>
      </c>
      <c r="R21" s="417">
        <f t="shared" si="4"/>
        <v>1512.9531904143491</v>
      </c>
      <c r="S21" s="417">
        <f t="shared" si="4"/>
        <v>1482.6787796854856</v>
      </c>
      <c r="T21" s="947"/>
      <c r="U21" s="947"/>
    </row>
    <row r="22" spans="1:21">
      <c r="A22">
        <f t="shared" si="0"/>
        <v>19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917"/>
      <c r="U22" s="917"/>
    </row>
    <row r="23" spans="1:21">
      <c r="A23">
        <f t="shared" si="0"/>
        <v>20</v>
      </c>
      <c r="B23" s="303" t="s">
        <v>13</v>
      </c>
      <c r="C23" s="418"/>
      <c r="D23" s="418">
        <f>D16/(D16+D17)</f>
        <v>0.32142857142857145</v>
      </c>
      <c r="E23" s="418">
        <f t="shared" ref="E23:S23" si="5">E16/(E16+E17)</f>
        <v>0.33141832724849118</v>
      </c>
      <c r="F23" s="418">
        <f t="shared" ref="F23" si="6">F16/(F16+F17)</f>
        <v>0.30334606944713566</v>
      </c>
      <c r="G23" s="418">
        <f t="shared" si="5"/>
        <v>0.30186326241002021</v>
      </c>
      <c r="H23" s="418">
        <f t="shared" si="5"/>
        <v>0.30461926435359798</v>
      </c>
      <c r="I23" s="418">
        <f t="shared" si="5"/>
        <v>0.31354001036311013</v>
      </c>
      <c r="J23" s="418">
        <f t="shared" si="5"/>
        <v>0.32147961443419498</v>
      </c>
      <c r="K23" s="418">
        <f t="shared" si="5"/>
        <v>0.32866263605173685</v>
      </c>
      <c r="L23" s="418">
        <f t="shared" si="5"/>
        <v>0.33638157381418893</v>
      </c>
      <c r="M23" s="418">
        <f t="shared" si="5"/>
        <v>0.34681672393633317</v>
      </c>
      <c r="N23" s="418">
        <f t="shared" si="5"/>
        <v>0.36875470760325335</v>
      </c>
      <c r="O23" s="418">
        <f t="shared" si="5"/>
        <v>0.38950262739784008</v>
      </c>
      <c r="P23" s="418">
        <f t="shared" si="5"/>
        <v>0.40029498251266521</v>
      </c>
      <c r="Q23" s="418">
        <f t="shared" si="5"/>
        <v>0.35353153725481495</v>
      </c>
      <c r="R23" s="418">
        <f t="shared" si="5"/>
        <v>0.36802943298581492</v>
      </c>
      <c r="S23" s="418">
        <f t="shared" si="5"/>
        <v>0.38330412047782908</v>
      </c>
      <c r="T23" s="948"/>
      <c r="U23" s="948"/>
    </row>
    <row r="24" spans="1:21">
      <c r="A24">
        <f t="shared" si="0"/>
        <v>21</v>
      </c>
      <c r="D24" s="564"/>
      <c r="F24" s="569"/>
    </row>
    <row r="25" spans="1:21">
      <c r="A25">
        <f t="shared" si="0"/>
        <v>22</v>
      </c>
      <c r="B25" s="303" t="s">
        <v>398</v>
      </c>
      <c r="C25" s="418"/>
      <c r="D25" s="418">
        <f>D16/D13</f>
        <v>0.26290760869565216</v>
      </c>
      <c r="E25" s="418">
        <f t="shared" ref="E25:S25" si="7">E16/E13</f>
        <v>0.27492375406410052</v>
      </c>
      <c r="F25" s="418">
        <f t="shared" ref="F25" si="8">F16/F13</f>
        <v>0.26048195406868802</v>
      </c>
      <c r="G25" s="418">
        <f t="shared" si="7"/>
        <v>0.26637171629640816</v>
      </c>
      <c r="H25" s="418">
        <f t="shared" si="7"/>
        <v>0.27486454919391096</v>
      </c>
      <c r="I25" s="418">
        <f t="shared" si="7"/>
        <v>0.28837467520087418</v>
      </c>
      <c r="J25" s="418">
        <f t="shared" si="7"/>
        <v>0.30101292472847785</v>
      </c>
      <c r="K25" s="418">
        <f t="shared" si="7"/>
        <v>0.3129988645214461</v>
      </c>
      <c r="L25" s="418">
        <f t="shared" si="7"/>
        <v>0.31988395436056916</v>
      </c>
      <c r="M25" s="418">
        <f t="shared" si="7"/>
        <v>0.32740001829475496</v>
      </c>
      <c r="N25" s="418">
        <f t="shared" si="7"/>
        <v>0.33934725546647299</v>
      </c>
      <c r="O25" s="418">
        <f t="shared" si="7"/>
        <v>0.35341765171251788</v>
      </c>
      <c r="P25" s="418">
        <f t="shared" si="7"/>
        <v>0.36163761470384059</v>
      </c>
      <c r="Q25" s="418">
        <f t="shared" si="7"/>
        <v>0.3254617213767968</v>
      </c>
      <c r="R25" s="418">
        <f t="shared" si="7"/>
        <v>0.34000523339728789</v>
      </c>
      <c r="S25" s="418">
        <f t="shared" si="7"/>
        <v>0.35471883585107644</v>
      </c>
      <c r="T25" s="948"/>
      <c r="U25" s="948"/>
    </row>
    <row r="26" spans="1:21" s="13" customFormat="1">
      <c r="A26">
        <f t="shared" si="0"/>
        <v>23</v>
      </c>
      <c r="B26" s="49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949"/>
      <c r="U26" s="949"/>
    </row>
    <row r="27" spans="1:21">
      <c r="A27">
        <f t="shared" si="0"/>
        <v>24</v>
      </c>
      <c r="B27" s="303" t="s">
        <v>442</v>
      </c>
      <c r="C27" s="418"/>
      <c r="D27" s="418">
        <f>D17/D13</f>
        <v>0.55502717391304346</v>
      </c>
      <c r="E27" s="418">
        <f>E17/E13</f>
        <v>0.5546132131476369</v>
      </c>
      <c r="F27" s="418">
        <f t="shared" ref="F27" si="9">F17/F13</f>
        <v>0.59821370842474808</v>
      </c>
      <c r="G27" s="418">
        <f t="shared" ref="G27:S27" si="10">G17/G13</f>
        <v>0.61605337302961938</v>
      </c>
      <c r="H27" s="418">
        <f t="shared" si="10"/>
        <v>0.62745707441441045</v>
      </c>
      <c r="I27" s="418">
        <f t="shared" si="10"/>
        <v>0.63136336673804128</v>
      </c>
      <c r="J27" s="418">
        <f t="shared" si="10"/>
        <v>0.63532303939870793</v>
      </c>
      <c r="K27" s="418">
        <f t="shared" si="10"/>
        <v>0.63934201694149861</v>
      </c>
      <c r="L27" s="418">
        <f t="shared" si="10"/>
        <v>0.63107168430133698</v>
      </c>
      <c r="M27" s="418">
        <f t="shared" si="10"/>
        <v>0.61661448763448434</v>
      </c>
      <c r="N27" s="418">
        <f t="shared" si="10"/>
        <v>0.58090473988318347</v>
      </c>
      <c r="O27" s="418">
        <f t="shared" si="10"/>
        <v>0.55393861972935643</v>
      </c>
      <c r="P27" s="418">
        <f t="shared" si="10"/>
        <v>0.54179018355090891</v>
      </c>
      <c r="Q27" s="418">
        <f t="shared" si="10"/>
        <v>0.5951399423503454</v>
      </c>
      <c r="R27" s="418">
        <f t="shared" si="10"/>
        <v>0.58384814060824397</v>
      </c>
      <c r="S27" s="418">
        <f t="shared" si="10"/>
        <v>0.57070517318092129</v>
      </c>
      <c r="T27" s="948"/>
      <c r="U27" s="948"/>
    </row>
    <row r="28" spans="1:21">
      <c r="A28">
        <f t="shared" si="0"/>
        <v>25</v>
      </c>
    </row>
    <row r="29" spans="1:21">
      <c r="A29">
        <f t="shared" si="0"/>
        <v>26</v>
      </c>
    </row>
    <row r="30" spans="1:21">
      <c r="A30">
        <f t="shared" si="0"/>
        <v>27</v>
      </c>
    </row>
    <row r="31" spans="1:21">
      <c r="A31">
        <f t="shared" si="0"/>
        <v>28</v>
      </c>
      <c r="B31" s="406" t="s">
        <v>67</v>
      </c>
      <c r="C31" s="408"/>
      <c r="D31" s="565">
        <v>2010</v>
      </c>
      <c r="E31" s="407">
        <f t="shared" ref="E31:S31" si="11">E4</f>
        <v>2011</v>
      </c>
      <c r="F31" s="407">
        <f t="shared" si="11"/>
        <v>2012</v>
      </c>
      <c r="G31" s="407">
        <f t="shared" si="11"/>
        <v>2013</v>
      </c>
      <c r="H31" s="407">
        <f t="shared" si="11"/>
        <v>2014</v>
      </c>
      <c r="I31" s="407">
        <f t="shared" si="11"/>
        <v>2015</v>
      </c>
      <c r="J31" s="407">
        <f t="shared" si="11"/>
        <v>2016</v>
      </c>
      <c r="K31" s="407">
        <f t="shared" si="11"/>
        <v>2017</v>
      </c>
      <c r="L31" s="407">
        <f t="shared" si="11"/>
        <v>2018</v>
      </c>
      <c r="M31" s="407">
        <f t="shared" si="11"/>
        <v>2019</v>
      </c>
      <c r="N31" s="407">
        <f t="shared" si="11"/>
        <v>2020</v>
      </c>
      <c r="O31" s="407">
        <f t="shared" si="11"/>
        <v>2021</v>
      </c>
      <c r="P31" s="407">
        <f t="shared" si="11"/>
        <v>2022</v>
      </c>
      <c r="Q31" s="407">
        <f t="shared" si="11"/>
        <v>2023</v>
      </c>
      <c r="R31" s="407">
        <f t="shared" si="11"/>
        <v>2024</v>
      </c>
      <c r="S31" s="407">
        <f t="shared" si="11"/>
        <v>2025</v>
      </c>
      <c r="T31" s="950"/>
      <c r="U31" s="950"/>
    </row>
    <row r="32" spans="1:21">
      <c r="A32">
        <f t="shared" si="0"/>
        <v>29</v>
      </c>
      <c r="B32" t="s">
        <v>423</v>
      </c>
      <c r="C32" s="401"/>
      <c r="D32" s="553">
        <v>514.5</v>
      </c>
      <c r="E32" s="553">
        <v>558.37235412999996</v>
      </c>
      <c r="F32" s="401">
        <f>'Stmts RUS'!E85</f>
        <v>563.38513172</v>
      </c>
      <c r="G32" s="401">
        <f>'Stmts RUS'!S85</f>
        <v>541.80709940462702</v>
      </c>
      <c r="H32" s="401">
        <f>'Stmts RUS'!AF85</f>
        <v>484.21980808328732</v>
      </c>
      <c r="I32" s="401">
        <f>'Stmts RUS'!AG85</f>
        <v>505.39755807144917</v>
      </c>
      <c r="J32" s="401">
        <f>'Stmts RUS'!AH85</f>
        <v>521.05702406739533</v>
      </c>
      <c r="K32" s="401">
        <f>'Stmts RUS'!AI85</f>
        <v>533.415607984144</v>
      </c>
      <c r="L32" s="401">
        <f>'Stmts RUS'!AJ85</f>
        <v>549.82976483269954</v>
      </c>
      <c r="M32" s="401">
        <f>'Stmts RUS'!AK85</f>
        <v>708.30074168611247</v>
      </c>
      <c r="N32" s="401">
        <f>'Stmts RUS'!AL85</f>
        <v>758.00548645657102</v>
      </c>
      <c r="O32" s="401">
        <f>'Stmts RUS'!AM85</f>
        <v>767.35213530697808</v>
      </c>
      <c r="P32" s="401">
        <f>'Stmts RUS'!AN85</f>
        <v>802.19506792802542</v>
      </c>
      <c r="Q32" s="401">
        <f>'Stmts RUS'!AO85</f>
        <v>813.70637202169382</v>
      </c>
      <c r="R32" s="401">
        <f>'Stmts RUS'!AP85</f>
        <v>852.82850748773205</v>
      </c>
      <c r="S32" s="401">
        <f>'Stmts RUS'!AQ85</f>
        <v>881.95582189110723</v>
      </c>
      <c r="T32" s="409"/>
      <c r="U32" s="409"/>
    </row>
    <row r="33" spans="1:21">
      <c r="A33">
        <f t="shared" si="0"/>
        <v>30</v>
      </c>
      <c r="B33" t="s">
        <v>425</v>
      </c>
      <c r="C33" s="402"/>
      <c r="D33" s="552">
        <v>12.8</v>
      </c>
      <c r="E33" s="552">
        <v>3.6168775700000002</v>
      </c>
      <c r="F33" s="402">
        <f>'Stmts RUS'!E86+'Stmts RUS'!E87</f>
        <v>4.9571040100000001</v>
      </c>
      <c r="G33" s="402">
        <f>'Stmts RUS'!S86+'Stmts RUS'!S87</f>
        <v>3.6964999999999995</v>
      </c>
      <c r="H33" s="402">
        <f>'Stmts RUS'!AF86+'Stmts RUS'!AF87</f>
        <v>3.6964999999999995</v>
      </c>
      <c r="I33" s="402">
        <f>'Stmts RUS'!AG86+'Stmts RUS'!AG87</f>
        <v>3.6964999999999999</v>
      </c>
      <c r="J33" s="402">
        <f>'Stmts RUS'!AH86+'Stmts RUS'!AH87</f>
        <v>3.6964999999999999</v>
      </c>
      <c r="K33" s="402">
        <f>'Stmts RUS'!AI86+'Stmts RUS'!AI87</f>
        <v>3.6971750000000001</v>
      </c>
      <c r="L33" s="402">
        <f>'Stmts RUS'!AJ86+'Stmts RUS'!AJ87</f>
        <v>3.6978702499999998</v>
      </c>
      <c r="M33" s="402">
        <f>'Stmts RUS'!AK86+'Stmts RUS'!AK87</f>
        <v>3.6985863575</v>
      </c>
      <c r="N33" s="402">
        <f>'Stmts RUS'!AL86+'Stmts RUS'!AL87</f>
        <v>3.699323948225</v>
      </c>
      <c r="O33" s="402">
        <f>'Stmts RUS'!AM86+'Stmts RUS'!AM87</f>
        <v>3.70008366667175</v>
      </c>
      <c r="P33" s="402">
        <f>'Stmts RUS'!AN86+'Stmts RUS'!AN87</f>
        <v>3.7008661766719024</v>
      </c>
      <c r="Q33" s="402">
        <f>'Stmts RUS'!AO86+'Stmts RUS'!AO87</f>
        <v>3.7016721619720596</v>
      </c>
      <c r="R33" s="402">
        <f>'Stmts RUS'!AP86+'Stmts RUS'!AP87</f>
        <v>3.7025023268312212</v>
      </c>
      <c r="S33" s="402">
        <f>'Stmts RUS'!AQ86+'Stmts RUS'!AQ87</f>
        <v>3.7033573966361577</v>
      </c>
      <c r="T33" s="409"/>
      <c r="U33" s="409"/>
    </row>
    <row r="34" spans="1:21">
      <c r="A34">
        <f t="shared" si="0"/>
        <v>31</v>
      </c>
      <c r="B34" s="46" t="s">
        <v>832</v>
      </c>
      <c r="C34" s="401"/>
      <c r="D34" s="401">
        <f>SUM(D32:D33)</f>
        <v>527.29999999999995</v>
      </c>
      <c r="E34" s="401">
        <f>SUM(E32:E33)</f>
        <v>561.9892317</v>
      </c>
      <c r="F34" s="401">
        <f t="shared" ref="F34" si="12">SUM(F32:F33)</f>
        <v>568.34223572999997</v>
      </c>
      <c r="G34" s="401">
        <f t="shared" ref="G34:S34" si="13">SUM(G32:G33)</f>
        <v>545.50359940462704</v>
      </c>
      <c r="H34" s="401">
        <f t="shared" si="13"/>
        <v>487.91630808328733</v>
      </c>
      <c r="I34" s="401">
        <f t="shared" si="13"/>
        <v>509.09405807144918</v>
      </c>
      <c r="J34" s="401">
        <f t="shared" si="13"/>
        <v>524.75352406739535</v>
      </c>
      <c r="K34" s="401">
        <f t="shared" si="13"/>
        <v>537.11278298414402</v>
      </c>
      <c r="L34" s="401">
        <f t="shared" si="13"/>
        <v>553.52763508269959</v>
      </c>
      <c r="M34" s="401">
        <f t="shared" si="13"/>
        <v>711.99932804361242</v>
      </c>
      <c r="N34" s="401">
        <f t="shared" si="13"/>
        <v>761.70481040479604</v>
      </c>
      <c r="O34" s="401">
        <f t="shared" si="13"/>
        <v>771.05221897364981</v>
      </c>
      <c r="P34" s="401">
        <f t="shared" si="13"/>
        <v>805.89593410469729</v>
      </c>
      <c r="Q34" s="401">
        <f t="shared" si="13"/>
        <v>817.40804418366588</v>
      </c>
      <c r="R34" s="401">
        <f t="shared" si="13"/>
        <v>856.53100981456328</v>
      </c>
      <c r="S34" s="401">
        <f t="shared" si="13"/>
        <v>885.65917928774343</v>
      </c>
      <c r="T34" s="409"/>
      <c r="U34" s="409"/>
    </row>
    <row r="35" spans="1:21" ht="15.75">
      <c r="A35">
        <f t="shared" si="0"/>
        <v>32</v>
      </c>
      <c r="B35" s="13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9"/>
      <c r="U35" s="409"/>
    </row>
    <row r="36" spans="1:21">
      <c r="A36">
        <f t="shared" si="0"/>
        <v>33</v>
      </c>
      <c r="B36" t="s">
        <v>833</v>
      </c>
      <c r="C36" s="401"/>
      <c r="D36" s="553">
        <v>187.2</v>
      </c>
      <c r="E36" s="553">
        <v>201.75874811999998</v>
      </c>
      <c r="F36" s="401">
        <f>'Stmts RUS'!E100-'Stmts RUS'!E91</f>
        <v>199.70453746000001</v>
      </c>
      <c r="G36" s="401">
        <f>'Stmts RUS'!S100-'Stmts RUS'!S91</f>
        <v>181.28011094349546</v>
      </c>
      <c r="H36" s="401">
        <f>'Stmts RUS'!AF100-'Stmts RUS'!AF91</f>
        <v>169.53979737726314</v>
      </c>
      <c r="I36" s="401">
        <f>'Stmts RUS'!AG100-'Stmts RUS'!AG91</f>
        <v>178.97279426939582</v>
      </c>
      <c r="J36" s="401">
        <f>'Stmts RUS'!AH100-'Stmts RUS'!AH91</f>
        <v>189.92532367287887</v>
      </c>
      <c r="K36" s="401">
        <f>'Stmts RUS'!AI100-'Stmts RUS'!AI91</f>
        <v>199.47950184287131</v>
      </c>
      <c r="L36" s="401">
        <f>'Stmts RUS'!AJ100-'Stmts RUS'!AJ91</f>
        <v>203.17998967656555</v>
      </c>
      <c r="M36" s="401">
        <f>'Stmts RUS'!AK100-'Stmts RUS'!AK91</f>
        <v>235.3623203752137</v>
      </c>
      <c r="N36" s="401">
        <f>'Stmts RUS'!AL100-'Stmts RUS'!AL91</f>
        <v>247.32521867650684</v>
      </c>
      <c r="O36" s="401">
        <f>'Stmts RUS'!AM100-'Stmts RUS'!AM91</f>
        <v>245.87940801486968</v>
      </c>
      <c r="P36" s="401">
        <f>'Stmts RUS'!AN100-'Stmts RUS'!AN91</f>
        <v>260.98204660747211</v>
      </c>
      <c r="Q36" s="401">
        <f>'Stmts RUS'!AO100-'Stmts RUS'!AO91</f>
        <v>267.54665575746026</v>
      </c>
      <c r="R36" s="401">
        <f>'Stmts RUS'!AP100-'Stmts RUS'!AP91</f>
        <v>275.35247754431867</v>
      </c>
      <c r="S36" s="401">
        <f>'Stmts RUS'!AQ100-'Stmts RUS'!AQ91</f>
        <v>284.73279509628543</v>
      </c>
      <c r="T36" s="409"/>
      <c r="U36" s="409"/>
    </row>
    <row r="37" spans="1:21">
      <c r="A37">
        <f t="shared" si="0"/>
        <v>34</v>
      </c>
      <c r="B37" t="s">
        <v>834</v>
      </c>
      <c r="C37" s="401"/>
      <c r="D37" s="553">
        <v>207.7</v>
      </c>
      <c r="E37" s="553">
        <v>226.22904998999999</v>
      </c>
      <c r="F37" s="401">
        <f>'Stmts RUS'!E91</f>
        <v>226.36892234000001</v>
      </c>
      <c r="G37" s="401">
        <f>'Stmts RUS'!S91</f>
        <v>227.17800578145363</v>
      </c>
      <c r="H37" s="401">
        <f>'Stmts RUS'!AF91</f>
        <v>174.9527607840775</v>
      </c>
      <c r="I37" s="401">
        <f>'Stmts RUS'!AG91</f>
        <v>185.61522799591955</v>
      </c>
      <c r="J37" s="401">
        <f>'Stmts RUS'!AH91</f>
        <v>187.48200217973383</v>
      </c>
      <c r="K37" s="401">
        <f>'Stmts RUS'!AI91</f>
        <v>190.34845259464279</v>
      </c>
      <c r="L37" s="401">
        <f>'Stmts RUS'!AJ91</f>
        <v>200.76319097023728</v>
      </c>
      <c r="M37" s="401">
        <f>'Stmts RUS'!AK91</f>
        <v>307.97091856589566</v>
      </c>
      <c r="N37" s="401">
        <f>'Stmts RUS'!AL91</f>
        <v>345.40002821953414</v>
      </c>
      <c r="O37" s="401">
        <f>'Stmts RUS'!AM91</f>
        <v>356.29797003252077</v>
      </c>
      <c r="P37" s="401">
        <f>'Stmts RUS'!AN91</f>
        <v>374.85082270863444</v>
      </c>
      <c r="Q37" s="401">
        <f>'Stmts RUS'!AO91</f>
        <v>377.31914314574442</v>
      </c>
      <c r="R37" s="401">
        <f>'Stmts RUS'!AP91</f>
        <v>390.83206912535405</v>
      </c>
      <c r="S37" s="401">
        <f>'Stmts RUS'!AQ91</f>
        <v>409.06334441113103</v>
      </c>
      <c r="T37" s="409"/>
      <c r="U37" s="409"/>
    </row>
    <row r="38" spans="1:21">
      <c r="A38">
        <f t="shared" si="0"/>
        <v>35</v>
      </c>
      <c r="B38" t="s">
        <v>835</v>
      </c>
      <c r="C38" s="401"/>
      <c r="D38" s="553">
        <v>46.9</v>
      </c>
      <c r="E38" s="553">
        <v>47.717577519999999</v>
      </c>
      <c r="F38" s="401">
        <f>'Stmts RUS'!E106</f>
        <v>45.96216098</v>
      </c>
      <c r="G38" s="401">
        <f>'Stmts RUS'!S106</f>
        <v>46.954517976903553</v>
      </c>
      <c r="H38" s="401">
        <f>'Stmts RUS'!AF106</f>
        <v>46.093801652515374</v>
      </c>
      <c r="I38" s="401">
        <f>'Stmts RUS'!AG106</f>
        <v>43.572055708914128</v>
      </c>
      <c r="J38" s="401">
        <f>'Stmts RUS'!AH106</f>
        <v>48.598108393158057</v>
      </c>
      <c r="K38" s="401">
        <f>'Stmts RUS'!AI106</f>
        <v>50.028451644952803</v>
      </c>
      <c r="L38" s="401">
        <f>'Stmts RUS'!AJ106</f>
        <v>51.195038527634722</v>
      </c>
      <c r="M38" s="401">
        <f>'Stmts RUS'!AK106</f>
        <v>66.267170593591317</v>
      </c>
      <c r="N38" s="401">
        <f>'Stmts RUS'!AL106</f>
        <v>68.255185711399065</v>
      </c>
      <c r="O38" s="401">
        <f>'Stmts RUS'!AM106</f>
        <v>70.302841282741056</v>
      </c>
      <c r="P38" s="401">
        <f>'Stmts RUS'!AN106</f>
        <v>72.411926521223265</v>
      </c>
      <c r="Q38" s="401">
        <f>'Stmts RUS'!AO106</f>
        <v>74.584284316859979</v>
      </c>
      <c r="R38" s="401">
        <f>'Stmts RUS'!AP106</f>
        <v>76.821812846365759</v>
      </c>
      <c r="S38" s="401">
        <f>'Stmts RUS'!AQ106</f>
        <v>79.12646723175672</v>
      </c>
      <c r="T38" s="409"/>
      <c r="U38" s="409"/>
    </row>
    <row r="39" spans="1:21">
      <c r="A39">
        <f t="shared" si="0"/>
        <v>36</v>
      </c>
      <c r="B39" t="s">
        <v>836</v>
      </c>
      <c r="C39" s="401"/>
      <c r="D39" s="553">
        <v>34.200000000000003</v>
      </c>
      <c r="E39" s="553">
        <v>35.406805679999998</v>
      </c>
      <c r="F39" s="401">
        <f>'Stmts RUS'!E108</f>
        <v>41.0903907</v>
      </c>
      <c r="G39" s="401">
        <f>'Stmts RUS'!S108</f>
        <v>42.314178999999996</v>
      </c>
      <c r="H39" s="401">
        <f>'Stmts RUS'!AF108</f>
        <v>44.909753000000009</v>
      </c>
      <c r="I39" s="401">
        <f>'Stmts RUS'!AG108</f>
        <v>46.846869000000012</v>
      </c>
      <c r="J39" s="401">
        <f>'Stmts RUS'!AH108</f>
        <v>47.799607000000002</v>
      </c>
      <c r="K39" s="401">
        <f>'Stmts RUS'!AI108</f>
        <v>48.651814919685066</v>
      </c>
      <c r="L39" s="401">
        <f>'Stmts RUS'!AJ108</f>
        <v>49.533319153871425</v>
      </c>
      <c r="M39" s="401">
        <f>'Stmts RUS'!AK108</f>
        <v>50.31829091224958</v>
      </c>
      <c r="N39" s="401">
        <f>'Stmts RUS'!AL108</f>
        <v>51.220243133764022</v>
      </c>
      <c r="O39" s="401">
        <f>'Stmts RUS'!AM108</f>
        <v>52.149253921923879</v>
      </c>
      <c r="P39" s="401">
        <f>'Stmts RUS'!AN108</f>
        <v>53.106135033728535</v>
      </c>
      <c r="Q39" s="401">
        <f>'Stmts RUS'!AO108</f>
        <v>54.091722578887349</v>
      </c>
      <c r="R39" s="401">
        <f>'Stmts RUS'!AP108</f>
        <v>55.106877750400926</v>
      </c>
      <c r="S39" s="401">
        <f>'Stmts RUS'!AQ108</f>
        <v>56.152487577059908</v>
      </c>
      <c r="T39" s="409"/>
      <c r="U39" s="409"/>
    </row>
    <row r="40" spans="1:21">
      <c r="A40">
        <f t="shared" si="0"/>
        <v>37</v>
      </c>
      <c r="B40" t="s">
        <v>172</v>
      </c>
      <c r="C40" s="401"/>
      <c r="D40" s="553">
        <v>46.4</v>
      </c>
      <c r="E40" s="553">
        <v>45.166937939999997</v>
      </c>
      <c r="F40" s="401">
        <f>'Stmts RUS'!E110+'Stmts RUS'!E111</f>
        <v>44.266110470000001</v>
      </c>
      <c r="G40" s="401">
        <f>'Stmts RUS'!S110+'Stmts RUS'!S111</f>
        <v>45.532932557961281</v>
      </c>
      <c r="H40" s="401">
        <f>'Stmts RUS'!AF110+'Stmts RUS'!AF111</f>
        <v>45.059651640935812</v>
      </c>
      <c r="I40" s="401">
        <f>'Stmts RUS'!AG110+'Stmts RUS'!AG111</f>
        <v>46.587602568922428</v>
      </c>
      <c r="J40" s="401">
        <f>'Stmts RUS'!AH110+'Stmts RUS'!AH111</f>
        <v>46.360216173825343</v>
      </c>
      <c r="K40" s="401">
        <f>'Stmts RUS'!AI110+'Stmts RUS'!AI111</f>
        <v>45.812415950091719</v>
      </c>
      <c r="L40" s="401">
        <f>'Stmts RUS'!AJ110+'Stmts RUS'!AJ111</f>
        <v>45.285666478899394</v>
      </c>
      <c r="M40" s="401">
        <f>'Stmts RUS'!AK110+'Stmts RUS'!AK111</f>
        <v>44.575689012746956</v>
      </c>
      <c r="N40" s="401">
        <f>'Stmts RUS'!AL110+'Stmts RUS'!AL111</f>
        <v>42.333464219137085</v>
      </c>
      <c r="O40" s="401">
        <f>'Stmts RUS'!AM110+'Stmts RUS'!AM111</f>
        <v>39.666334173187892</v>
      </c>
      <c r="P40" s="401">
        <f>'Stmts RUS'!AN110+'Stmts RUS'!AN111</f>
        <v>37.955593976089602</v>
      </c>
      <c r="Q40" s="401">
        <f>'Stmts RUS'!AO110+'Stmts RUS'!AO111</f>
        <v>37.217835196448021</v>
      </c>
      <c r="R40" s="401">
        <f>'Stmts RUS'!AP110+'Stmts RUS'!AP111</f>
        <v>48.663635817829686</v>
      </c>
      <c r="S40" s="401">
        <f>'Stmts RUS'!AQ110+'Stmts RUS'!AQ111</f>
        <v>46.95336157083257</v>
      </c>
      <c r="T40" s="409"/>
      <c r="U40" s="409"/>
    </row>
    <row r="41" spans="1:21">
      <c r="A41">
        <f t="shared" si="0"/>
        <v>38</v>
      </c>
      <c r="B41" t="s">
        <v>68</v>
      </c>
      <c r="C41" s="402"/>
      <c r="D41" s="552">
        <v>-2.1</v>
      </c>
      <c r="E41" s="552">
        <v>0.10973186000000001</v>
      </c>
      <c r="F41" s="402">
        <f>-SUM('Stmts RUS'!E120:E126)+'Stmts RUS'!E109+'Stmts RUS'!E112+'Stmts RUS'!E114</f>
        <v>-0.32697719999999997</v>
      </c>
      <c r="G41" s="402">
        <f>-SUM('Stmts RUS'!S120:S126)+'Stmts RUS'!S109+'Stmts RUS'!S112+'Stmts RUS'!S114</f>
        <v>-2.7124879428112765</v>
      </c>
      <c r="H41" s="402">
        <f>-SUM('Stmts RUS'!AF120:AF126)+'Stmts RUS'!AF109+'Stmts RUS'!AF112+'Stmts RUS'!AF114</f>
        <v>-4.064035251896394</v>
      </c>
      <c r="I41" s="402">
        <f>-SUM('Stmts RUS'!AG120:AG126)+'Stmts RUS'!AG109+'Stmts RUS'!AG112+'Stmts RUS'!AG114</f>
        <v>-3.9068655196254882</v>
      </c>
      <c r="J41" s="402">
        <f>-SUM('Stmts RUS'!AH120:AH126)+'Stmts RUS'!AH109+'Stmts RUS'!AH112+'Stmts RUS'!AH114</f>
        <v>-3.9092567382470231</v>
      </c>
      <c r="K41" s="402">
        <f>-SUM('Stmts RUS'!AI120:AI126)+'Stmts RUS'!AI109+'Stmts RUS'!AI112+'Stmts RUS'!AI114</f>
        <v>-3.7598571488882899</v>
      </c>
      <c r="L41" s="402">
        <f>-SUM('Stmts RUS'!AJ120:AJ126)+'Stmts RUS'!AJ109+'Stmts RUS'!AJ112+'Stmts RUS'!AJ114</f>
        <v>-3.5953323305488283</v>
      </c>
      <c r="M41" s="402">
        <f>-SUM('Stmts RUS'!AK120:AK126)+'Stmts RUS'!AK109+'Stmts RUS'!AK112+'Stmts RUS'!AK114</f>
        <v>-3.4210998329609876</v>
      </c>
      <c r="N41" s="402">
        <f>-SUM('Stmts RUS'!AL120:AL126)+'Stmts RUS'!AL109+'Stmts RUS'!AL112+'Stmts RUS'!AL114</f>
        <v>-3.221183058069188</v>
      </c>
      <c r="O41" s="402">
        <f>-SUM('Stmts RUS'!AM120:AM126)+'Stmts RUS'!AM109+'Stmts RUS'!AM112+'Stmts RUS'!AM114</f>
        <v>-2.9993895888210726</v>
      </c>
      <c r="P41" s="402">
        <f>-SUM('Stmts RUS'!AN120:AN126)+'Stmts RUS'!AN109+'Stmts RUS'!AN112+'Stmts RUS'!AN114</f>
        <v>-2.7599861560268679</v>
      </c>
      <c r="Q41" s="402">
        <f>-SUM('Stmts RUS'!AO120:AO126)+'Stmts RUS'!AO109+'Stmts RUS'!AO112+'Stmts RUS'!AO114</f>
        <v>-2.5282184860450476</v>
      </c>
      <c r="R41" s="402">
        <f>-SUM('Stmts RUS'!AP120:AP126)+'Stmts RUS'!AP109+'Stmts RUS'!AP112+'Stmts RUS'!AP114</f>
        <v>-2.1738853723784981</v>
      </c>
      <c r="S41" s="402">
        <f>-SUM('Stmts RUS'!AQ120:AQ126)+'Stmts RUS'!AQ109+'Stmts RUS'!AQ112+'Stmts RUS'!AQ114</f>
        <v>-1.8913646444499617</v>
      </c>
      <c r="T41" s="409"/>
      <c r="U41" s="409"/>
    </row>
    <row r="42" spans="1:21">
      <c r="A42">
        <f t="shared" si="0"/>
        <v>39</v>
      </c>
      <c r="B42" s="46" t="s">
        <v>169</v>
      </c>
      <c r="C42" s="401"/>
      <c r="D42" s="401">
        <f>SUM(D36:D41)</f>
        <v>520.29999999999995</v>
      </c>
      <c r="E42" s="401">
        <f>SUM(E36:E41)</f>
        <v>556.38885111000002</v>
      </c>
      <c r="F42" s="401">
        <f t="shared" ref="F42" si="14">SUM(F36:F41)</f>
        <v>557.06514475000006</v>
      </c>
      <c r="G42" s="401">
        <f t="shared" ref="G42:S42" si="15">SUM(G36:G41)</f>
        <v>540.54725831700262</v>
      </c>
      <c r="H42" s="401">
        <f t="shared" si="15"/>
        <v>476.4917292028955</v>
      </c>
      <c r="I42" s="401">
        <f t="shared" si="15"/>
        <v>497.68768402352646</v>
      </c>
      <c r="J42" s="401">
        <f t="shared" si="15"/>
        <v>516.25600068134906</v>
      </c>
      <c r="K42" s="401">
        <f t="shared" si="15"/>
        <v>530.56077980335544</v>
      </c>
      <c r="L42" s="401">
        <f t="shared" si="15"/>
        <v>546.36187247665964</v>
      </c>
      <c r="M42" s="401">
        <f t="shared" si="15"/>
        <v>701.07328962673625</v>
      </c>
      <c r="N42" s="401">
        <f t="shared" si="15"/>
        <v>751.31295690227194</v>
      </c>
      <c r="O42" s="401">
        <f t="shared" si="15"/>
        <v>761.29641783642228</v>
      </c>
      <c r="P42" s="401">
        <f t="shared" si="15"/>
        <v>796.54653869112099</v>
      </c>
      <c r="Q42" s="401">
        <f t="shared" si="15"/>
        <v>808.23142250935507</v>
      </c>
      <c r="R42" s="401">
        <f t="shared" si="15"/>
        <v>844.60298771189059</v>
      </c>
      <c r="S42" s="401">
        <f t="shared" si="15"/>
        <v>874.13709124261572</v>
      </c>
      <c r="T42" s="409"/>
      <c r="U42" s="409"/>
    </row>
    <row r="43" spans="1:21">
      <c r="A43">
        <f t="shared" si="0"/>
        <v>40</v>
      </c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9"/>
      <c r="U43" s="409"/>
    </row>
    <row r="44" spans="1:21" ht="17.25" customHeight="1">
      <c r="A44">
        <f t="shared" si="0"/>
        <v>41</v>
      </c>
      <c r="B44" s="33" t="s">
        <v>837</v>
      </c>
      <c r="C44" s="425"/>
      <c r="D44" s="425">
        <f t="shared" ref="D44:S44" si="16">D34-D42</f>
        <v>7</v>
      </c>
      <c r="E44" s="425">
        <f t="shared" si="16"/>
        <v>5.6003805899999861</v>
      </c>
      <c r="F44" s="425">
        <f t="shared" ref="F44" si="17">F34-F42</f>
        <v>11.277090979999912</v>
      </c>
      <c r="G44" s="425">
        <f t="shared" si="16"/>
        <v>4.9563410876244234</v>
      </c>
      <c r="H44" s="425">
        <f t="shared" si="16"/>
        <v>11.424578880391834</v>
      </c>
      <c r="I44" s="425">
        <f t="shared" si="16"/>
        <v>11.406374047922725</v>
      </c>
      <c r="J44" s="425">
        <f t="shared" si="16"/>
        <v>8.4975233860462822</v>
      </c>
      <c r="K44" s="425">
        <f t="shared" si="16"/>
        <v>6.5520031807885744</v>
      </c>
      <c r="L44" s="425">
        <f t="shared" si="16"/>
        <v>7.165762606039948</v>
      </c>
      <c r="M44" s="425">
        <f t="shared" si="16"/>
        <v>10.926038416876168</v>
      </c>
      <c r="N44" s="425">
        <f t="shared" si="16"/>
        <v>10.3918535025241</v>
      </c>
      <c r="O44" s="425">
        <f t="shared" si="16"/>
        <v>9.7558011372275359</v>
      </c>
      <c r="P44" s="425">
        <f t="shared" si="16"/>
        <v>9.3493954135763033</v>
      </c>
      <c r="Q44" s="425">
        <f t="shared" si="16"/>
        <v>9.1766216743108089</v>
      </c>
      <c r="R44" s="425">
        <f t="shared" si="16"/>
        <v>11.928022102672685</v>
      </c>
      <c r="S44" s="425">
        <f t="shared" si="16"/>
        <v>11.522088045127703</v>
      </c>
      <c r="T44" s="951"/>
      <c r="U44" s="951"/>
    </row>
    <row r="45" spans="1:21" ht="9.75" hidden="1" customHeight="1">
      <c r="A45">
        <f t="shared" si="0"/>
        <v>42</v>
      </c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952"/>
      <c r="U45" s="952"/>
    </row>
    <row r="46" spans="1:21" hidden="1">
      <c r="A46">
        <f t="shared" si="0"/>
        <v>43</v>
      </c>
    </row>
    <row r="47" spans="1:21" hidden="1">
      <c r="A47">
        <f t="shared" si="0"/>
        <v>44</v>
      </c>
    </row>
    <row r="48" spans="1:21" hidden="1">
      <c r="A48">
        <f t="shared" si="0"/>
        <v>45</v>
      </c>
      <c r="B48" s="406" t="s">
        <v>838</v>
      </c>
      <c r="C48" s="406"/>
      <c r="D48" s="406"/>
      <c r="E48" s="406"/>
      <c r="F48" s="406"/>
      <c r="G48" s="407">
        <f t="shared" ref="G48:S48" si="18">G4</f>
        <v>2013</v>
      </c>
      <c r="H48" s="407">
        <f t="shared" si="18"/>
        <v>2014</v>
      </c>
      <c r="I48" s="407">
        <f t="shared" si="18"/>
        <v>2015</v>
      </c>
      <c r="J48" s="407">
        <f t="shared" si="18"/>
        <v>2016</v>
      </c>
      <c r="K48" s="407">
        <f t="shared" si="18"/>
        <v>2017</v>
      </c>
      <c r="L48" s="407">
        <f t="shared" si="18"/>
        <v>2018</v>
      </c>
      <c r="M48" s="407">
        <f t="shared" si="18"/>
        <v>2019</v>
      </c>
      <c r="N48" s="407">
        <f t="shared" si="18"/>
        <v>2020</v>
      </c>
      <c r="O48" s="407">
        <f t="shared" si="18"/>
        <v>2021</v>
      </c>
      <c r="P48" s="407">
        <f t="shared" si="18"/>
        <v>2022</v>
      </c>
      <c r="Q48" s="407">
        <f t="shared" si="18"/>
        <v>2023</v>
      </c>
      <c r="R48" s="407">
        <f t="shared" si="18"/>
        <v>2024</v>
      </c>
      <c r="S48" s="407">
        <f t="shared" si="18"/>
        <v>2025</v>
      </c>
      <c r="T48" s="950"/>
      <c r="U48" s="950"/>
    </row>
    <row r="49" spans="1:21" hidden="1">
      <c r="A49">
        <f t="shared" si="0"/>
        <v>46</v>
      </c>
      <c r="B49" t="s">
        <v>284</v>
      </c>
      <c r="G49" s="64">
        <f>'Stmts RUS'!S202+'Stmts RUS'!S247</f>
        <v>548.79389192614167</v>
      </c>
      <c r="H49" s="64">
        <f>'Stmts RUS'!AF202+'Stmts RUS'!AF247</f>
        <v>492.57252454645021</v>
      </c>
      <c r="I49" s="64">
        <f>'Stmts RUS'!AG202+'Stmts RUS'!AG247</f>
        <v>513.59614760634111</v>
      </c>
      <c r="J49" s="64">
        <f>'Stmts RUS'!AH202+'Stmts RUS'!AH247</f>
        <v>529.10915330453474</v>
      </c>
      <c r="K49" s="64">
        <f>'Stmts RUS'!AI202+'Stmts RUS'!AI247</f>
        <v>541.32113603738526</v>
      </c>
      <c r="L49" s="64">
        <f>'Stmts RUS'!AJ202+'Stmts RUS'!AJ247</f>
        <v>557.5744162888941</v>
      </c>
      <c r="M49" s="64">
        <f>'Stmts RUS'!AK202+'Stmts RUS'!AK247</f>
        <v>716.98817505870352</v>
      </c>
      <c r="N49" s="64">
        <f>'Stmts RUS'!AL202+'Stmts RUS'!AL247</f>
        <v>794.90205449935013</v>
      </c>
      <c r="O49" s="64">
        <f>'Stmts RUS'!AM202+'Stmts RUS'!AM247</f>
        <v>788.48065035107641</v>
      </c>
      <c r="P49" s="64">
        <f>'Stmts RUS'!AN202+'Stmts RUS'!AN247</f>
        <v>811.35824502314381</v>
      </c>
      <c r="Q49" s="64">
        <f>'Stmts RUS'!AO202+'Stmts RUS'!AO247</f>
        <v>809.73533300401107</v>
      </c>
      <c r="R49" s="64">
        <f>'Stmts RUS'!AP202+'Stmts RUS'!AP247</f>
        <v>849.95187824360085</v>
      </c>
      <c r="S49" s="64">
        <f>'Stmts RUS'!AQ202+'Stmts RUS'!AQ247</f>
        <v>881.29913034732715</v>
      </c>
      <c r="T49" s="364"/>
      <c r="U49" s="364"/>
    </row>
    <row r="50" spans="1:21" hidden="1">
      <c r="A50">
        <f t="shared" si="0"/>
        <v>47</v>
      </c>
      <c r="B50" t="s">
        <v>291</v>
      </c>
      <c r="G50" s="65">
        <f>'Stmts RUS'!S215+'Stmts RUS'!S226</f>
        <v>469.02734090788221</v>
      </c>
      <c r="H50" s="65">
        <f>'Stmts RUS'!AF215+'Stmts RUS'!AF226</f>
        <v>386.21296841319514</v>
      </c>
      <c r="I50" s="65">
        <f>'Stmts RUS'!AG215+'Stmts RUS'!AG226</f>
        <v>402.79402686140645</v>
      </c>
      <c r="J50" s="65">
        <f>'Stmts RUS'!AH215+'Stmts RUS'!AH226</f>
        <v>419.73552612475237</v>
      </c>
      <c r="K50" s="65">
        <f>'Stmts RUS'!AI215+'Stmts RUS'!AI226</f>
        <v>436.36814938975755</v>
      </c>
      <c r="L50" s="65">
        <f>'Stmts RUS'!AJ215+'Stmts RUS'!AJ226</f>
        <v>451.92449167122544</v>
      </c>
      <c r="M50" s="65">
        <f>'Stmts RUS'!AK215+'Stmts RUS'!AK226</f>
        <v>611.01091022213473</v>
      </c>
      <c r="N50" s="65">
        <f>'Stmts RUS'!AL215+'Stmts RUS'!AL226</f>
        <v>659.5541945200564</v>
      </c>
      <c r="O50" s="65">
        <f>'Stmts RUS'!AM215+'Stmts RUS'!AM226</f>
        <v>669.02595485996687</v>
      </c>
      <c r="P50" s="65">
        <f>'Stmts RUS'!AN215+'Stmts RUS'!AN226</f>
        <v>705.64949286093031</v>
      </c>
      <c r="Q50" s="65">
        <f>'Stmts RUS'!AO215+'Stmts RUS'!AO226</f>
        <v>716.35708231412207</v>
      </c>
      <c r="R50" s="65">
        <f>'Stmts RUS'!AP215+'Stmts RUS'!AP226</f>
        <v>740.54200456238573</v>
      </c>
      <c r="S50" s="65">
        <f>'Stmts RUS'!AQ215+'Stmts RUS'!AQ226</f>
        <v>771.98046009031191</v>
      </c>
      <c r="T50" s="364"/>
      <c r="U50" s="364"/>
    </row>
    <row r="51" spans="1:21" hidden="1">
      <c r="A51">
        <f t="shared" si="0"/>
        <v>48</v>
      </c>
      <c r="B51" s="46" t="s">
        <v>840</v>
      </c>
      <c r="C51" s="46"/>
      <c r="D51" s="46"/>
      <c r="E51" s="46"/>
      <c r="F51" s="46"/>
      <c r="G51" s="64">
        <f t="shared" ref="G51:S51" si="19">G49-G50</f>
        <v>79.766551018259463</v>
      </c>
      <c r="H51" s="64">
        <f t="shared" si="19"/>
        <v>106.35955613325507</v>
      </c>
      <c r="I51" s="64">
        <f t="shared" si="19"/>
        <v>110.80212074493465</v>
      </c>
      <c r="J51" s="64">
        <f t="shared" si="19"/>
        <v>109.37362717978237</v>
      </c>
      <c r="K51" s="64">
        <f t="shared" si="19"/>
        <v>104.95298664762771</v>
      </c>
      <c r="L51" s="64">
        <f t="shared" si="19"/>
        <v>105.64992461766866</v>
      </c>
      <c r="M51" s="64">
        <f t="shared" si="19"/>
        <v>105.97726483656879</v>
      </c>
      <c r="N51" s="64">
        <f t="shared" si="19"/>
        <v>135.34785997929373</v>
      </c>
      <c r="O51" s="64">
        <f t="shared" si="19"/>
        <v>119.45469549110953</v>
      </c>
      <c r="P51" s="64">
        <f t="shared" si="19"/>
        <v>105.7087521622135</v>
      </c>
      <c r="Q51" s="64">
        <f t="shared" si="19"/>
        <v>93.378250689889001</v>
      </c>
      <c r="R51" s="64">
        <f t="shared" si="19"/>
        <v>109.40987368121512</v>
      </c>
      <c r="S51" s="64">
        <f t="shared" si="19"/>
        <v>109.31867025701524</v>
      </c>
      <c r="T51" s="364"/>
      <c r="U51" s="364"/>
    </row>
    <row r="52" spans="1:21" hidden="1">
      <c r="A52">
        <f t="shared" si="0"/>
        <v>49</v>
      </c>
      <c r="B52" s="46"/>
      <c r="C52" s="46"/>
      <c r="D52" s="46"/>
      <c r="E52" s="46"/>
      <c r="F52" s="46"/>
      <c r="G52" s="64"/>
    </row>
    <row r="53" spans="1:21" hidden="1">
      <c r="A53">
        <f t="shared" si="0"/>
        <v>50</v>
      </c>
      <c r="B53" t="s">
        <v>299</v>
      </c>
      <c r="G53" s="64">
        <f>'Stmts RUS'!S224</f>
        <v>79.139809999999983</v>
      </c>
      <c r="H53" s="64">
        <f>'Stmts RUS'!AF224</f>
        <v>74.502876000000015</v>
      </c>
      <c r="I53" s="64">
        <f>'Stmts RUS'!AG224</f>
        <v>47.614514999999997</v>
      </c>
      <c r="J53" s="64">
        <f>'Stmts RUS'!AH224</f>
        <v>38.002017000000002</v>
      </c>
      <c r="K53" s="64">
        <f>'Stmts RUS'!AI224</f>
        <v>39.142077509999993</v>
      </c>
      <c r="L53" s="64">
        <f>'Stmts RUS'!AJ224</f>
        <v>40.316339835300006</v>
      </c>
      <c r="M53" s="64">
        <f>'Stmts RUS'!AK224</f>
        <v>52.58320374940233</v>
      </c>
      <c r="N53" s="64">
        <f>'Stmts RUS'!AL224</f>
        <v>54.16069986188441</v>
      </c>
      <c r="O53" s="64">
        <f>'Stmts RUS'!AM224</f>
        <v>55.785520857740934</v>
      </c>
      <c r="P53" s="64">
        <f>'Stmts RUS'!AN224</f>
        <v>57.459086483473172</v>
      </c>
      <c r="Q53" s="64">
        <f>'Stmts RUS'!AO224</f>
        <v>59.182859077977355</v>
      </c>
      <c r="R53" s="64">
        <f>'Stmts RUS'!AP224</f>
        <v>60.958344850316685</v>
      </c>
      <c r="S53" s="64">
        <f>'Stmts RUS'!AQ224</f>
        <v>62.78709519582619</v>
      </c>
      <c r="T53" s="364"/>
      <c r="U53" s="364"/>
    </row>
    <row r="54" spans="1:21" hidden="1">
      <c r="A54">
        <f t="shared" si="0"/>
        <v>51</v>
      </c>
      <c r="G54" s="64"/>
    </row>
    <row r="55" spans="1:21" hidden="1">
      <c r="A55">
        <f t="shared" si="0"/>
        <v>52</v>
      </c>
      <c r="B55" t="s">
        <v>304</v>
      </c>
    </row>
    <row r="56" spans="1:21" hidden="1">
      <c r="A56">
        <f t="shared" si="0"/>
        <v>53</v>
      </c>
      <c r="B56" s="46" t="s">
        <v>305</v>
      </c>
      <c r="C56" s="46"/>
      <c r="D56" s="46"/>
      <c r="E56" s="46"/>
      <c r="F56" s="46"/>
      <c r="G56" s="64">
        <f>'Stmts RUS'!S231</f>
        <v>-10.218536996042083</v>
      </c>
      <c r="H56" s="64">
        <f>'Stmts RUS'!AF231</f>
        <v>-5.6275931800000007</v>
      </c>
      <c r="I56" s="64">
        <f>'Stmts RUS'!AG231</f>
        <v>22.902846010000001</v>
      </c>
      <c r="J56" s="64">
        <f>'Stmts RUS'!AH231</f>
        <v>25.221311457787145</v>
      </c>
      <c r="K56" s="64">
        <f>'Stmts RUS'!AI231</f>
        <v>26.252561599620762</v>
      </c>
      <c r="L56" s="64">
        <f>'Stmts RUS'!AJ231</f>
        <v>27.342434175909379</v>
      </c>
      <c r="M56" s="64">
        <f>'Stmts RUS'!AK231</f>
        <v>30.888791945786455</v>
      </c>
      <c r="N56" s="64">
        <f>'Stmts RUS'!AL231</f>
        <v>73.329009690060232</v>
      </c>
      <c r="O56" s="64">
        <f>'Stmts RUS'!AM231</f>
        <v>65.451012784862058</v>
      </c>
      <c r="P56" s="64">
        <f>'Stmts RUS'!AN231</f>
        <v>32.459805716307926</v>
      </c>
      <c r="Q56" s="64">
        <f>'Stmts RUS'!AO231</f>
        <v>-166.05495494380284</v>
      </c>
      <c r="R56" s="64">
        <f>'Stmts RUS'!AP231</f>
        <v>35.508285738783094</v>
      </c>
      <c r="S56" s="64">
        <f>'Stmts RUS'!AQ231</f>
        <v>37.162457318646581</v>
      </c>
      <c r="T56" s="364"/>
      <c r="U56" s="364"/>
    </row>
    <row r="57" spans="1:21" hidden="1">
      <c r="A57">
        <f t="shared" si="0"/>
        <v>54</v>
      </c>
      <c r="B57" s="46" t="s">
        <v>306</v>
      </c>
      <c r="C57" s="46"/>
      <c r="D57" s="46"/>
      <c r="E57" s="46"/>
      <c r="F57" s="46"/>
      <c r="G57" s="64">
        <f>'Stmts RUS'!S232</f>
        <v>38.471624095219923</v>
      </c>
      <c r="H57" s="64">
        <f>'Stmts RUS'!AF232</f>
        <v>39.064782170136986</v>
      </c>
      <c r="I57" s="64">
        <f>'Stmts RUS'!AG232</f>
        <v>38.406000359999993</v>
      </c>
      <c r="J57" s="64">
        <f>'Stmts RUS'!AH232</f>
        <v>37.562512039999994</v>
      </c>
      <c r="K57" s="64">
        <f>'Stmts RUS'!AI232</f>
        <v>36.43309545816637</v>
      </c>
      <c r="L57" s="64">
        <f>'Stmts RUS'!AJ232</f>
        <v>35.344711461877765</v>
      </c>
      <c r="M57" s="64">
        <f>'Stmts RUS'!AK232</f>
        <v>34.206043962000479</v>
      </c>
      <c r="N57" s="64">
        <f>'Stmts RUS'!AL232</f>
        <v>31.984261467726895</v>
      </c>
      <c r="O57" s="64">
        <f>'Stmts RUS'!AM232</f>
        <v>28.016451532925061</v>
      </c>
      <c r="P57" s="64">
        <f>'Stmts RUS'!AN232</f>
        <v>25.600545811479218</v>
      </c>
      <c r="Q57" s="64">
        <f>'Stmts RUS'!AO232</f>
        <v>24.114480941589989</v>
      </c>
      <c r="R57" s="64">
        <f>'Stmts RUS'!AP232</f>
        <v>49.31718226700405</v>
      </c>
      <c r="S57" s="64">
        <f>'Stmts RUS'!AQ232</f>
        <v>47.628552997140552</v>
      </c>
      <c r="T57" s="364"/>
      <c r="U57" s="364"/>
    </row>
    <row r="58" spans="1:21" hidden="1">
      <c r="A58">
        <f t="shared" si="0"/>
        <v>55</v>
      </c>
      <c r="B58" s="46" t="s">
        <v>839</v>
      </c>
      <c r="C58" s="46"/>
      <c r="D58" s="46"/>
      <c r="E58" s="46"/>
      <c r="F58" s="46"/>
      <c r="G58" s="65">
        <f>'Stmts RUS'!S233</f>
        <v>1.42</v>
      </c>
      <c r="H58" s="65">
        <f>'Stmts RUS'!AF233</f>
        <v>0.02</v>
      </c>
      <c r="I58" s="65">
        <f>'Stmts RUS'!AG233</f>
        <v>0.02</v>
      </c>
      <c r="J58" s="65">
        <f>'Stmts RUS'!AH233</f>
        <v>0</v>
      </c>
      <c r="K58" s="65">
        <f>'Stmts RUS'!AI233</f>
        <v>0</v>
      </c>
      <c r="L58" s="65">
        <f>'Stmts RUS'!AJ233</f>
        <v>0</v>
      </c>
      <c r="M58" s="65">
        <f>'Stmts RUS'!AK233</f>
        <v>0</v>
      </c>
      <c r="N58" s="65">
        <f>'Stmts RUS'!AL233</f>
        <v>0</v>
      </c>
      <c r="O58" s="65">
        <f>'Stmts RUS'!AM233</f>
        <v>0</v>
      </c>
      <c r="P58" s="65">
        <f>'Stmts RUS'!AN233</f>
        <v>0</v>
      </c>
      <c r="Q58" s="65">
        <f>'Stmts RUS'!AO233</f>
        <v>5.7918933448999992</v>
      </c>
      <c r="R58" s="65">
        <f>'Stmts RUS'!AP233</f>
        <v>0</v>
      </c>
      <c r="S58" s="65">
        <f>'Stmts RUS'!AQ233</f>
        <v>0</v>
      </c>
      <c r="T58" s="364"/>
      <c r="U58" s="364"/>
    </row>
    <row r="59" spans="1:21" hidden="1">
      <c r="A59">
        <f t="shared" si="0"/>
        <v>56</v>
      </c>
      <c r="B59" s="48" t="s">
        <v>841</v>
      </c>
      <c r="C59" s="48"/>
      <c r="D59" s="48"/>
      <c r="E59" s="48"/>
      <c r="F59" s="48"/>
      <c r="G59" s="64">
        <f t="shared" ref="G59:S59" si="20">SUM(G56:G58)</f>
        <v>29.673087099177842</v>
      </c>
      <c r="H59" s="64">
        <f t="shared" si="20"/>
        <v>33.457188990136991</v>
      </c>
      <c r="I59" s="64">
        <f t="shared" si="20"/>
        <v>61.328846370000001</v>
      </c>
      <c r="J59" s="64">
        <f t="shared" si="20"/>
        <v>62.783823497787139</v>
      </c>
      <c r="K59" s="64">
        <f t="shared" si="20"/>
        <v>62.685657057787132</v>
      </c>
      <c r="L59" s="64">
        <f t="shared" si="20"/>
        <v>62.68714563778714</v>
      </c>
      <c r="M59" s="64">
        <f t="shared" si="20"/>
        <v>65.09483590778693</v>
      </c>
      <c r="N59" s="64">
        <f t="shared" si="20"/>
        <v>105.31327115778713</v>
      </c>
      <c r="O59" s="64">
        <f t="shared" si="20"/>
        <v>93.467464317787119</v>
      </c>
      <c r="P59" s="64">
        <f t="shared" si="20"/>
        <v>58.060351527787148</v>
      </c>
      <c r="Q59" s="64">
        <f t="shared" si="20"/>
        <v>-136.14858065731286</v>
      </c>
      <c r="R59" s="64">
        <f t="shared" si="20"/>
        <v>84.825468005787144</v>
      </c>
      <c r="S59" s="64">
        <f t="shared" si="20"/>
        <v>84.791010315787133</v>
      </c>
      <c r="T59" s="364"/>
      <c r="U59" s="364"/>
    </row>
    <row r="60" spans="1:21" hidden="1">
      <c r="A60">
        <f t="shared" si="0"/>
        <v>57</v>
      </c>
    </row>
    <row r="61" spans="1:21" hidden="1">
      <c r="A61">
        <f t="shared" si="0"/>
        <v>58</v>
      </c>
      <c r="B61" s="266" t="s">
        <v>842</v>
      </c>
      <c r="C61" s="266"/>
      <c r="D61" s="266"/>
      <c r="E61" s="266"/>
      <c r="F61" s="266"/>
      <c r="G61" s="426">
        <f t="shared" ref="G61:S61" si="21">G51-G53-G59</f>
        <v>-29.046346080918362</v>
      </c>
      <c r="H61" s="426">
        <f t="shared" si="21"/>
        <v>-1.6005088568819374</v>
      </c>
      <c r="I61" s="426">
        <f t="shared" si="21"/>
        <v>1.8587593749346567</v>
      </c>
      <c r="J61" s="426">
        <f t="shared" si="21"/>
        <v>8.5877866819952402</v>
      </c>
      <c r="K61" s="426">
        <f t="shared" si="21"/>
        <v>3.1252520798405854</v>
      </c>
      <c r="L61" s="426">
        <f t="shared" si="21"/>
        <v>2.646439144581521</v>
      </c>
      <c r="M61" s="426">
        <f t="shared" si="21"/>
        <v>-11.700774820620467</v>
      </c>
      <c r="N61" s="426">
        <f t="shared" si="21"/>
        <v>-24.126111040377808</v>
      </c>
      <c r="O61" s="426">
        <f t="shared" si="21"/>
        <v>-29.798289684418521</v>
      </c>
      <c r="P61" s="426">
        <f t="shared" si="21"/>
        <v>-9.8106858490468198</v>
      </c>
      <c r="Q61" s="426">
        <f t="shared" si="21"/>
        <v>170.34397226922451</v>
      </c>
      <c r="R61" s="426">
        <f t="shared" si="21"/>
        <v>-36.373939174888712</v>
      </c>
      <c r="S61" s="426">
        <f t="shared" si="21"/>
        <v>-38.259435254598081</v>
      </c>
      <c r="T61" s="953"/>
      <c r="U61" s="953"/>
    </row>
    <row r="62" spans="1:21" hidden="1">
      <c r="A62">
        <f t="shared" si="0"/>
        <v>59</v>
      </c>
      <c r="B62" s="266" t="s">
        <v>843</v>
      </c>
      <c r="C62" s="266"/>
      <c r="D62" s="266"/>
      <c r="E62" s="266"/>
      <c r="F62" s="266"/>
      <c r="G62" s="426">
        <f>'Stmts RUS'!E249</f>
        <v>145.18144745000001</v>
      </c>
      <c r="H62" s="426">
        <f t="shared" ref="H62:S62" si="22">G63</f>
        <v>116.13510136908164</v>
      </c>
      <c r="I62" s="426">
        <f t="shared" si="22"/>
        <v>114.53459251219971</v>
      </c>
      <c r="J62" s="426">
        <f t="shared" si="22"/>
        <v>116.39335188713437</v>
      </c>
      <c r="K62" s="426">
        <f t="shared" si="22"/>
        <v>124.98113856912961</v>
      </c>
      <c r="L62" s="426">
        <f t="shared" si="22"/>
        <v>128.1063906489702</v>
      </c>
      <c r="M62" s="426">
        <f t="shared" si="22"/>
        <v>130.75282979355171</v>
      </c>
      <c r="N62" s="426">
        <f t="shared" si="22"/>
        <v>119.05205497293124</v>
      </c>
      <c r="O62" s="426">
        <f t="shared" si="22"/>
        <v>94.925943932553437</v>
      </c>
      <c r="P62" s="426">
        <f t="shared" si="22"/>
        <v>65.127654248134917</v>
      </c>
      <c r="Q62" s="426">
        <f t="shared" si="22"/>
        <v>55.316968399088097</v>
      </c>
      <c r="R62" s="426">
        <f t="shared" si="22"/>
        <v>225.66094066831261</v>
      </c>
      <c r="S62" s="426">
        <f t="shared" si="22"/>
        <v>189.2870014934239</v>
      </c>
      <c r="T62" s="953"/>
      <c r="U62" s="953"/>
    </row>
    <row r="63" spans="1:21" hidden="1">
      <c r="A63">
        <f t="shared" si="0"/>
        <v>60</v>
      </c>
      <c r="B63" s="50" t="s">
        <v>844</v>
      </c>
      <c r="C63" s="50"/>
      <c r="D63" s="50"/>
      <c r="E63" s="50"/>
      <c r="F63" s="50"/>
      <c r="G63" s="426">
        <f t="shared" ref="G63:S63" si="23">G62+G61</f>
        <v>116.13510136908164</v>
      </c>
      <c r="H63" s="426">
        <f t="shared" si="23"/>
        <v>114.53459251219971</v>
      </c>
      <c r="I63" s="426">
        <f>I62+I61</f>
        <v>116.39335188713437</v>
      </c>
      <c r="J63" s="426">
        <f t="shared" si="23"/>
        <v>124.98113856912961</v>
      </c>
      <c r="K63" s="426">
        <f t="shared" si="23"/>
        <v>128.1063906489702</v>
      </c>
      <c r="L63" s="426">
        <f t="shared" si="23"/>
        <v>130.75282979355171</v>
      </c>
      <c r="M63" s="426">
        <f t="shared" si="23"/>
        <v>119.05205497293124</v>
      </c>
      <c r="N63" s="426">
        <f t="shared" si="23"/>
        <v>94.925943932553437</v>
      </c>
      <c r="O63" s="426">
        <f t="shared" si="23"/>
        <v>65.127654248134917</v>
      </c>
      <c r="P63" s="426">
        <f t="shared" si="23"/>
        <v>55.316968399088097</v>
      </c>
      <c r="Q63" s="426">
        <f t="shared" si="23"/>
        <v>225.66094066831261</v>
      </c>
      <c r="R63" s="426">
        <f t="shared" si="23"/>
        <v>189.2870014934239</v>
      </c>
      <c r="S63" s="426">
        <f t="shared" si="23"/>
        <v>151.02756623882581</v>
      </c>
      <c r="T63" s="953"/>
      <c r="U63" s="953"/>
    </row>
    <row r="64" spans="1:21">
      <c r="A64">
        <f t="shared" si="0"/>
        <v>61</v>
      </c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939"/>
      <c r="U64" s="939"/>
    </row>
    <row r="65" spans="1:21">
      <c r="A65">
        <f t="shared" si="0"/>
        <v>62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939"/>
      <c r="U65" s="939"/>
    </row>
    <row r="66" spans="1:21">
      <c r="A66">
        <f t="shared" si="0"/>
        <v>63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939"/>
      <c r="U66" s="939"/>
    </row>
    <row r="67" spans="1:21">
      <c r="A67">
        <f t="shared" si="0"/>
        <v>64</v>
      </c>
      <c r="B67" s="406" t="s">
        <v>14</v>
      </c>
      <c r="C67" s="407"/>
      <c r="D67" s="407">
        <f t="shared" ref="D67:S67" si="24">D4</f>
        <v>2010</v>
      </c>
      <c r="E67" s="407">
        <f t="shared" si="24"/>
        <v>2011</v>
      </c>
      <c r="F67" s="407">
        <f t="shared" si="24"/>
        <v>2012</v>
      </c>
      <c r="G67" s="407">
        <f t="shared" si="24"/>
        <v>2013</v>
      </c>
      <c r="H67" s="407">
        <f t="shared" si="24"/>
        <v>2014</v>
      </c>
      <c r="I67" s="407">
        <f t="shared" si="24"/>
        <v>2015</v>
      </c>
      <c r="J67" s="407">
        <f t="shared" si="24"/>
        <v>2016</v>
      </c>
      <c r="K67" s="407">
        <f t="shared" si="24"/>
        <v>2017</v>
      </c>
      <c r="L67" s="407">
        <f t="shared" si="24"/>
        <v>2018</v>
      </c>
      <c r="M67" s="407">
        <f t="shared" si="24"/>
        <v>2019</v>
      </c>
      <c r="N67" s="407">
        <f t="shared" si="24"/>
        <v>2020</v>
      </c>
      <c r="O67" s="407">
        <f t="shared" si="24"/>
        <v>2021</v>
      </c>
      <c r="P67" s="407">
        <f t="shared" si="24"/>
        <v>2022</v>
      </c>
      <c r="Q67" s="407">
        <f t="shared" si="24"/>
        <v>2023</v>
      </c>
      <c r="R67" s="407">
        <f t="shared" si="24"/>
        <v>2024</v>
      </c>
      <c r="S67" s="407">
        <f t="shared" si="24"/>
        <v>2025</v>
      </c>
      <c r="T67" s="950"/>
      <c r="U67" s="950"/>
    </row>
    <row r="68" spans="1:21">
      <c r="A68">
        <f t="shared" si="0"/>
        <v>65</v>
      </c>
      <c r="B68" s="33" t="s">
        <v>328</v>
      </c>
    </row>
    <row r="69" spans="1:21">
      <c r="A69">
        <f t="shared" si="0"/>
        <v>66</v>
      </c>
      <c r="B69" t="s">
        <v>15</v>
      </c>
      <c r="C69" s="401"/>
      <c r="D69" s="553">
        <v>6.9909153500000309</v>
      </c>
      <c r="E69" s="553">
        <v>4.0778805899999906</v>
      </c>
      <c r="F69" s="401">
        <f>'Stmts RUS'!E304</f>
        <v>12.276606840000001</v>
      </c>
      <c r="G69" s="401">
        <f>'Stmts RUS'!S304</f>
        <v>4.9563410876243665</v>
      </c>
      <c r="H69" s="401">
        <f>'Stmts RUS'!AF304</f>
        <v>11.424578880391895</v>
      </c>
      <c r="I69" s="401">
        <f>'Stmts RUS'!AG304</f>
        <v>11.406374047922721</v>
      </c>
      <c r="J69" s="401">
        <f>'Stmts RUS'!AH304</f>
        <v>8.4975233860462787</v>
      </c>
      <c r="K69" s="401">
        <f>'Stmts RUS'!AI304</f>
        <v>6.5520031807886649</v>
      </c>
      <c r="L69" s="401">
        <f>'Stmts RUS'!AJ304</f>
        <v>7.1657626060400208</v>
      </c>
      <c r="M69" s="401">
        <f>'Stmts RUS'!AK304</f>
        <v>10.926038416876215</v>
      </c>
      <c r="N69" s="401">
        <f>'Stmts RUS'!AL304</f>
        <v>10.391853502524167</v>
      </c>
      <c r="O69" s="401">
        <f>'Stmts RUS'!AM304</f>
        <v>9.7558011372276834</v>
      </c>
      <c r="P69" s="401">
        <f>'Stmts RUS'!AN304</f>
        <v>9.3493954135762216</v>
      </c>
      <c r="Q69" s="401">
        <f>'Stmts RUS'!AO304</f>
        <v>9.1766216743108533</v>
      </c>
      <c r="R69" s="401">
        <f>'Stmts RUS'!AP304</f>
        <v>11.928022102672639</v>
      </c>
      <c r="S69" s="401">
        <f>'Stmts RUS'!AQ304</f>
        <v>11.522088045127777</v>
      </c>
      <c r="T69" s="409"/>
      <c r="U69" s="409"/>
    </row>
    <row r="70" spans="1:21">
      <c r="A70">
        <f t="shared" ref="A70:A133" si="25">A69+1</f>
        <v>67</v>
      </c>
      <c r="B70" t="s">
        <v>172</v>
      </c>
      <c r="C70" s="401"/>
      <c r="D70" s="553">
        <v>47.064225999999998</v>
      </c>
      <c r="E70" s="553">
        <v>47.237643939999998</v>
      </c>
      <c r="F70" s="401">
        <f>'Stmts RUS'!E305</f>
        <v>46.19539949</v>
      </c>
      <c r="G70" s="401">
        <f>'Stmts RUS'!S305</f>
        <v>46.305676557961284</v>
      </c>
      <c r="H70" s="401">
        <f>'Stmts RUS'!AF305</f>
        <v>47.162884640935815</v>
      </c>
      <c r="I70" s="401">
        <f>'Stmts RUS'!AG305</f>
        <v>47.086316568922427</v>
      </c>
      <c r="J70" s="401">
        <f>'Stmts RUS'!AH305</f>
        <v>46.728476173825342</v>
      </c>
      <c r="K70" s="401">
        <f>'Stmts RUS'!AI305</f>
        <v>46.187527526229218</v>
      </c>
      <c r="L70" s="401">
        <f>'Stmts RUS'!AJ305</f>
        <v>45.672031402321018</v>
      </c>
      <c r="M70" s="401">
        <f>'Stmts RUS'!AK305</f>
        <v>45.079611382012061</v>
      </c>
      <c r="N70" s="401">
        <f>'Stmts RUS'!AL305</f>
        <v>42.852504259480142</v>
      </c>
      <c r="O70" s="401">
        <f>'Stmts RUS'!AM305</f>
        <v>40.200945414741241</v>
      </c>
      <c r="P70" s="401">
        <f>'Stmts RUS'!AN305</f>
        <v>38.506243554889551</v>
      </c>
      <c r="Q70" s="401">
        <f>'Stmts RUS'!AO305</f>
        <v>37.78500426261197</v>
      </c>
      <c r="R70" s="401">
        <f>'Stmts RUS'!AP305</f>
        <v>49.247819955978557</v>
      </c>
      <c r="S70" s="401">
        <f>'Stmts RUS'!AQ305</f>
        <v>47.555071233125901</v>
      </c>
      <c r="T70" s="409"/>
      <c r="U70" s="409"/>
    </row>
    <row r="71" spans="1:21">
      <c r="A71">
        <f t="shared" si="25"/>
        <v>68</v>
      </c>
      <c r="B71" t="s">
        <v>16</v>
      </c>
      <c r="C71" s="402"/>
      <c r="D71" s="552">
        <v>-0.2658855</v>
      </c>
      <c r="E71" s="552">
        <v>-6.1538450000000001E-2</v>
      </c>
      <c r="F71" s="402">
        <f>'Stmts RUS'!E308</f>
        <v>-1.18971096</v>
      </c>
      <c r="G71" s="402">
        <f>'Stmts RUS'!S308</f>
        <v>-0.10517062054690642</v>
      </c>
      <c r="H71" s="402">
        <f>'Stmts RUS'!AF308</f>
        <v>-0.10548656656732928</v>
      </c>
      <c r="I71" s="402">
        <f>'Stmts RUS'!AG308</f>
        <v>-0.10565807138134271</v>
      </c>
      <c r="J71" s="402">
        <f>'Stmts RUS'!AH308</f>
        <v>-0.10597504559548673</v>
      </c>
      <c r="K71" s="402">
        <f>'Stmts RUS'!AI308</f>
        <v>-0.10629297073227319</v>
      </c>
      <c r="L71" s="402">
        <f>'Stmts RUS'!AJ308</f>
        <v>-0.10661184964447003</v>
      </c>
      <c r="M71" s="402">
        <f>'Stmts RUS'!AK308</f>
        <v>-0.10693168519340344</v>
      </c>
      <c r="N71" s="402">
        <f>'Stmts RUS'!AL308</f>
        <v>-0.10725248024898365</v>
      </c>
      <c r="O71" s="402">
        <f>'Stmts RUS'!AM308</f>
        <v>-0.1075742376897306</v>
      </c>
      <c r="P71" s="402">
        <f>'Stmts RUS'!AN308</f>
        <v>-0.10789696040279979</v>
      </c>
      <c r="Q71" s="402">
        <f>'Stmts RUS'!AO308</f>
        <v>-0.10822065128400818</v>
      </c>
      <c r="R71" s="402">
        <f>'Stmts RUS'!AP308</f>
        <v>-0.10854531323786021</v>
      </c>
      <c r="S71" s="402">
        <f>'Stmts RUS'!AQ308</f>
        <v>-0.10887094917757378</v>
      </c>
      <c r="T71" s="409"/>
      <c r="U71" s="409"/>
    </row>
    <row r="72" spans="1:21">
      <c r="A72">
        <f t="shared" si="25"/>
        <v>69</v>
      </c>
      <c r="B72" s="46" t="s">
        <v>17</v>
      </c>
      <c r="C72" s="404"/>
      <c r="D72" s="404">
        <f>SUM(D69:D71)</f>
        <v>53.789255850000025</v>
      </c>
      <c r="E72" s="404">
        <f>SUM(E69:E71)</f>
        <v>51.25398607999999</v>
      </c>
      <c r="F72" s="404">
        <f t="shared" ref="F72:S72" si="26">SUM(F69:F71)</f>
        <v>57.28229537</v>
      </c>
      <c r="G72" s="404">
        <f t="shared" si="26"/>
        <v>51.156847025038743</v>
      </c>
      <c r="H72" s="404">
        <f t="shared" si="26"/>
        <v>58.481976954760377</v>
      </c>
      <c r="I72" s="404">
        <f t="shared" si="26"/>
        <v>58.387032545463811</v>
      </c>
      <c r="J72" s="404">
        <f t="shared" si="26"/>
        <v>55.120024514276139</v>
      </c>
      <c r="K72" s="404">
        <f t="shared" si="26"/>
        <v>52.633237736285608</v>
      </c>
      <c r="L72" s="404">
        <f t="shared" si="26"/>
        <v>52.731182158716564</v>
      </c>
      <c r="M72" s="404">
        <f t="shared" si="26"/>
        <v>55.898718113694876</v>
      </c>
      <c r="N72" s="404">
        <f t="shared" si="26"/>
        <v>53.137105281755332</v>
      </c>
      <c r="O72" s="404">
        <f t="shared" si="26"/>
        <v>49.849172314279194</v>
      </c>
      <c r="P72" s="404">
        <f t="shared" si="26"/>
        <v>47.747742008062971</v>
      </c>
      <c r="Q72" s="404">
        <f t="shared" si="26"/>
        <v>46.853405285638814</v>
      </c>
      <c r="R72" s="404">
        <f t="shared" si="26"/>
        <v>61.067296745413337</v>
      </c>
      <c r="S72" s="404">
        <f t="shared" si="26"/>
        <v>58.968288329076103</v>
      </c>
      <c r="T72" s="409"/>
      <c r="U72" s="409"/>
    </row>
    <row r="73" spans="1:21">
      <c r="A73">
        <f t="shared" si="25"/>
        <v>70</v>
      </c>
      <c r="B73" t="s">
        <v>20</v>
      </c>
      <c r="C73" s="404"/>
      <c r="D73" s="557">
        <v>47.064225999999998</v>
      </c>
      <c r="E73" s="557">
        <v>47.237643939999998</v>
      </c>
      <c r="F73" s="404">
        <f t="shared" ref="F73:S73" si="27">F70</f>
        <v>46.19539949</v>
      </c>
      <c r="G73" s="404">
        <f t="shared" si="27"/>
        <v>46.305676557961284</v>
      </c>
      <c r="H73" s="404">
        <f t="shared" si="27"/>
        <v>47.162884640935815</v>
      </c>
      <c r="I73" s="404">
        <f t="shared" si="27"/>
        <v>47.086316568922427</v>
      </c>
      <c r="J73" s="404">
        <f t="shared" si="27"/>
        <v>46.728476173825342</v>
      </c>
      <c r="K73" s="404">
        <f t="shared" si="27"/>
        <v>46.187527526229218</v>
      </c>
      <c r="L73" s="404">
        <f t="shared" si="27"/>
        <v>45.672031402321018</v>
      </c>
      <c r="M73" s="404">
        <f t="shared" si="27"/>
        <v>45.079611382012061</v>
      </c>
      <c r="N73" s="404">
        <f t="shared" si="27"/>
        <v>42.852504259480142</v>
      </c>
      <c r="O73" s="404">
        <f t="shared" si="27"/>
        <v>40.200945414741241</v>
      </c>
      <c r="P73" s="404">
        <f t="shared" si="27"/>
        <v>38.506243554889551</v>
      </c>
      <c r="Q73" s="404">
        <f t="shared" si="27"/>
        <v>37.78500426261197</v>
      </c>
      <c r="R73" s="404">
        <f t="shared" si="27"/>
        <v>49.247819955978557</v>
      </c>
      <c r="S73" s="404">
        <f t="shared" si="27"/>
        <v>47.555071233125901</v>
      </c>
      <c r="T73" s="409"/>
      <c r="U73" s="409"/>
    </row>
    <row r="74" spans="1:21">
      <c r="A74">
        <f t="shared" si="25"/>
        <v>71</v>
      </c>
      <c r="B74" s="33" t="s">
        <v>328</v>
      </c>
      <c r="C74" s="405"/>
      <c r="D74" s="405">
        <f>D72/D73</f>
        <v>1.1428904801281556</v>
      </c>
      <c r="E74" s="405">
        <f>E72/E73</f>
        <v>1.0850241842099797</v>
      </c>
      <c r="F74" s="405">
        <f t="shared" ref="F74:S74" si="28">F72/F73</f>
        <v>1.2400000000519533</v>
      </c>
      <c r="G74" s="405">
        <f t="shared" si="28"/>
        <v>1.1047640554610016</v>
      </c>
      <c r="H74" s="405">
        <f t="shared" si="28"/>
        <v>1.2399999999999993</v>
      </c>
      <c r="I74" s="405">
        <f t="shared" si="28"/>
        <v>1.24</v>
      </c>
      <c r="J74" s="405">
        <f t="shared" si="28"/>
        <v>1.1795810398189546</v>
      </c>
      <c r="K74" s="405">
        <f t="shared" si="28"/>
        <v>1.1395552123112882</v>
      </c>
      <c r="L74" s="405">
        <f t="shared" si="28"/>
        <v>1.1545617862759834</v>
      </c>
      <c r="M74" s="405">
        <f t="shared" si="28"/>
        <v>1.2399999999999982</v>
      </c>
      <c r="N74" s="405">
        <f t="shared" si="28"/>
        <v>1.2399999999999989</v>
      </c>
      <c r="O74" s="405">
        <f t="shared" si="28"/>
        <v>1.2400000000000013</v>
      </c>
      <c r="P74" s="405">
        <f t="shared" si="28"/>
        <v>1.2399999999999982</v>
      </c>
      <c r="Q74" s="405">
        <f t="shared" si="28"/>
        <v>1.2399999999999993</v>
      </c>
      <c r="R74" s="405">
        <f t="shared" si="28"/>
        <v>1.2399999999999984</v>
      </c>
      <c r="S74" s="405">
        <f t="shared" si="28"/>
        <v>1.2399999999999998</v>
      </c>
      <c r="T74" s="954"/>
      <c r="U74" s="954"/>
    </row>
    <row r="75" spans="1:21">
      <c r="A75">
        <f t="shared" si="25"/>
        <v>72</v>
      </c>
      <c r="B75" s="33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954"/>
      <c r="U75" s="954"/>
    </row>
    <row r="76" spans="1:21">
      <c r="A76">
        <f t="shared" si="25"/>
        <v>73</v>
      </c>
      <c r="B76" s="33" t="s">
        <v>331</v>
      </c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954"/>
      <c r="U76" s="954"/>
    </row>
    <row r="77" spans="1:21">
      <c r="A77">
        <f t="shared" si="25"/>
        <v>74</v>
      </c>
      <c r="B77" s="50" t="s">
        <v>15</v>
      </c>
      <c r="C77" s="401"/>
      <c r="D77" s="553">
        <v>6.9909153500000309</v>
      </c>
      <c r="E77" s="553">
        <v>5.6003805899999906</v>
      </c>
      <c r="F77" s="453">
        <f>'Stmts RUS'!E320</f>
        <v>11.277090979999951</v>
      </c>
      <c r="G77" s="453">
        <f>'Stmts RUS'!S127</f>
        <v>4.9563410876243665</v>
      </c>
      <c r="H77" s="453">
        <f>'Stmts RUS'!AF127</f>
        <v>11.424578880391895</v>
      </c>
      <c r="I77" s="453">
        <f>'Stmts RUS'!AG127</f>
        <v>11.406374047922721</v>
      </c>
      <c r="J77" s="453">
        <f>'Stmts RUS'!AH127</f>
        <v>8.4975233860462787</v>
      </c>
      <c r="K77" s="453">
        <f>'Stmts RUS'!AI127</f>
        <v>6.5520031807886649</v>
      </c>
      <c r="L77" s="453">
        <f>'Stmts RUS'!AJ127</f>
        <v>7.1657626060400208</v>
      </c>
      <c r="M77" s="453">
        <f>'Stmts RUS'!AK127</f>
        <v>10.926038416876215</v>
      </c>
      <c r="N77" s="453">
        <f>'Stmts RUS'!AL127</f>
        <v>10.391853502524167</v>
      </c>
      <c r="O77" s="453">
        <f>'Stmts RUS'!AM127</f>
        <v>9.7558011372276834</v>
      </c>
      <c r="P77" s="453">
        <f>'Stmts RUS'!AN127</f>
        <v>9.3493954135762216</v>
      </c>
      <c r="Q77" s="453">
        <f>'Stmts RUS'!AO127</f>
        <v>9.1766216743108533</v>
      </c>
      <c r="R77" s="453">
        <f>'Stmts RUS'!AP127</f>
        <v>11.928022102672639</v>
      </c>
      <c r="S77" s="453">
        <f>'Stmts RUS'!AQ127</f>
        <v>11.522088045127777</v>
      </c>
      <c r="T77" s="955"/>
      <c r="U77" s="955"/>
    </row>
    <row r="78" spans="1:21">
      <c r="A78">
        <f t="shared" si="25"/>
        <v>75</v>
      </c>
      <c r="B78" t="s">
        <v>172</v>
      </c>
      <c r="C78" s="402"/>
      <c r="D78" s="552">
        <v>47.064225999999998</v>
      </c>
      <c r="E78" s="552">
        <v>45.715143939999997</v>
      </c>
      <c r="F78" s="402">
        <f>'Stmts RUS'!E321</f>
        <v>45.032787470000002</v>
      </c>
      <c r="G78" s="402">
        <f>'Stmts RUS'!S110</f>
        <v>46.305676557961284</v>
      </c>
      <c r="H78" s="402">
        <f>'Stmts RUS'!AF110</f>
        <v>47.162884640935815</v>
      </c>
      <c r="I78" s="402">
        <f>'Stmts RUS'!AG110</f>
        <v>47.086316568922427</v>
      </c>
      <c r="J78" s="402">
        <f>'Stmts RUS'!AH110</f>
        <v>46.728476173825342</v>
      </c>
      <c r="K78" s="402">
        <f>'Stmts RUS'!AI110</f>
        <v>46.187527526229218</v>
      </c>
      <c r="L78" s="402">
        <f>'Stmts RUS'!AJ110</f>
        <v>45.672031402321018</v>
      </c>
      <c r="M78" s="402">
        <f>'Stmts RUS'!AK110</f>
        <v>45.079611382012061</v>
      </c>
      <c r="N78" s="402">
        <f>'Stmts RUS'!AL110</f>
        <v>42.852504259480142</v>
      </c>
      <c r="O78" s="402">
        <f>'Stmts RUS'!AM110</f>
        <v>40.200945414741241</v>
      </c>
      <c r="P78" s="402">
        <f>'Stmts RUS'!AN110</f>
        <v>38.506243554889551</v>
      </c>
      <c r="Q78" s="402">
        <f>'Stmts RUS'!AO110</f>
        <v>37.78500426261197</v>
      </c>
      <c r="R78" s="402">
        <f>'Stmts RUS'!AP110</f>
        <v>49.247819955978557</v>
      </c>
      <c r="S78" s="402">
        <f>'Stmts RUS'!AQ110</f>
        <v>47.555071233125901</v>
      </c>
      <c r="T78" s="409"/>
      <c r="U78" s="409"/>
    </row>
    <row r="79" spans="1:21">
      <c r="A79">
        <f t="shared" si="25"/>
        <v>76</v>
      </c>
      <c r="B79" s="46" t="s">
        <v>18</v>
      </c>
      <c r="C79" s="409"/>
      <c r="D79" s="409">
        <f>SUM(D77:D78)</f>
        <v>54.055141350000028</v>
      </c>
      <c r="E79" s="409">
        <f>SUM(E77:E78)</f>
        <v>51.31552452999999</v>
      </c>
      <c r="F79" s="409">
        <f t="shared" ref="F79:S79" si="29">SUM(F77:F78)</f>
        <v>56.309878449999957</v>
      </c>
      <c r="G79" s="409">
        <f t="shared" si="29"/>
        <v>51.262017645585651</v>
      </c>
      <c r="H79" s="409">
        <f t="shared" si="29"/>
        <v>58.587463521327706</v>
      </c>
      <c r="I79" s="409">
        <f t="shared" si="29"/>
        <v>58.492690616845152</v>
      </c>
      <c r="J79" s="409">
        <f t="shared" si="29"/>
        <v>55.225999559871624</v>
      </c>
      <c r="K79" s="409">
        <f t="shared" si="29"/>
        <v>52.739530707017884</v>
      </c>
      <c r="L79" s="409">
        <f t="shared" si="29"/>
        <v>52.837794008361037</v>
      </c>
      <c r="M79" s="409">
        <f t="shared" si="29"/>
        <v>56.005649798888278</v>
      </c>
      <c r="N79" s="409">
        <f t="shared" si="29"/>
        <v>53.244357762004313</v>
      </c>
      <c r="O79" s="409">
        <f t="shared" si="29"/>
        <v>49.956746551968926</v>
      </c>
      <c r="P79" s="409">
        <f t="shared" si="29"/>
        <v>47.855638968465769</v>
      </c>
      <c r="Q79" s="409">
        <f t="shared" si="29"/>
        <v>46.961625936922822</v>
      </c>
      <c r="R79" s="409">
        <f t="shared" si="29"/>
        <v>61.175842058651199</v>
      </c>
      <c r="S79" s="409">
        <f t="shared" si="29"/>
        <v>59.077159278253674</v>
      </c>
      <c r="T79" s="409"/>
      <c r="U79" s="409"/>
    </row>
    <row r="80" spans="1:21">
      <c r="A80">
        <f t="shared" si="25"/>
        <v>77</v>
      </c>
      <c r="B80" s="261" t="s">
        <v>81</v>
      </c>
      <c r="C80" s="402"/>
      <c r="D80" s="552">
        <v>47.064225999999998</v>
      </c>
      <c r="E80" s="552">
        <v>45.715143939999997</v>
      </c>
      <c r="F80" s="402">
        <f>F78</f>
        <v>45.032787470000002</v>
      </c>
      <c r="G80" s="402">
        <f t="shared" ref="G80:S80" si="30">G78</f>
        <v>46.305676557961284</v>
      </c>
      <c r="H80" s="402">
        <f t="shared" si="30"/>
        <v>47.162884640935815</v>
      </c>
      <c r="I80" s="402">
        <f t="shared" si="30"/>
        <v>47.086316568922427</v>
      </c>
      <c r="J80" s="402">
        <f t="shared" si="30"/>
        <v>46.728476173825342</v>
      </c>
      <c r="K80" s="402">
        <f t="shared" si="30"/>
        <v>46.187527526229218</v>
      </c>
      <c r="L80" s="402">
        <f t="shared" si="30"/>
        <v>45.672031402321018</v>
      </c>
      <c r="M80" s="402">
        <f t="shared" si="30"/>
        <v>45.079611382012061</v>
      </c>
      <c r="N80" s="402">
        <f t="shared" si="30"/>
        <v>42.852504259480142</v>
      </c>
      <c r="O80" s="402">
        <f t="shared" si="30"/>
        <v>40.200945414741241</v>
      </c>
      <c r="P80" s="402">
        <f t="shared" si="30"/>
        <v>38.506243554889551</v>
      </c>
      <c r="Q80" s="402">
        <f t="shared" si="30"/>
        <v>37.78500426261197</v>
      </c>
      <c r="R80" s="402">
        <f t="shared" si="30"/>
        <v>49.247819955978557</v>
      </c>
      <c r="S80" s="402">
        <f t="shared" si="30"/>
        <v>47.555071233125901</v>
      </c>
      <c r="T80" s="409"/>
      <c r="U80" s="409"/>
    </row>
    <row r="81" spans="1:21">
      <c r="A81">
        <f t="shared" si="25"/>
        <v>78</v>
      </c>
      <c r="B81" s="33" t="s">
        <v>331</v>
      </c>
      <c r="C81" s="405"/>
      <c r="D81" s="405">
        <f>D79/D80</f>
        <v>1.1485398984358104</v>
      </c>
      <c r="E81" s="405">
        <f>E79/E80</f>
        <v>1.1225060255164099</v>
      </c>
      <c r="F81" s="405">
        <f t="shared" ref="F81:S81" si="31">F79/F80</f>
        <v>1.2504195634683406</v>
      </c>
      <c r="G81" s="405">
        <f t="shared" si="31"/>
        <v>1.1070352806835781</v>
      </c>
      <c r="H81" s="405">
        <f t="shared" si="31"/>
        <v>1.2422366436525329</v>
      </c>
      <c r="I81" s="405">
        <f t="shared" si="31"/>
        <v>1.242243923056217</v>
      </c>
      <c r="J81" s="405">
        <f t="shared" si="31"/>
        <v>1.1818489298567394</v>
      </c>
      <c r="K81" s="405">
        <f t="shared" si="31"/>
        <v>1.1418565472479096</v>
      </c>
      <c r="L81" s="405">
        <f t="shared" si="31"/>
        <v>1.1568960781034114</v>
      </c>
      <c r="M81" s="405">
        <f t="shared" si="31"/>
        <v>1.2423720631548298</v>
      </c>
      <c r="N81" s="405">
        <f t="shared" si="31"/>
        <v>1.2425028287635072</v>
      </c>
      <c r="O81" s="405">
        <f t="shared" si="31"/>
        <v>1.2426759131303997</v>
      </c>
      <c r="P81" s="405">
        <f t="shared" si="31"/>
        <v>1.2428020640405737</v>
      </c>
      <c r="Q81" s="405">
        <f t="shared" si="31"/>
        <v>1.242864116423855</v>
      </c>
      <c r="R81" s="405">
        <f t="shared" si="31"/>
        <v>1.2422040633135603</v>
      </c>
      <c r="S81" s="405">
        <f t="shared" si="31"/>
        <v>1.2422893657049496</v>
      </c>
      <c r="T81" s="954"/>
      <c r="U81" s="954"/>
    </row>
    <row r="82" spans="1:21">
      <c r="A82">
        <f t="shared" si="25"/>
        <v>79</v>
      </c>
    </row>
    <row r="83" spans="1:21">
      <c r="A83">
        <f t="shared" si="25"/>
        <v>80</v>
      </c>
    </row>
    <row r="84" spans="1:21">
      <c r="A84">
        <f t="shared" si="25"/>
        <v>81</v>
      </c>
    </row>
    <row r="85" spans="1:21">
      <c r="A85">
        <f t="shared" si="25"/>
        <v>82</v>
      </c>
      <c r="B85" s="406" t="s">
        <v>204</v>
      </c>
      <c r="C85" s="407"/>
      <c r="D85" s="438">
        <f t="shared" ref="D85:S85" si="32">D4</f>
        <v>2010</v>
      </c>
      <c r="E85" s="438">
        <f t="shared" si="32"/>
        <v>2011</v>
      </c>
      <c r="F85" s="438">
        <f t="shared" si="32"/>
        <v>2012</v>
      </c>
      <c r="G85" s="438">
        <f t="shared" si="32"/>
        <v>2013</v>
      </c>
      <c r="H85" s="438">
        <f t="shared" si="32"/>
        <v>2014</v>
      </c>
      <c r="I85" s="438">
        <f t="shared" si="32"/>
        <v>2015</v>
      </c>
      <c r="J85" s="438">
        <f t="shared" si="32"/>
        <v>2016</v>
      </c>
      <c r="K85" s="438">
        <f t="shared" si="32"/>
        <v>2017</v>
      </c>
      <c r="L85" s="438">
        <f t="shared" si="32"/>
        <v>2018</v>
      </c>
      <c r="M85" s="438">
        <f t="shared" si="32"/>
        <v>2019</v>
      </c>
      <c r="N85" s="438">
        <f t="shared" si="32"/>
        <v>2020</v>
      </c>
      <c r="O85" s="438">
        <f t="shared" si="32"/>
        <v>2021</v>
      </c>
      <c r="P85" s="438">
        <f t="shared" si="32"/>
        <v>2022</v>
      </c>
      <c r="Q85" s="438">
        <f t="shared" si="32"/>
        <v>2023</v>
      </c>
      <c r="R85" s="438">
        <f t="shared" si="32"/>
        <v>2024</v>
      </c>
      <c r="S85" s="438">
        <f t="shared" si="32"/>
        <v>2025</v>
      </c>
      <c r="T85" s="428"/>
      <c r="U85" s="428"/>
    </row>
    <row r="86" spans="1:21">
      <c r="A86">
        <f t="shared" si="25"/>
        <v>83</v>
      </c>
      <c r="B86" t="s">
        <v>15</v>
      </c>
      <c r="C86" s="401"/>
      <c r="D86" s="553">
        <v>6.9909153500000309</v>
      </c>
      <c r="E86" s="563">
        <v>5.6003805899999906</v>
      </c>
      <c r="F86" s="92">
        <f>'Stmts RUS'!E127</f>
        <v>11.277090979999951</v>
      </c>
      <c r="G86" s="92">
        <f>'Stmts RUS'!S127</f>
        <v>4.9563410876243665</v>
      </c>
      <c r="H86" s="92">
        <f>'Stmts RUS'!AF127</f>
        <v>11.424578880391895</v>
      </c>
      <c r="I86" s="92">
        <f>'Stmts RUS'!AG127</f>
        <v>11.406374047922721</v>
      </c>
      <c r="J86" s="92">
        <f>'Stmts RUS'!AH127</f>
        <v>8.4975233860462787</v>
      </c>
      <c r="K86" s="92">
        <f>'Stmts RUS'!AI127</f>
        <v>6.5520031807886649</v>
      </c>
      <c r="L86" s="92">
        <f>'Stmts RUS'!AJ127</f>
        <v>7.1657626060400208</v>
      </c>
      <c r="M86" s="92">
        <f>'Stmts RUS'!AK127</f>
        <v>10.926038416876215</v>
      </c>
      <c r="N86" s="92">
        <f>'Stmts RUS'!AL127</f>
        <v>10.391853502524167</v>
      </c>
      <c r="O86" s="92">
        <f>'Stmts RUS'!AM127</f>
        <v>9.7558011372276834</v>
      </c>
      <c r="P86" s="92">
        <f>'Stmts RUS'!AN127</f>
        <v>9.3493954135762216</v>
      </c>
      <c r="Q86" s="92">
        <f>'Stmts RUS'!AO127</f>
        <v>9.1766216743108533</v>
      </c>
      <c r="R86" s="92">
        <f>'Stmts RUS'!AP127</f>
        <v>11.928022102672639</v>
      </c>
      <c r="S86" s="92">
        <f>'Stmts RUS'!AQ127</f>
        <v>11.522088045127777</v>
      </c>
      <c r="T86" s="830"/>
      <c r="U86" s="830"/>
    </row>
    <row r="87" spans="1:21">
      <c r="A87">
        <f t="shared" si="25"/>
        <v>84</v>
      </c>
      <c r="B87" t="s">
        <v>172</v>
      </c>
      <c r="C87" s="401"/>
      <c r="D87" s="553">
        <v>47.064225999999998</v>
      </c>
      <c r="E87" s="563">
        <v>45.715143939999997</v>
      </c>
      <c r="F87" s="92">
        <f>'Stmts RUS'!E110</f>
        <v>45.032787470000002</v>
      </c>
      <c r="G87" s="92">
        <f>'Stmts RUS'!S110</f>
        <v>46.305676557961284</v>
      </c>
      <c r="H87" s="92">
        <f>'Stmts RUS'!AF110</f>
        <v>47.162884640935815</v>
      </c>
      <c r="I87" s="92">
        <f>'Stmts RUS'!AG110</f>
        <v>47.086316568922427</v>
      </c>
      <c r="J87" s="92">
        <f>'Stmts RUS'!AH110</f>
        <v>46.728476173825342</v>
      </c>
      <c r="K87" s="92">
        <f>'Stmts RUS'!AI110</f>
        <v>46.187527526229218</v>
      </c>
      <c r="L87" s="92">
        <f>'Stmts RUS'!AJ110</f>
        <v>45.672031402321018</v>
      </c>
      <c r="M87" s="92">
        <f>'Stmts RUS'!AK110</f>
        <v>45.079611382012061</v>
      </c>
      <c r="N87" s="92">
        <f>'Stmts RUS'!AL110</f>
        <v>42.852504259480142</v>
      </c>
      <c r="O87" s="92">
        <f>'Stmts RUS'!AM110</f>
        <v>40.200945414741241</v>
      </c>
      <c r="P87" s="92">
        <f>'Stmts RUS'!AN110</f>
        <v>38.506243554889551</v>
      </c>
      <c r="Q87" s="92">
        <f>'Stmts RUS'!AO110</f>
        <v>37.78500426261197</v>
      </c>
      <c r="R87" s="92">
        <f>'Stmts RUS'!AP110</f>
        <v>49.247819955978557</v>
      </c>
      <c r="S87" s="92">
        <f>'Stmts RUS'!AQ110</f>
        <v>47.555071233125901</v>
      </c>
      <c r="T87" s="830"/>
      <c r="U87" s="830"/>
    </row>
    <row r="88" spans="1:21">
      <c r="A88">
        <f t="shared" si="25"/>
        <v>85</v>
      </c>
      <c r="B88" t="s">
        <v>205</v>
      </c>
      <c r="C88" s="402"/>
      <c r="D88" s="552">
        <v>36.264223999999999</v>
      </c>
      <c r="E88" s="549">
        <v>37.462358530000003</v>
      </c>
      <c r="F88" s="439">
        <v>44.285610069999997</v>
      </c>
      <c r="G88" s="440">
        <f>'Capex &amp; Depr'!AA53</f>
        <v>45.655509000000002</v>
      </c>
      <c r="H88" s="440">
        <f>'Capex &amp; Depr'!AN53</f>
        <v>48.372028000000007</v>
      </c>
      <c r="I88" s="440">
        <f>'Capex &amp; Depr'!AO53</f>
        <v>50.457698000000008</v>
      </c>
      <c r="J88" s="440">
        <f>'Capex &amp; Depr'!AP53</f>
        <v>51.495590999999997</v>
      </c>
      <c r="K88" s="440">
        <f>'Capex &amp; Depr'!AQ53</f>
        <v>52.413693746724739</v>
      </c>
      <c r="L88" s="440">
        <f>'Capex &amp; Depr'!AR53</f>
        <v>53.36335807154709</v>
      </c>
      <c r="M88" s="440">
        <f>'Capex &amp; Depr'!AS53</f>
        <v>54.209025790446795</v>
      </c>
      <c r="N88" s="440">
        <f>'Capex &amp; Depr'!AT53</f>
        <v>55.180719191621598</v>
      </c>
      <c r="O88" s="440">
        <f>'Capex &amp; Depr'!AU53</f>
        <v>56.181563394831635</v>
      </c>
      <c r="P88" s="440">
        <f>'Capex &amp; Depr'!AV53</f>
        <v>57.212432924137978</v>
      </c>
      <c r="Q88" s="440">
        <f>'Capex &amp; Depr'!AW53</f>
        <v>58.274228539323524</v>
      </c>
      <c r="R88" s="440">
        <f>'Capex &amp; Depr'!AX53</f>
        <v>59.367878022964625</v>
      </c>
      <c r="S88" s="440">
        <f>'Capex &amp; Depr'!AY53</f>
        <v>60.49433699111497</v>
      </c>
      <c r="T88" s="830"/>
      <c r="U88" s="830"/>
    </row>
    <row r="89" spans="1:21">
      <c r="A89">
        <f t="shared" si="25"/>
        <v>86</v>
      </c>
      <c r="B89" s="46" t="s">
        <v>206</v>
      </c>
      <c r="C89" s="92"/>
      <c r="D89" s="92">
        <f>SUM(D86:D88)</f>
        <v>90.319365350000027</v>
      </c>
      <c r="E89" s="92">
        <f>SUM(E86:E88)</f>
        <v>88.777883059999994</v>
      </c>
      <c r="F89" s="92">
        <f t="shared" ref="F89:S89" si="33">SUM(F86:F88)</f>
        <v>100.59548851999995</v>
      </c>
      <c r="G89" s="92">
        <f t="shared" si="33"/>
        <v>96.917526645585653</v>
      </c>
      <c r="H89" s="92">
        <f t="shared" si="33"/>
        <v>106.95949152132772</v>
      </c>
      <c r="I89" s="92">
        <f t="shared" si="33"/>
        <v>108.95038861684516</v>
      </c>
      <c r="J89" s="92">
        <f t="shared" si="33"/>
        <v>106.72159055987163</v>
      </c>
      <c r="K89" s="92">
        <f t="shared" si="33"/>
        <v>105.15322445374262</v>
      </c>
      <c r="L89" s="92">
        <f t="shared" si="33"/>
        <v>106.20115207990813</v>
      </c>
      <c r="M89" s="92">
        <f t="shared" si="33"/>
        <v>110.21467558933507</v>
      </c>
      <c r="N89" s="92">
        <f t="shared" si="33"/>
        <v>108.4250769536259</v>
      </c>
      <c r="O89" s="92">
        <f t="shared" si="33"/>
        <v>106.13830994680056</v>
      </c>
      <c r="P89" s="92">
        <f t="shared" si="33"/>
        <v>105.06807189260374</v>
      </c>
      <c r="Q89" s="92">
        <f t="shared" si="33"/>
        <v>105.23585447624635</v>
      </c>
      <c r="R89" s="92">
        <f t="shared" si="33"/>
        <v>120.54372008161582</v>
      </c>
      <c r="S89" s="92">
        <f t="shared" si="33"/>
        <v>119.57149626936865</v>
      </c>
      <c r="T89" s="830"/>
      <c r="U89" s="830"/>
    </row>
    <row r="90" spans="1:21">
      <c r="A90">
        <f t="shared" si="25"/>
        <v>87</v>
      </c>
      <c r="B90" t="s">
        <v>172</v>
      </c>
      <c r="C90" s="401"/>
      <c r="D90" s="401">
        <v>47.064225999999998</v>
      </c>
      <c r="E90" s="92">
        <v>45.715143939999997</v>
      </c>
      <c r="F90" s="92">
        <f>F87</f>
        <v>45.032787470000002</v>
      </c>
      <c r="G90" s="92">
        <f t="shared" ref="G90:S90" si="34">G87</f>
        <v>46.305676557961284</v>
      </c>
      <c r="H90" s="92">
        <f t="shared" si="34"/>
        <v>47.162884640935815</v>
      </c>
      <c r="I90" s="92">
        <f t="shared" si="34"/>
        <v>47.086316568922427</v>
      </c>
      <c r="J90" s="92">
        <f t="shared" si="34"/>
        <v>46.728476173825342</v>
      </c>
      <c r="K90" s="92">
        <f t="shared" si="34"/>
        <v>46.187527526229218</v>
      </c>
      <c r="L90" s="92">
        <f t="shared" si="34"/>
        <v>45.672031402321018</v>
      </c>
      <c r="M90" s="92">
        <f t="shared" si="34"/>
        <v>45.079611382012061</v>
      </c>
      <c r="N90" s="92">
        <f t="shared" si="34"/>
        <v>42.852504259480142</v>
      </c>
      <c r="O90" s="92">
        <f t="shared" si="34"/>
        <v>40.200945414741241</v>
      </c>
      <c r="P90" s="92">
        <f t="shared" si="34"/>
        <v>38.506243554889551</v>
      </c>
      <c r="Q90" s="92">
        <f t="shared" si="34"/>
        <v>37.78500426261197</v>
      </c>
      <c r="R90" s="92">
        <f t="shared" si="34"/>
        <v>49.247819955978557</v>
      </c>
      <c r="S90" s="92">
        <f t="shared" si="34"/>
        <v>47.555071233125901</v>
      </c>
      <c r="T90" s="830"/>
      <c r="U90" s="830"/>
    </row>
    <row r="91" spans="1:21">
      <c r="A91">
        <f t="shared" si="25"/>
        <v>88</v>
      </c>
      <c r="B91" t="s">
        <v>209</v>
      </c>
      <c r="C91" s="452"/>
      <c r="D91" s="562">
        <v>14.184483999999999</v>
      </c>
      <c r="E91" s="549">
        <v>14.8500955</v>
      </c>
      <c r="F91" s="439">
        <v>79.515556000000004</v>
      </c>
      <c r="G91" s="502">
        <f>'Stmts RUS'!S231-'Stmts RUS'!S378-'Stmts RUS'!S360</f>
        <v>21.591463003957919</v>
      </c>
      <c r="H91" s="502">
        <f>'Stmts RUS'!AF231-'Stmts RUS'!AF378-'Stmts RUS'!AF360</f>
        <v>22.012406819999999</v>
      </c>
      <c r="I91" s="622">
        <f>'Stmts RUS'!AG231-'Stmts RUS'!AG378</f>
        <v>22.902846010000001</v>
      </c>
      <c r="J91" s="485">
        <f>'Stmts RUS'!AH231-'Stmts RUS'!AH378</f>
        <v>25.221311457787145</v>
      </c>
      <c r="K91" s="485">
        <f>'Stmts RUS'!AI231-'Stmts RUS'!AI378</f>
        <v>26.252561599620762</v>
      </c>
      <c r="L91" s="485">
        <f>'Stmts RUS'!AJ231-'Stmts RUS'!AJ378</f>
        <v>27.342434175909379</v>
      </c>
      <c r="M91" s="440">
        <f>'Stmts RUS'!AK231-'Stmts RUS'!AK378</f>
        <v>30.888791945786455</v>
      </c>
      <c r="N91" s="440">
        <f>'Stmts RUS'!AL231-'Stmts RUS'!AL378</f>
        <v>73.329009690060232</v>
      </c>
      <c r="O91" s="440">
        <f>'Stmts RUS'!AM231-'Stmts RUS'!AM378</f>
        <v>65.451012784862058</v>
      </c>
      <c r="P91" s="440">
        <f>'Stmts RUS'!AN231-'Stmts RUS'!AN378</f>
        <v>32.459805716307926</v>
      </c>
      <c r="Q91" s="561">
        <f>'Stmts RUS'!AO231-'Stmts RUS'!AO378-Debt!AX60</f>
        <v>33.945045056197159</v>
      </c>
      <c r="R91" s="440">
        <f>'Stmts RUS'!AP231-'Stmts RUS'!AP378</f>
        <v>35.508285738783094</v>
      </c>
      <c r="S91" s="485">
        <f>'Stmts RUS'!AQ231-'Stmts RUS'!AQ378</f>
        <v>37.162457318646581</v>
      </c>
      <c r="T91" s="830"/>
      <c r="U91" s="830"/>
    </row>
    <row r="92" spans="1:21">
      <c r="A92">
        <f t="shared" si="25"/>
        <v>89</v>
      </c>
      <c r="B92" s="46" t="s">
        <v>207</v>
      </c>
      <c r="C92" s="441"/>
      <c r="D92" s="441">
        <f>SUM(D90:D91)</f>
        <v>61.248709999999996</v>
      </c>
      <c r="E92" s="441">
        <f>SUM(E90:E91)</f>
        <v>60.565239439999999</v>
      </c>
      <c r="F92" s="441">
        <f t="shared" ref="F92" si="35">SUM(F90:F91)</f>
        <v>124.54834347000001</v>
      </c>
      <c r="G92" s="441">
        <f t="shared" ref="G92:S92" si="36">SUM(G90:G91)</f>
        <v>67.897139561919204</v>
      </c>
      <c r="H92" s="441">
        <f t="shared" si="36"/>
        <v>69.17529146093581</v>
      </c>
      <c r="I92" s="441">
        <f t="shared" si="36"/>
        <v>69.989162578922432</v>
      </c>
      <c r="J92" s="441">
        <f t="shared" si="36"/>
        <v>71.94978763161248</v>
      </c>
      <c r="K92" s="441">
        <f t="shared" si="36"/>
        <v>72.44008912584998</v>
      </c>
      <c r="L92" s="441">
        <f t="shared" si="36"/>
        <v>73.0144655782304</v>
      </c>
      <c r="M92" s="441">
        <f t="shared" si="36"/>
        <v>75.968403327798512</v>
      </c>
      <c r="N92" s="441">
        <f t="shared" si="36"/>
        <v>116.18151394954037</v>
      </c>
      <c r="O92" s="441">
        <f t="shared" si="36"/>
        <v>105.6519581996033</v>
      </c>
      <c r="P92" s="441">
        <f t="shared" si="36"/>
        <v>70.966049271197477</v>
      </c>
      <c r="Q92" s="441">
        <f t="shared" si="36"/>
        <v>71.730049318809137</v>
      </c>
      <c r="R92" s="441">
        <f t="shared" si="36"/>
        <v>84.756105694761658</v>
      </c>
      <c r="S92" s="441">
        <f t="shared" si="36"/>
        <v>84.717528551772489</v>
      </c>
      <c r="T92" s="830"/>
      <c r="U92" s="830"/>
    </row>
    <row r="93" spans="1:21">
      <c r="A93">
        <f t="shared" si="25"/>
        <v>90</v>
      </c>
      <c r="B93" s="33" t="s">
        <v>208</v>
      </c>
      <c r="C93" s="4"/>
      <c r="D93" s="4">
        <f>D89/D92</f>
        <v>1.4746329408407137</v>
      </c>
      <c r="E93" s="4">
        <f>E89/E92</f>
        <v>1.4658223740360068</v>
      </c>
      <c r="F93" s="4">
        <f t="shared" ref="F93" si="37">F89/F92</f>
        <v>0.80768226792378339</v>
      </c>
      <c r="G93" s="4">
        <f t="shared" ref="G93:S93" si="38">G89/G92</f>
        <v>1.4274169320078813</v>
      </c>
      <c r="H93" s="4">
        <f t="shared" si="38"/>
        <v>1.546209481195018</v>
      </c>
      <c r="I93" s="4">
        <f t="shared" si="38"/>
        <v>1.5566751280098341</v>
      </c>
      <c r="J93" s="4">
        <f t="shared" si="38"/>
        <v>1.4832787430352541</v>
      </c>
      <c r="K93" s="4">
        <f t="shared" si="38"/>
        <v>1.4515888332365274</v>
      </c>
      <c r="L93" s="4">
        <f t="shared" si="38"/>
        <v>1.4545220763975912</v>
      </c>
      <c r="M93" s="4">
        <f t="shared" si="38"/>
        <v>1.4507962621481751</v>
      </c>
      <c r="N93" s="4">
        <f t="shared" si="38"/>
        <v>0.93323863037898414</v>
      </c>
      <c r="O93" s="4">
        <f t="shared" si="38"/>
        <v>1.0046033386932443</v>
      </c>
      <c r="P93" s="4">
        <f t="shared" si="38"/>
        <v>1.4805399620188104</v>
      </c>
      <c r="Q93" s="4">
        <f t="shared" si="38"/>
        <v>1.4671097465515235</v>
      </c>
      <c r="R93" s="4">
        <f t="shared" si="38"/>
        <v>1.4222423162732216</v>
      </c>
      <c r="S93" s="4">
        <f t="shared" si="38"/>
        <v>1.4114138869891164</v>
      </c>
      <c r="T93" s="837"/>
      <c r="U93" s="837"/>
    </row>
    <row r="94" spans="1:21">
      <c r="A94">
        <f t="shared" si="25"/>
        <v>91</v>
      </c>
    </row>
    <row r="95" spans="1:21">
      <c r="A95">
        <f t="shared" si="25"/>
        <v>92</v>
      </c>
    </row>
    <row r="96" spans="1:21">
      <c r="A96">
        <f t="shared" si="25"/>
        <v>93</v>
      </c>
    </row>
    <row r="97" spans="1:21">
      <c r="A97">
        <f t="shared" si="25"/>
        <v>94</v>
      </c>
      <c r="B97" s="406" t="s">
        <v>22</v>
      </c>
      <c r="C97" s="407"/>
      <c r="D97" s="407">
        <f>D4</f>
        <v>2010</v>
      </c>
      <c r="E97" s="407">
        <f>E4</f>
        <v>2011</v>
      </c>
      <c r="F97" s="407">
        <f>F85</f>
        <v>2012</v>
      </c>
      <c r="G97" s="407">
        <f>G85</f>
        <v>2013</v>
      </c>
      <c r="H97" s="407">
        <f t="shared" ref="H97:S97" si="39">H85</f>
        <v>2014</v>
      </c>
      <c r="I97" s="407">
        <f t="shared" si="39"/>
        <v>2015</v>
      </c>
      <c r="J97" s="407">
        <f t="shared" si="39"/>
        <v>2016</v>
      </c>
      <c r="K97" s="407">
        <f t="shared" si="39"/>
        <v>2017</v>
      </c>
      <c r="L97" s="407">
        <f t="shared" si="39"/>
        <v>2018</v>
      </c>
      <c r="M97" s="407">
        <f t="shared" si="39"/>
        <v>2019</v>
      </c>
      <c r="N97" s="407">
        <f t="shared" si="39"/>
        <v>2020</v>
      </c>
      <c r="O97" s="407">
        <f t="shared" si="39"/>
        <v>2021</v>
      </c>
      <c r="P97" s="407">
        <f t="shared" si="39"/>
        <v>2022</v>
      </c>
      <c r="Q97" s="407">
        <f t="shared" si="39"/>
        <v>2023</v>
      </c>
      <c r="R97" s="407">
        <f t="shared" si="39"/>
        <v>2024</v>
      </c>
      <c r="S97" s="407">
        <f t="shared" si="39"/>
        <v>2025</v>
      </c>
      <c r="T97" s="950"/>
      <c r="U97" s="950"/>
    </row>
    <row r="98" spans="1:21">
      <c r="A98">
        <f t="shared" si="25"/>
        <v>95</v>
      </c>
      <c r="B98" t="s">
        <v>23</v>
      </c>
      <c r="D98" s="551">
        <v>87.612433194999994</v>
      </c>
      <c r="E98" s="556">
        <v>44.8</v>
      </c>
      <c r="F98" s="61">
        <f>+(44.849+'Stmts RUS'!E150)/2+35</f>
        <v>112.507218115</v>
      </c>
      <c r="G98" s="419">
        <f>('Stmts RUS'!E249+'Stmts RUS'!R249)/2</f>
        <v>130.65827440954089</v>
      </c>
      <c r="H98" s="419">
        <f>('Stmts RUS'!R249+'Stmts RUS'!AE249)/2</f>
        <v>115.27234694064076</v>
      </c>
      <c r="I98" s="419">
        <f>('Stmts RUS'!AE249+'Stmts RUS'!AG249)/2</f>
        <v>115.33897219966701</v>
      </c>
      <c r="J98" s="419">
        <f>('Stmts RUS'!AG249+'Stmts RUS'!AH249)/2</f>
        <v>120.56224522813196</v>
      </c>
      <c r="K98" s="419">
        <f>('Stmts RUS'!AH249+'Stmts RUS'!AI249)/2</f>
        <v>126.31876460904986</v>
      </c>
      <c r="L98" s="419">
        <f>('Stmts RUS'!AI249+'Stmts RUS'!AJ249)/2</f>
        <v>129.10461022126088</v>
      </c>
      <c r="M98" s="419">
        <f>('Stmts RUS'!AJ249+'Stmts RUS'!AK249)/2</f>
        <v>124.51494238324142</v>
      </c>
      <c r="N98" s="419">
        <f>('Stmts RUS'!AK249+'Stmts RUS'!AL249)/2</f>
        <v>106.53899945274233</v>
      </c>
      <c r="O98" s="419">
        <f>('Stmts RUS'!AL249+'Stmts RUS'!AM249)/2</f>
        <v>79.57679909034421</v>
      </c>
      <c r="P98" s="419">
        <f>('Stmts RUS'!AM249+'Stmts RUS'!AN249)/2</f>
        <v>59.672311323611581</v>
      </c>
      <c r="Q98" s="419">
        <f>('Stmts RUS'!AN249+'Stmts RUS'!AO249)/2</f>
        <v>139.83895453370047</v>
      </c>
      <c r="R98" s="419">
        <f>('Stmts RUS'!AO249+'Stmts RUS'!AP249)/2</f>
        <v>206.7614710808684</v>
      </c>
      <c r="S98" s="419">
        <f>('Stmts RUS'!AP249+'Stmts RUS'!AQ249)/2</f>
        <v>169.38228386612505</v>
      </c>
      <c r="T98" s="956"/>
      <c r="U98" s="956"/>
    </row>
    <row r="99" spans="1:21">
      <c r="A99">
        <f t="shared" si="25"/>
        <v>96</v>
      </c>
      <c r="B99" t="s">
        <v>210</v>
      </c>
      <c r="C99" s="451"/>
      <c r="D99" s="559">
        <v>23.859000000000002</v>
      </c>
      <c r="E99" s="559">
        <v>46.51</v>
      </c>
      <c r="F99" s="99">
        <v>0</v>
      </c>
      <c r="G99" s="419">
        <v>0</v>
      </c>
      <c r="H99" s="419">
        <v>0</v>
      </c>
      <c r="I99" s="419">
        <v>0</v>
      </c>
      <c r="J99" s="419">
        <v>0</v>
      </c>
      <c r="K99" s="419">
        <v>0</v>
      </c>
      <c r="L99" s="419">
        <v>0</v>
      </c>
      <c r="M99" s="419">
        <v>0</v>
      </c>
      <c r="N99" s="419">
        <v>0</v>
      </c>
      <c r="O99" s="419">
        <v>0</v>
      </c>
      <c r="P99" s="419">
        <v>0</v>
      </c>
      <c r="Q99" s="419">
        <v>0</v>
      </c>
      <c r="R99" s="419">
        <v>0</v>
      </c>
      <c r="S99" s="419">
        <v>0</v>
      </c>
      <c r="T99" s="956"/>
      <c r="U99" s="956"/>
    </row>
    <row r="100" spans="1:21">
      <c r="A100">
        <f t="shared" si="25"/>
        <v>97</v>
      </c>
      <c r="B100" t="s">
        <v>24</v>
      </c>
      <c r="C100" s="452"/>
      <c r="D100" s="562">
        <v>90</v>
      </c>
      <c r="E100" s="562">
        <v>100</v>
      </c>
      <c r="F100" s="100">
        <v>100</v>
      </c>
      <c r="G100" s="420">
        <f>100-Debt!AC37</f>
        <v>100</v>
      </c>
      <c r="H100" s="420">
        <f>100-Debt!AP37</f>
        <v>100</v>
      </c>
      <c r="I100" s="420">
        <f>100-Debt!AQ37</f>
        <v>100</v>
      </c>
      <c r="J100" s="420">
        <f>100-Debt!AR37</f>
        <v>100</v>
      </c>
      <c r="K100" s="420">
        <f>100-Debt!AS37</f>
        <v>100</v>
      </c>
      <c r="L100" s="420">
        <f>100-Debt!AT37</f>
        <v>100</v>
      </c>
      <c r="M100" s="420">
        <f>100-Debt!AU37</f>
        <v>100</v>
      </c>
      <c r="N100" s="420">
        <f>100-Debt!AV37</f>
        <v>100</v>
      </c>
      <c r="O100" s="420">
        <f>100-Debt!AW37</f>
        <v>100</v>
      </c>
      <c r="P100" s="420">
        <f>100-Debt!AX37</f>
        <v>100</v>
      </c>
      <c r="Q100" s="420">
        <f>100-Debt!AY37</f>
        <v>100</v>
      </c>
      <c r="R100" s="420">
        <f>100-Debt!AZ37</f>
        <v>100</v>
      </c>
      <c r="S100" s="420">
        <f>100-Debt!BA37</f>
        <v>100</v>
      </c>
      <c r="T100" s="956"/>
      <c r="U100" s="956"/>
    </row>
    <row r="101" spans="1:21">
      <c r="A101">
        <f t="shared" si="25"/>
        <v>98</v>
      </c>
      <c r="B101" s="410" t="s">
        <v>131</v>
      </c>
      <c r="C101" s="442"/>
      <c r="D101" s="442">
        <f>SUM(D98:D100)</f>
        <v>201.471433195</v>
      </c>
      <c r="E101" s="442">
        <f>SUM(E98:E100)</f>
        <v>191.31</v>
      </c>
      <c r="F101" s="421">
        <f t="shared" ref="F101:S101" si="40">SUM(F98:F100)</f>
        <v>212.507218115</v>
      </c>
      <c r="G101" s="421">
        <f t="shared" si="40"/>
        <v>230.65827440954089</v>
      </c>
      <c r="H101" s="421">
        <f t="shared" si="40"/>
        <v>215.27234694064077</v>
      </c>
      <c r="I101" s="421">
        <f t="shared" si="40"/>
        <v>215.33897219966701</v>
      </c>
      <c r="J101" s="421">
        <f t="shared" si="40"/>
        <v>220.56224522813196</v>
      </c>
      <c r="K101" s="421">
        <f t="shared" si="40"/>
        <v>226.31876460904988</v>
      </c>
      <c r="L101" s="421">
        <f t="shared" si="40"/>
        <v>229.10461022126088</v>
      </c>
      <c r="M101" s="421">
        <f t="shared" si="40"/>
        <v>224.51494238324142</v>
      </c>
      <c r="N101" s="421">
        <f t="shared" si="40"/>
        <v>206.53899945274233</v>
      </c>
      <c r="O101" s="421">
        <f t="shared" si="40"/>
        <v>179.5767990903442</v>
      </c>
      <c r="P101" s="421">
        <f t="shared" si="40"/>
        <v>159.67231132361158</v>
      </c>
      <c r="Q101" s="421">
        <f t="shared" si="40"/>
        <v>239.83895453370047</v>
      </c>
      <c r="R101" s="421">
        <f t="shared" si="40"/>
        <v>306.76147108086843</v>
      </c>
      <c r="S101" s="421">
        <f t="shared" si="40"/>
        <v>269.38228386612502</v>
      </c>
      <c r="T101" s="957"/>
      <c r="U101" s="957"/>
    </row>
    <row r="102" spans="1:21">
      <c r="A102">
        <f t="shared" si="25"/>
        <v>99</v>
      </c>
      <c r="B102" s="410" t="s">
        <v>203</v>
      </c>
      <c r="C102" s="443"/>
      <c r="D102" s="555">
        <v>467.47425894999998</v>
      </c>
      <c r="E102" s="555">
        <f>556.65719215+0.548206-37.46235853-0.13756003-0.2077945-6.8838626</f>
        <v>512.51382249000005</v>
      </c>
      <c r="F102" s="443">
        <f>'Stmts RUS'!E116-44.28561007+0.766677-0.2083638-7.29179968-0.05731118-0.18131006</f>
        <v>506.83204229</v>
      </c>
      <c r="G102" s="421">
        <f>'Stmts RUS'!S116-'Capex &amp; Depr'!AA53-'Stmts RUS'!S111-Debt!AB108-Debt!AB106+SUM(Debt!AB114:AB115)+SUM(Debt!AB121:AB126)</f>
        <v>490.65286750405704</v>
      </c>
      <c r="H102" s="421">
        <f>'Stmts RUS'!AF116-'Capex &amp; Depr'!AN53-'Stmts RUS'!AF111-'O&amp;M'!AN53-Debt!AO108-Debt!AO106+SUM(Debt!AO114:AO115)+SUM(Debt!AO121:AO126)</f>
        <v>421.89251878479183</v>
      </c>
      <c r="I102" s="421">
        <f>'Stmts RUS'!AG116-'Capex &amp; Depr'!AO53-'Stmts RUS'!AG111-'O&amp;M'!AO53-Debt!AP108-Debt!AP106+SUM(Debt!AP114:AP115)+SUM(Debt!AP121:AP126)</f>
        <v>438.75931896715201</v>
      </c>
      <c r="J102" s="421">
        <f>'Stmts RUS'!AH116-'Capex &amp; Depr'!AP53-'Stmts RUS'!AH111-'O&amp;M'!AP53-Debt!AQ108-Debt!AQ106+SUM(Debt!AQ114:AQ115)+SUM(Debt!AQ121:AQ126)</f>
        <v>455.65434455359616</v>
      </c>
      <c r="K102" s="421">
        <f>'Stmts RUS'!AI116-'Capex &amp; Depr'!AQ53-'Stmts RUS'!AI111-'O&amp;M'!AQ53-Debt!AR108-Debt!AR106+SUM(Debt!AR114:AR115)+SUM(Debt!AR121:AR126)</f>
        <v>468.35733932807642</v>
      </c>
      <c r="L102" s="421">
        <f>'Stmts RUS'!AJ116-'Capex &amp; Depr'!AR53-'Stmts RUS'!AJ111-'O&amp;M'!AR53-Debt!AS108-Debt!AS106+SUM(Debt!AS114:AS115)+SUM(Debt!AS121:AS126)</f>
        <v>482.48220784679552</v>
      </c>
      <c r="M102" s="421">
        <f>'Stmts RUS'!AK116-'Capex &amp; Depr'!AS53-'Stmts RUS'!AK111-'O&amp;M'!AS53-Debt!AT108-Debt!AT106+SUM(Debt!AT114:AT115)+SUM(Debt!AT121:AT126)</f>
        <v>635.68393468665943</v>
      </c>
      <c r="N102" s="421">
        <f>'Stmts RUS'!AL116-'Capex &amp; Depr'!AT53-'Stmts RUS'!AL111-'O&amp;M'!AT53-Debt!AU108-Debt!AU106+SUM(Debt!AU114:AU115)+SUM(Debt!AU121:AU126)</f>
        <v>684.12367737445084</v>
      </c>
      <c r="O102" s="421">
        <f>'Stmts RUS'!AM116-'Capex &amp; Depr'!AU53-'Stmts RUS'!AM111-'O&amp;M'!AU53-Debt!AV108-Debt!AV106+SUM(Debt!AV114:AV115)+SUM(Debt!AV121:AV126)</f>
        <v>692.21842751881479</v>
      </c>
      <c r="P102" s="421">
        <f>'Stmts RUS'!AN116-'Capex &amp; Depr'!AV53-'Stmts RUS'!AN111-'O&amp;M'!AV53-Debt!AW108-Debt!AW106+SUM(Debt!AW114:AW115)+SUM(Debt!AW121:AW126)</f>
        <v>725.49217666386539</v>
      </c>
      <c r="Q102" s="421">
        <f>'Stmts RUS'!AO116-'Capex &amp; Depr'!AW53-'Stmts RUS'!AO111-'O&amp;M'!AW53-Debt!AX108-Debt!AX106+SUM(Debt!AX114:AX115)+SUM(Debt!AX121:AX126)</f>
        <v>735.13498903735763</v>
      </c>
      <c r="R102" s="421">
        <f>'Stmts RUS'!AP116-'Capex &amp; Depr'!AX53-'Stmts RUS'!AP111-'O&amp;M'!AX53-Debt!AY108-Debt!AY106+SUM(Debt!AY114:AY115)+SUM(Debt!AY121:AY126)</f>
        <v>783.815123606724</v>
      </c>
      <c r="S102" s="421">
        <f>'Stmts RUS'!AQ116-'Capex &amp; Depr'!AY53-'Stmts RUS'!AQ111-'O&amp;M'!AY53-Debt!AZ108-Debt!AZ106+SUM(Debt!AZ114:AZ115)+SUM(Debt!AZ121:AZ126)</f>
        <v>811.96140474773279</v>
      </c>
      <c r="T102" s="957"/>
      <c r="U102" s="957"/>
    </row>
    <row r="103" spans="1:21">
      <c r="A103">
        <f t="shared" si="25"/>
        <v>100</v>
      </c>
      <c r="B103" t="s">
        <v>25</v>
      </c>
      <c r="C103" s="444"/>
      <c r="D103" s="444">
        <f>D101/D102*365</f>
        <v>157.30721362358557</v>
      </c>
      <c r="E103" s="444">
        <f>E101/E102*365</f>
        <v>136.2463741187438</v>
      </c>
      <c r="F103" s="419">
        <f>F101/F102*366</f>
        <v>153.45841489948074</v>
      </c>
      <c r="G103" s="419">
        <f>G101/G102*366</f>
        <v>172.05836147119618</v>
      </c>
      <c r="H103" s="419">
        <f>H101/H102*365</f>
        <v>186.24271143668901</v>
      </c>
      <c r="I103" s="419">
        <f>I101/I102*365</f>
        <v>179.13858795729146</v>
      </c>
      <c r="J103" s="419">
        <f>J101/J102*365</f>
        <v>176.68046068372067</v>
      </c>
      <c r="K103" s="419">
        <f>K101/K102*366</f>
        <v>176.85784099326213</v>
      </c>
      <c r="L103" s="419">
        <f>L101/L102*365</f>
        <v>173.31868692930831</v>
      </c>
      <c r="M103" s="419">
        <f>M101/M102*365</f>
        <v>128.91304860532114</v>
      </c>
      <c r="N103" s="419">
        <f>N101/N102*365</f>
        <v>110.19459973900084</v>
      </c>
      <c r="O103" s="419">
        <f>O101/O102*366</f>
        <v>94.948510259472314</v>
      </c>
      <c r="P103" s="419">
        <f>P101/P102*365</f>
        <v>80.332215160633865</v>
      </c>
      <c r="Q103" s="419">
        <f>Q101/Q102*365</f>
        <v>119.08182811354672</v>
      </c>
      <c r="R103" s="419">
        <f>R101/R102*365</f>
        <v>142.84993179169177</v>
      </c>
      <c r="S103" s="419">
        <f>S101/S102*366</f>
        <v>121.42685024004776</v>
      </c>
      <c r="T103" s="956"/>
      <c r="U103" s="956"/>
    </row>
    <row r="104" spans="1:21">
      <c r="A104">
        <f t="shared" si="25"/>
        <v>101</v>
      </c>
      <c r="B104" t="s">
        <v>26</v>
      </c>
      <c r="C104" s="444"/>
      <c r="D104" s="444">
        <f>(D98+D99)/D102*365</f>
        <v>87.035964734320913</v>
      </c>
      <c r="E104" s="444">
        <f>(E98+E99)/E102*365</f>
        <v>65.028782712782899</v>
      </c>
      <c r="F104" s="419">
        <f>(F98+F99)/F102*366</f>
        <v>81.24514315243097</v>
      </c>
      <c r="G104" s="419">
        <f>(G98+G99)/G102*366</f>
        <v>97.463872324146877</v>
      </c>
      <c r="H104" s="419">
        <f>(H98+H99)/H102*365</f>
        <v>99.727785537709678</v>
      </c>
      <c r="I104" s="419">
        <f>(I98+I99)/I102*365</f>
        <v>95.949471687529453</v>
      </c>
      <c r="J104" s="419">
        <f>(J98+J99)/J102*365</f>
        <v>96.575880454689852</v>
      </c>
      <c r="K104" s="419">
        <f>(K98+K99)/K102*366</f>
        <v>98.712380408598747</v>
      </c>
      <c r="L104" s="419">
        <f>(L98+L99)/L102*365</f>
        <v>97.668228930264377</v>
      </c>
      <c r="M104" s="419">
        <f>(M98+M99)/M102*365</f>
        <v>71.494576927266962</v>
      </c>
      <c r="N104" s="419">
        <f>(N98+N99)/N102*365</f>
        <v>56.841673642244864</v>
      </c>
      <c r="O104" s="419">
        <f>(O98+O99)/O102*366</f>
        <v>42.075026190016224</v>
      </c>
      <c r="P104" s="419">
        <f>(P98+P99)/P102*365</f>
        <v>30.021541697767347</v>
      </c>
      <c r="Q104" s="419">
        <f>(Q98+Q99)/Q102*365</f>
        <v>69.431082952041194</v>
      </c>
      <c r="R104" s="419">
        <f>(R98+R99)/R102*365</f>
        <v>96.28282827365129</v>
      </c>
      <c r="S104" s="419">
        <f>(S98+S99)/S102*366</f>
        <v>76.350816100997534</v>
      </c>
      <c r="T104" s="956"/>
      <c r="U104" s="956"/>
    </row>
    <row r="105" spans="1:21">
      <c r="A105">
        <f t="shared" si="25"/>
        <v>102</v>
      </c>
    </row>
    <row r="106" spans="1:21">
      <c r="A106">
        <f t="shared" si="25"/>
        <v>103</v>
      </c>
    </row>
    <row r="107" spans="1:21">
      <c r="A107">
        <f t="shared" si="25"/>
        <v>104</v>
      </c>
    </row>
    <row r="108" spans="1:21">
      <c r="A108">
        <f t="shared" si="25"/>
        <v>105</v>
      </c>
      <c r="B108" s="406" t="s">
        <v>944</v>
      </c>
      <c r="C108" s="407"/>
      <c r="D108" s="407">
        <f>D4</f>
        <v>2010</v>
      </c>
      <c r="E108" s="407">
        <f>E4</f>
        <v>2011</v>
      </c>
      <c r="F108" s="407">
        <f>F97</f>
        <v>2012</v>
      </c>
      <c r="G108" s="407">
        <f>G97</f>
        <v>2013</v>
      </c>
      <c r="H108" s="407">
        <f t="shared" ref="H108:S108" si="41">H97</f>
        <v>2014</v>
      </c>
      <c r="I108" s="407">
        <f t="shared" si="41"/>
        <v>2015</v>
      </c>
      <c r="J108" s="407">
        <f t="shared" si="41"/>
        <v>2016</v>
      </c>
      <c r="K108" s="407">
        <f t="shared" si="41"/>
        <v>2017</v>
      </c>
      <c r="L108" s="407">
        <f t="shared" si="41"/>
        <v>2018</v>
      </c>
      <c r="M108" s="407">
        <f t="shared" si="41"/>
        <v>2019</v>
      </c>
      <c r="N108" s="407">
        <f t="shared" si="41"/>
        <v>2020</v>
      </c>
      <c r="O108" s="407">
        <f t="shared" si="41"/>
        <v>2021</v>
      </c>
      <c r="P108" s="407">
        <f t="shared" si="41"/>
        <v>2022</v>
      </c>
      <c r="Q108" s="407">
        <f t="shared" si="41"/>
        <v>2023</v>
      </c>
      <c r="R108" s="407">
        <f t="shared" si="41"/>
        <v>2024</v>
      </c>
      <c r="S108" s="407">
        <f t="shared" si="41"/>
        <v>2025</v>
      </c>
      <c r="T108" s="950"/>
      <c r="U108" s="950"/>
    </row>
    <row r="109" spans="1:21">
      <c r="A109">
        <f t="shared" si="25"/>
        <v>106</v>
      </c>
      <c r="B109" t="s">
        <v>469</v>
      </c>
      <c r="F109" s="401">
        <f>'Stmts RUS'!E139</f>
        <v>43.840792999999998</v>
      </c>
      <c r="G109" s="401">
        <f>'Stmts RUS'!S139</f>
        <v>42.555046686042076</v>
      </c>
      <c r="H109" s="401">
        <f>'Stmts RUS'!AF139</f>
        <v>41.199120546042074</v>
      </c>
      <c r="I109" s="401">
        <f>'Stmts RUS'!AG139</f>
        <v>39.769183966042071</v>
      </c>
      <c r="J109" s="401">
        <f>'Stmts RUS'!AH139</f>
        <v>38.261197246042073</v>
      </c>
      <c r="K109" s="401">
        <f>'Stmts RUS'!AI139</f>
        <v>36.670900156042073</v>
      </c>
      <c r="L109" s="401">
        <f>'Stmts RUS'!AJ139</f>
        <v>34.993799976042069</v>
      </c>
      <c r="M109" s="401">
        <f>'Stmts RUS'!AK139</f>
        <v>33.225158706042066</v>
      </c>
      <c r="N109" s="401">
        <f>'Stmts RUS'!AL139</f>
        <v>31.359979796042065</v>
      </c>
      <c r="O109" s="401">
        <f>'Stmts RUS'!AM139</f>
        <v>29.392993926042067</v>
      </c>
      <c r="P109" s="401">
        <f>'Stmts RUS'!AN139</f>
        <v>27.318644166042066</v>
      </c>
      <c r="Q109" s="401">
        <f>'Stmts RUS'!AO139</f>
        <v>25.131070286042068</v>
      </c>
      <c r="R109" s="401">
        <f>'Stmts RUS'!AP139</f>
        <v>22.824092176042068</v>
      </c>
      <c r="S109" s="401">
        <f>'Stmts RUS'!AQ139</f>
        <v>20.391192406042066</v>
      </c>
      <c r="T109" s="409"/>
      <c r="U109" s="409"/>
    </row>
    <row r="110" spans="1:21">
      <c r="A110">
        <f t="shared" si="25"/>
        <v>107</v>
      </c>
      <c r="B110" t="s">
        <v>470</v>
      </c>
      <c r="F110" s="401">
        <f>'Stmts RUS'!E140</f>
        <v>1.533385E-2</v>
      </c>
      <c r="G110" s="401">
        <f>'Stmts RUS'!S140</f>
        <v>1.533385E-2</v>
      </c>
      <c r="H110" s="401">
        <f>'Stmts RUS'!AF140</f>
        <v>1.533385E-2</v>
      </c>
      <c r="I110" s="401">
        <f>'Stmts RUS'!AG140</f>
        <v>1.533385E-2</v>
      </c>
      <c r="J110" s="401">
        <f>'Stmts RUS'!AH140</f>
        <v>1.533385E-2</v>
      </c>
      <c r="K110" s="401">
        <f>'Stmts RUS'!AI140</f>
        <v>1.533385E-2</v>
      </c>
      <c r="L110" s="401">
        <f>'Stmts RUS'!AJ140</f>
        <v>1.533385E-2</v>
      </c>
      <c r="M110" s="401">
        <f>'Stmts RUS'!AK140</f>
        <v>1.533385E-2</v>
      </c>
      <c r="N110" s="401">
        <f>'Stmts RUS'!AL140</f>
        <v>1.533385E-2</v>
      </c>
      <c r="O110" s="401">
        <f>'Stmts RUS'!AM140</f>
        <v>1.533385E-2</v>
      </c>
      <c r="P110" s="401">
        <f>'Stmts RUS'!AN140</f>
        <v>1.533385E-2</v>
      </c>
      <c r="Q110" s="401">
        <f>'Stmts RUS'!AO140</f>
        <v>1.533385E-2</v>
      </c>
      <c r="R110" s="401">
        <f>'Stmts RUS'!AP140</f>
        <v>1.533385E-2</v>
      </c>
      <c r="S110" s="401">
        <f>'Stmts RUS'!AQ140</f>
        <v>1.533385E-2</v>
      </c>
      <c r="T110" s="409"/>
      <c r="U110" s="409"/>
    </row>
    <row r="111" spans="1:21">
      <c r="A111">
        <f t="shared" si="25"/>
        <v>108</v>
      </c>
      <c r="B111" t="s">
        <v>471</v>
      </c>
      <c r="F111" s="401">
        <f>SUM('Stmts RUS'!E141:E144)</f>
        <v>180.63343854999999</v>
      </c>
      <c r="G111" s="401">
        <f>SUM('Stmts RUS'!S141:S144)</f>
        <v>155.66227355551086</v>
      </c>
      <c r="H111" s="401">
        <f>SUM('Stmts RUS'!AF141:AF144)</f>
        <v>123.99762223042896</v>
      </c>
      <c r="I111" s="401">
        <f>SUM('Stmts RUS'!AG141:AG144)</f>
        <v>91.977619762858865</v>
      </c>
      <c r="J111" s="401">
        <f>SUM('Stmts RUS'!AH141:AH144)</f>
        <v>63.059144700644779</v>
      </c>
      <c r="K111" s="401">
        <f>SUM('Stmts RUS'!AI141:AI144)</f>
        <v>36.64809003482334</v>
      </c>
      <c r="L111" s="401">
        <f>SUM('Stmts RUS'!AJ141:AJ144)</f>
        <v>36.754701884467813</v>
      </c>
      <c r="M111" s="401">
        <f>SUM('Stmts RUS'!AK141:AK144)</f>
        <v>36.861633569661215</v>
      </c>
      <c r="N111" s="401">
        <f>SUM('Stmts RUS'!AL141:AL144)</f>
        <v>36.968886049910196</v>
      </c>
      <c r="O111" s="401">
        <f>SUM('Stmts RUS'!AM141:AM144)</f>
        <v>37.076460287599929</v>
      </c>
      <c r="P111" s="401">
        <f>SUM('Stmts RUS'!AN141:AN144)</f>
        <v>37.184357248002726</v>
      </c>
      <c r="Q111" s="401">
        <f>SUM('Stmts RUS'!AO141:AO144)</f>
        <v>37.292577899286734</v>
      </c>
      <c r="R111" s="401">
        <f>SUM('Stmts RUS'!AP141:AP144)</f>
        <v>37.401123212524595</v>
      </c>
      <c r="S111" s="401">
        <f>SUM('Stmts RUS'!AQ141:AQ144)</f>
        <v>37.509994161702167</v>
      </c>
      <c r="T111" s="409"/>
      <c r="U111" s="409"/>
    </row>
    <row r="112" spans="1:21">
      <c r="A112">
        <f t="shared" si="25"/>
        <v>109</v>
      </c>
      <c r="B112" t="s">
        <v>473</v>
      </c>
      <c r="F112" s="401">
        <f>'Stmts RUS'!E147</f>
        <v>7.3112799999999999E-3</v>
      </c>
      <c r="G112" s="401">
        <f>'Stmts RUS'!S147</f>
        <v>7.3112799999999999E-3</v>
      </c>
      <c r="H112" s="401">
        <f>'Stmts RUS'!AF147</f>
        <v>7.3112799999999999E-3</v>
      </c>
      <c r="I112" s="401">
        <f>'Stmts RUS'!AG147</f>
        <v>7.3112799999999999E-3</v>
      </c>
      <c r="J112" s="401">
        <f>'Stmts RUS'!AH147</f>
        <v>7.3112799999999999E-3</v>
      </c>
      <c r="K112" s="401">
        <f>'Stmts RUS'!AI147</f>
        <v>7.3112799999999999E-3</v>
      </c>
      <c r="L112" s="401">
        <f>'Stmts RUS'!AJ147</f>
        <v>7.3112799999999999E-3</v>
      </c>
      <c r="M112" s="401">
        <f>'Stmts RUS'!AK147</f>
        <v>7.3112799999999999E-3</v>
      </c>
      <c r="N112" s="401">
        <f>'Stmts RUS'!AL147</f>
        <v>7.3112799999999999E-3</v>
      </c>
      <c r="O112" s="401">
        <f>'Stmts RUS'!AM147</f>
        <v>7.3112799999999999E-3</v>
      </c>
      <c r="P112" s="401">
        <f>'Stmts RUS'!AN147</f>
        <v>7.3112799999999999E-3</v>
      </c>
      <c r="Q112" s="401">
        <f>'Stmts RUS'!AO147</f>
        <v>7.3112799999999999E-3</v>
      </c>
      <c r="R112" s="401">
        <f>'Stmts RUS'!AP147</f>
        <v>7.3112799999999999E-3</v>
      </c>
      <c r="S112" s="401">
        <f>'Stmts RUS'!AQ147</f>
        <v>7.3112799999999999E-3</v>
      </c>
      <c r="T112" s="409"/>
      <c r="U112" s="409"/>
    </row>
    <row r="113" spans="1:21">
      <c r="A113">
        <f t="shared" si="25"/>
        <v>110</v>
      </c>
      <c r="B113" t="s">
        <v>476</v>
      </c>
      <c r="D113" s="402"/>
      <c r="E113" s="402"/>
      <c r="F113" s="402">
        <f>'Stmts RUS'!E150</f>
        <v>110.16543623</v>
      </c>
      <c r="G113" s="402">
        <f>'Stmts RUS'!S150</f>
        <v>81.013919528534885</v>
      </c>
      <c r="H113" s="402">
        <f>'Stmts RUS'!AF150</f>
        <v>79.18292410508549</v>
      </c>
      <c r="I113" s="402">
        <f>'Stmts RUS'!AG150</f>
        <v>80.936025408638741</v>
      </c>
      <c r="J113" s="402">
        <f>'Stmts RUS'!AH150</f>
        <v>89.417837045038539</v>
      </c>
      <c r="K113" s="402">
        <f>'Stmts RUS'!AI150</f>
        <v>92.236796154146802</v>
      </c>
      <c r="L113" s="402">
        <f>'Stmts RUS'!AJ150</f>
        <v>94.776623449083829</v>
      </c>
      <c r="M113" s="402">
        <f>'Stmts RUS'!AK150</f>
        <v>82.843916943270003</v>
      </c>
      <c r="N113" s="402">
        <f>'Stmts RUS'!AL150</f>
        <v>58.61055342264325</v>
      </c>
      <c r="O113" s="402">
        <f>'Stmts RUS'!AM150</f>
        <v>28.704689500535043</v>
      </c>
      <c r="P113" s="402">
        <f>'Stmts RUS'!AN150</f>
        <v>18.586106691085465</v>
      </c>
      <c r="Q113" s="402">
        <f>'Stmts RUS'!AO150</f>
        <v>188.821858309026</v>
      </c>
      <c r="R113" s="402">
        <f>'Stmts RUS'!AP150</f>
        <v>152.21437382089945</v>
      </c>
      <c r="S113" s="402">
        <f>'Stmts RUS'!AQ150</f>
        <v>113.84606761712386</v>
      </c>
      <c r="T113" s="409"/>
      <c r="U113" s="409"/>
    </row>
    <row r="114" spans="1:21">
      <c r="A114">
        <f t="shared" si="25"/>
        <v>111</v>
      </c>
      <c r="B114" s="45" t="s">
        <v>131</v>
      </c>
      <c r="D114" s="401">
        <f>SUM(D109:D113)</f>
        <v>0</v>
      </c>
      <c r="E114" s="401">
        <f>SUM(E109:E113)</f>
        <v>0</v>
      </c>
      <c r="F114" s="401">
        <f>SUM(F109:F113)</f>
        <v>334.66231291000003</v>
      </c>
      <c r="G114" s="401">
        <f>SUM(G109:G113)</f>
        <v>279.25388490008783</v>
      </c>
      <c r="H114" s="401">
        <f>SUM(H109:H113)</f>
        <v>244.40231201155655</v>
      </c>
      <c r="I114" s="401">
        <f t="shared" ref="I114:S114" si="42">SUM(I109:I113)</f>
        <v>212.70547426753967</v>
      </c>
      <c r="J114" s="401">
        <f t="shared" si="42"/>
        <v>190.76082412172536</v>
      </c>
      <c r="K114" s="401">
        <f t="shared" si="42"/>
        <v>165.57843147501222</v>
      </c>
      <c r="L114" s="401">
        <f t="shared" si="42"/>
        <v>166.54777043959371</v>
      </c>
      <c r="M114" s="401">
        <f t="shared" si="42"/>
        <v>152.95335434897328</v>
      </c>
      <c r="N114" s="401">
        <f t="shared" si="42"/>
        <v>126.9620643985955</v>
      </c>
      <c r="O114" s="401">
        <f t="shared" si="42"/>
        <v>95.196788844177036</v>
      </c>
      <c r="P114" s="401">
        <f t="shared" si="42"/>
        <v>83.111753235130251</v>
      </c>
      <c r="Q114" s="401">
        <f t="shared" si="42"/>
        <v>251.2681516243548</v>
      </c>
      <c r="R114" s="401">
        <f t="shared" si="42"/>
        <v>212.46223433946614</v>
      </c>
      <c r="S114" s="401">
        <f t="shared" si="42"/>
        <v>171.7698993148681</v>
      </c>
      <c r="T114" s="409"/>
      <c r="U114" s="409"/>
    </row>
    <row r="115" spans="1:21">
      <c r="A115">
        <f t="shared" si="25"/>
        <v>112</v>
      </c>
      <c r="B115" s="506" t="s">
        <v>501</v>
      </c>
      <c r="D115" s="402"/>
      <c r="E115" s="402"/>
      <c r="F115" s="402">
        <f>'Stmts RUS'!E133</f>
        <v>2050.2216989799999</v>
      </c>
      <c r="G115" s="402">
        <f>'Stmts RUS'!S133</f>
        <v>2118.77269858</v>
      </c>
      <c r="H115" s="402">
        <f>'Stmts RUS'!AF133</f>
        <v>2184.1347170999998</v>
      </c>
      <c r="I115" s="402">
        <f>'Stmts RUS'!AG133</f>
        <v>2220.8204624999998</v>
      </c>
      <c r="J115" s="402">
        <f>'Stmts RUS'!AH133</f>
        <v>2250.0702554199997</v>
      </c>
      <c r="K115" s="402">
        <f>'Stmts RUS'!AI133</f>
        <v>2280.1933459037373</v>
      </c>
      <c r="L115" s="402">
        <f>'Stmts RUS'!AJ133</f>
        <v>2311.2201291019869</v>
      </c>
      <c r="M115" s="402">
        <f>'Stmts RUS'!AK133</f>
        <v>2351.6872863207977</v>
      </c>
      <c r="N115" s="402">
        <f>'Stmts RUS'!AL133</f>
        <v>2393.3684582561732</v>
      </c>
      <c r="O115" s="402">
        <f>'Stmts RUS'!AM133</f>
        <v>2436.3000653496092</v>
      </c>
      <c r="P115" s="402">
        <f>'Stmts RUS'!AN133</f>
        <v>2480.5196206558489</v>
      </c>
      <c r="Q115" s="402">
        <f>'Stmts RUS'!AO133</f>
        <v>2526.0657626212756</v>
      </c>
      <c r="R115" s="402">
        <f>'Stmts RUS'!AP133</f>
        <v>2572.9782888456652</v>
      </c>
      <c r="S115" s="402">
        <f>'Stmts RUS'!AQ133</f>
        <v>2621.2981908567863</v>
      </c>
      <c r="T115" s="409"/>
      <c r="U115" s="409"/>
    </row>
    <row r="116" spans="1:21">
      <c r="A116">
        <f t="shared" si="25"/>
        <v>113</v>
      </c>
      <c r="B116" s="507" t="s">
        <v>944</v>
      </c>
      <c r="C116" s="33"/>
      <c r="D116" s="508" t="e">
        <f>D114/D115</f>
        <v>#DIV/0!</v>
      </c>
      <c r="E116" s="508" t="e">
        <f>E114/E115</f>
        <v>#DIV/0!</v>
      </c>
      <c r="F116" s="508">
        <f t="shared" ref="F116" si="43">F114/F115</f>
        <v>0.16323225584652476</v>
      </c>
      <c r="G116" s="508">
        <f t="shared" ref="G116:S116" si="44">G114/G115</f>
        <v>0.13179983161348247</v>
      </c>
      <c r="H116" s="508">
        <f t="shared" si="44"/>
        <v>0.11189891818397696</v>
      </c>
      <c r="I116" s="508">
        <f t="shared" si="44"/>
        <v>9.5777879328477991E-2</v>
      </c>
      <c r="J116" s="508">
        <f t="shared" si="44"/>
        <v>8.477994127615264E-2</v>
      </c>
      <c r="K116" s="508">
        <f t="shared" si="44"/>
        <v>7.2615961173847943E-2</v>
      </c>
      <c r="L116" s="508">
        <f t="shared" si="44"/>
        <v>7.2060539947056024E-2</v>
      </c>
      <c r="M116" s="508">
        <f t="shared" si="44"/>
        <v>6.5039835542194044E-2</v>
      </c>
      <c r="N116" s="508">
        <f t="shared" si="44"/>
        <v>5.3047437790293701E-2</v>
      </c>
      <c r="O116" s="508">
        <f t="shared" si="44"/>
        <v>3.9074328404008103E-2</v>
      </c>
      <c r="P116" s="508">
        <f t="shared" si="44"/>
        <v>3.3505783442727019E-2</v>
      </c>
      <c r="Q116" s="508">
        <f t="shared" si="44"/>
        <v>9.9470154475953199E-2</v>
      </c>
      <c r="R116" s="508">
        <f t="shared" si="44"/>
        <v>8.2574437281701538E-2</v>
      </c>
      <c r="S116" s="508">
        <f t="shared" si="44"/>
        <v>6.5528561349490769E-2</v>
      </c>
      <c r="T116" s="958"/>
      <c r="U116" s="958"/>
    </row>
    <row r="117" spans="1:21">
      <c r="A117">
        <f t="shared" si="25"/>
        <v>114</v>
      </c>
    </row>
    <row r="118" spans="1:21">
      <c r="A118">
        <f t="shared" si="25"/>
        <v>115</v>
      </c>
    </row>
    <row r="119" spans="1:21">
      <c r="A119">
        <f t="shared" si="25"/>
        <v>116</v>
      </c>
    </row>
    <row r="120" spans="1:21">
      <c r="A120">
        <f t="shared" si="25"/>
        <v>117</v>
      </c>
      <c r="B120" s="406" t="s">
        <v>27</v>
      </c>
      <c r="C120" s="407"/>
      <c r="D120" s="407">
        <f>D4</f>
        <v>2010</v>
      </c>
      <c r="E120" s="407">
        <f>E4</f>
        <v>2011</v>
      </c>
      <c r="F120" s="407">
        <f t="shared" ref="F120:S120" si="45">F97</f>
        <v>2012</v>
      </c>
      <c r="G120" s="407">
        <f t="shared" si="45"/>
        <v>2013</v>
      </c>
      <c r="H120" s="407">
        <f t="shared" si="45"/>
        <v>2014</v>
      </c>
      <c r="I120" s="407">
        <f t="shared" si="45"/>
        <v>2015</v>
      </c>
      <c r="J120" s="407">
        <f t="shared" si="45"/>
        <v>2016</v>
      </c>
      <c r="K120" s="407">
        <f t="shared" si="45"/>
        <v>2017</v>
      </c>
      <c r="L120" s="407">
        <f t="shared" si="45"/>
        <v>2018</v>
      </c>
      <c r="M120" s="407">
        <f t="shared" si="45"/>
        <v>2019</v>
      </c>
      <c r="N120" s="407">
        <f t="shared" si="45"/>
        <v>2020</v>
      </c>
      <c r="O120" s="407">
        <f t="shared" si="45"/>
        <v>2021</v>
      </c>
      <c r="P120" s="407">
        <f t="shared" si="45"/>
        <v>2022</v>
      </c>
      <c r="Q120" s="407">
        <f t="shared" si="45"/>
        <v>2023</v>
      </c>
      <c r="R120" s="407">
        <f t="shared" si="45"/>
        <v>2024</v>
      </c>
      <c r="S120" s="407">
        <f t="shared" si="45"/>
        <v>2025</v>
      </c>
      <c r="T120" s="950"/>
      <c r="U120" s="950"/>
    </row>
    <row r="121" spans="1:21">
      <c r="A121">
        <f t="shared" si="25"/>
        <v>118</v>
      </c>
      <c r="B121" s="33" t="s">
        <v>28</v>
      </c>
      <c r="C121" s="33"/>
      <c r="D121" s="33"/>
      <c r="E121" s="33"/>
      <c r="F121" s="33"/>
    </row>
    <row r="122" spans="1:21">
      <c r="A122">
        <f t="shared" si="25"/>
        <v>119</v>
      </c>
      <c r="B122" s="46" t="s">
        <v>165</v>
      </c>
      <c r="C122" s="445"/>
      <c r="D122" s="554">
        <v>35.33</v>
      </c>
      <c r="E122" s="554">
        <v>42.45</v>
      </c>
      <c r="F122" s="567">
        <f>'Stmts RUS'!E57</f>
        <v>48.615979639251591</v>
      </c>
      <c r="G122" s="64">
        <f>'Stmts RUS'!S57</f>
        <v>53.426658124339262</v>
      </c>
      <c r="H122" s="64">
        <f>'Stmts RUS'!AF57</f>
        <v>62.840895414930209</v>
      </c>
      <c r="I122" s="64">
        <f>'Stmts RUS'!AG57</f>
        <v>62.859137629709181</v>
      </c>
      <c r="J122" s="64">
        <f>'Stmts RUS'!AH57</f>
        <v>62.876365601266471</v>
      </c>
      <c r="K122" s="64">
        <f>'Stmts RUS'!AI57</f>
        <v>62.899763635637321</v>
      </c>
      <c r="L122" s="64">
        <f>'Stmts RUS'!AJ57</f>
        <v>62.916073873070907</v>
      </c>
      <c r="M122" s="64">
        <f>'Stmts RUS'!AK57</f>
        <v>62.932176199464053</v>
      </c>
      <c r="N122" s="64">
        <f>'Stmts RUS'!AL57</f>
        <v>62.945872544263828</v>
      </c>
      <c r="O122" s="64">
        <f>'Stmts RUS'!AM57</f>
        <v>62.966980042308684</v>
      </c>
      <c r="P122" s="64">
        <f>'Stmts RUS'!AN57</f>
        <v>62.984567651738807</v>
      </c>
      <c r="Q122" s="64">
        <f>'Stmts RUS'!AO57</f>
        <v>63.002126593511996</v>
      </c>
      <c r="R122" s="64">
        <f>'Stmts RUS'!AP57</f>
        <v>63.016126251435885</v>
      </c>
      <c r="S122" s="64">
        <f>'Stmts RUS'!AQ57</f>
        <v>63.036728440565071</v>
      </c>
      <c r="T122" s="364"/>
      <c r="U122" s="364"/>
    </row>
    <row r="123" spans="1:21">
      <c r="A123">
        <f t="shared" si="25"/>
        <v>120</v>
      </c>
      <c r="B123" s="46" t="s">
        <v>1017</v>
      </c>
      <c r="C123" s="445"/>
      <c r="D123" s="554">
        <v>0</v>
      </c>
      <c r="E123" s="554">
        <v>-0.32</v>
      </c>
      <c r="F123" s="567">
        <f>'Stmts RUS'!E60</f>
        <v>-1.1400000000000001</v>
      </c>
      <c r="G123" s="64">
        <f>'Stmts RUS'!S60</f>
        <v>-1.1427162393649564</v>
      </c>
      <c r="H123" s="64">
        <f>'Stmts RUS'!AF60</f>
        <v>-0.56868103459754971</v>
      </c>
      <c r="I123" s="64">
        <f>'Stmts RUS'!AG60</f>
        <v>-0.31995189662832124</v>
      </c>
      <c r="J123" s="64">
        <f>'Stmts RUS'!AH60</f>
        <v>1.0340520374622204</v>
      </c>
      <c r="K123" s="64">
        <f>'Stmts RUS'!AI60</f>
        <v>0.98724368665736018</v>
      </c>
      <c r="L123" s="64">
        <f>'Stmts RUS'!AJ60</f>
        <v>0.98100747577917535</v>
      </c>
      <c r="M123" s="64">
        <f>'Stmts RUS'!AK60</f>
        <v>1.0689326218597828</v>
      </c>
      <c r="N123" s="64">
        <f>'Stmts RUS'!AL60</f>
        <v>1.0603839309684941</v>
      </c>
      <c r="O123" s="64">
        <f>'Stmts RUS'!AM60</f>
        <v>1.0459570615534537</v>
      </c>
      <c r="P123" s="64">
        <f>'Stmts RUS'!AN60</f>
        <v>1.1348643260993998</v>
      </c>
      <c r="Q123" s="64">
        <f>'Stmts RUS'!AO60</f>
        <v>1.1228930852424654</v>
      </c>
      <c r="R123" s="64">
        <f>'Stmts RUS'!AP60</f>
        <v>1.112034742502348</v>
      </c>
      <c r="S123" s="64">
        <f>'Stmts RUS'!AQ60</f>
        <v>1.1974052163063931</v>
      </c>
      <c r="T123" s="364"/>
      <c r="U123" s="364"/>
    </row>
    <row r="124" spans="1:21">
      <c r="A124">
        <f t="shared" si="25"/>
        <v>121</v>
      </c>
      <c r="B124" s="46" t="s">
        <v>231</v>
      </c>
      <c r="C124" s="445"/>
      <c r="D124" s="554">
        <v>9.98</v>
      </c>
      <c r="E124" s="554">
        <v>4.49</v>
      </c>
      <c r="F124" s="567">
        <f>'Stmts RUS'!E61</f>
        <v>2.8987849270395745</v>
      </c>
      <c r="G124" s="64">
        <f>'Stmts RUS'!S61</f>
        <v>4.2461757565989107</v>
      </c>
      <c r="H124" s="64">
        <f>'Stmts RUS'!AF61</f>
        <v>5.4058189836668387</v>
      </c>
      <c r="I124" s="64">
        <f>'Stmts RUS'!AG61</f>
        <v>6.4429337942454907</v>
      </c>
      <c r="J124" s="64">
        <f>'Stmts RUS'!AH61</f>
        <v>6.9344556727440256</v>
      </c>
      <c r="K124" s="64">
        <f>'Stmts RUS'!AI61</f>
        <v>8.1711410789152517</v>
      </c>
      <c r="L124" s="64">
        <f>'Stmts RUS'!AJ61</f>
        <v>9.089843981659989</v>
      </c>
      <c r="M124" s="64">
        <f>'Stmts RUS'!AK61</f>
        <v>9.6600154495524251</v>
      </c>
      <c r="N124" s="64">
        <f>'Stmts RUS'!AL61</f>
        <v>11.262019941767477</v>
      </c>
      <c r="O124" s="64">
        <f>'Stmts RUS'!AM61</f>
        <v>12.718998434024593</v>
      </c>
      <c r="P124" s="64">
        <f>'Stmts RUS'!AN61</f>
        <v>13.973213946999406</v>
      </c>
      <c r="Q124" s="64">
        <f>'Stmts RUS'!AO61</f>
        <v>15.594056537842711</v>
      </c>
      <c r="R124" s="64">
        <f>'Stmts RUS'!AP61</f>
        <v>16.312925925514492</v>
      </c>
      <c r="S124" s="64">
        <f>'Stmts RUS'!AQ61</f>
        <v>19.349098915653869</v>
      </c>
      <c r="T124" s="364"/>
      <c r="U124" s="364"/>
    </row>
    <row r="125" spans="1:21">
      <c r="A125">
        <f t="shared" si="25"/>
        <v>122</v>
      </c>
      <c r="B125" s="46" t="s">
        <v>232</v>
      </c>
      <c r="C125" s="445"/>
      <c r="D125" s="554">
        <v>2.25</v>
      </c>
      <c r="E125" s="554">
        <v>2.16</v>
      </c>
      <c r="F125" s="567">
        <f>'Stmts RUS'!E62</f>
        <v>2.2295018369076609</v>
      </c>
      <c r="G125" s="64">
        <f>'Stmts RUS'!S62</f>
        <v>3.2784424997760646</v>
      </c>
      <c r="H125" s="64">
        <f>'Stmts RUS'!AF62</f>
        <v>3.9494198760323456</v>
      </c>
      <c r="I125" s="64">
        <f>'Stmts RUS'!AG62</f>
        <v>4.9075887354609513</v>
      </c>
      <c r="J125" s="64">
        <f>'Stmts RUS'!AH62</f>
        <v>5.1911328499566567</v>
      </c>
      <c r="K125" s="64">
        <f>'Stmts RUS'!AI62</f>
        <v>5.274452177696916</v>
      </c>
      <c r="L125" s="64">
        <f>'Stmts RUS'!AJ62</f>
        <v>5.3447300474495458</v>
      </c>
      <c r="M125" s="64">
        <f>'Stmts RUS'!AK62</f>
        <v>5.4117956783830561</v>
      </c>
      <c r="N125" s="64">
        <f>'Stmts RUS'!AL62</f>
        <v>5.1633352438678726</v>
      </c>
      <c r="O125" s="64">
        <f>'Stmts RUS'!AM62</f>
        <v>4.9667201838802102</v>
      </c>
      <c r="P125" s="64">
        <f>'Stmts RUS'!AN62</f>
        <v>5.0992627990908099</v>
      </c>
      <c r="Q125" s="64">
        <f>'Stmts RUS'!AO62</f>
        <v>5.2652197893339148</v>
      </c>
      <c r="R125" s="64">
        <f>'Stmts RUS'!AP62</f>
        <v>5.3369250903621817</v>
      </c>
      <c r="S125" s="64">
        <f>'Stmts RUS'!AQ62</f>
        <v>5.4934264182554156</v>
      </c>
      <c r="T125" s="364"/>
      <c r="U125" s="364"/>
    </row>
    <row r="126" spans="1:21">
      <c r="A126">
        <f t="shared" si="25"/>
        <v>123</v>
      </c>
      <c r="B126" s="46" t="s">
        <v>29</v>
      </c>
      <c r="C126" s="445"/>
      <c r="D126" s="554">
        <v>-3.3</v>
      </c>
      <c r="E126" s="554">
        <v>-3.49</v>
      </c>
      <c r="F126" s="567">
        <f>'Stmts RUS'!E63</f>
        <v>-4.2</v>
      </c>
      <c r="G126" s="64">
        <f>'Stmts RUS'!S63</f>
        <v>-3.243887257942903</v>
      </c>
      <c r="H126" s="64">
        <f>'Stmts RUS'!AF63</f>
        <v>-1.7428092672385103</v>
      </c>
      <c r="I126" s="64">
        <f>'Stmts RUS'!AG63</f>
        <v>-1.7270976087488248</v>
      </c>
      <c r="J126" s="64">
        <f>'Stmts RUS'!AH63</f>
        <v>-1.7100561832913619</v>
      </c>
      <c r="K126" s="64">
        <f>'Stmts RUS'!AI63</f>
        <v>-2.194161608862812</v>
      </c>
      <c r="L126" s="64">
        <f>'Stmts RUS'!AJ63</f>
        <v>-2.3243394891963254</v>
      </c>
      <c r="M126" s="64">
        <f>'Stmts RUS'!AK63</f>
        <v>-2.3064338386218677</v>
      </c>
      <c r="N126" s="64">
        <f>'Stmts RUS'!AL63</f>
        <v>-2.2870896642681657</v>
      </c>
      <c r="O126" s="64">
        <f>'Stmts RUS'!AM63</f>
        <v>-2.2622949474014744</v>
      </c>
      <c r="P126" s="64">
        <f>'Stmts RUS'!AN63</f>
        <v>-2.2398610526860865</v>
      </c>
      <c r="Q126" s="64">
        <f>'Stmts RUS'!AO63</f>
        <v>-2.2174078410732232</v>
      </c>
      <c r="R126" s="64">
        <f>'Stmts RUS'!AP63</f>
        <v>-2.197370348866766</v>
      </c>
      <c r="S126" s="64">
        <f>'Stmts RUS'!AQ63</f>
        <v>-2.172887928901718</v>
      </c>
      <c r="T126" s="364"/>
      <c r="U126" s="364"/>
    </row>
    <row r="127" spans="1:21">
      <c r="A127">
        <f t="shared" si="25"/>
        <v>124</v>
      </c>
      <c r="B127" s="46" t="s">
        <v>30</v>
      </c>
      <c r="C127" s="445"/>
      <c r="D127" s="554">
        <v>0</v>
      </c>
      <c r="E127" s="554">
        <v>0</v>
      </c>
      <c r="F127" s="567">
        <f>'Stmts RUS'!E67</f>
        <v>0</v>
      </c>
      <c r="G127" s="64">
        <f>'Stmts RUS'!S67</f>
        <v>0</v>
      </c>
      <c r="H127" s="64">
        <f>'Stmts RUS'!AF67</f>
        <v>0</v>
      </c>
      <c r="I127" s="64">
        <f>'Stmts RUS'!AG67</f>
        <v>0</v>
      </c>
      <c r="J127" s="64">
        <f>'Stmts RUS'!AH67</f>
        <v>0</v>
      </c>
      <c r="K127" s="64">
        <f>'Stmts RUS'!AI67</f>
        <v>0</v>
      </c>
      <c r="L127" s="64">
        <f>'Stmts RUS'!AJ67</f>
        <v>0</v>
      </c>
      <c r="M127" s="64">
        <f>'Stmts RUS'!AK67</f>
        <v>-0.31314340031580845</v>
      </c>
      <c r="N127" s="64">
        <f>'Stmts RUS'!AL67</f>
        <v>-8.5329819294059561</v>
      </c>
      <c r="O127" s="64">
        <f>'Stmts RUS'!AM67</f>
        <v>-12.305029607254372</v>
      </c>
      <c r="P127" s="64">
        <f>'Stmts RUS'!AN67</f>
        <v>-12.794396322787291</v>
      </c>
      <c r="Q127" s="64">
        <f>'Stmts RUS'!AO67</f>
        <v>-9.781066518772791</v>
      </c>
      <c r="R127" s="64">
        <f>'Stmts RUS'!AP67</f>
        <v>-7.1339082448434095</v>
      </c>
      <c r="S127" s="64">
        <f>'Stmts RUS'!AQ67</f>
        <v>-5.2041900272870141</v>
      </c>
      <c r="T127" s="364"/>
      <c r="U127" s="364"/>
    </row>
    <row r="128" spans="1:21">
      <c r="A128">
        <f t="shared" si="25"/>
        <v>125</v>
      </c>
      <c r="B128" s="46" t="s">
        <v>35</v>
      </c>
      <c r="C128" s="62"/>
      <c r="D128" s="550"/>
      <c r="E128" s="550"/>
      <c r="F128" s="569"/>
    </row>
    <row r="129" spans="1:21">
      <c r="A129">
        <f t="shared" si="25"/>
        <v>126</v>
      </c>
      <c r="B129" s="48" t="s">
        <v>146</v>
      </c>
      <c r="C129" s="445"/>
      <c r="D129" s="554">
        <v>-7.91</v>
      </c>
      <c r="E129" s="554">
        <v>-6.22</v>
      </c>
      <c r="F129" s="567">
        <f>'Stmts RUS'!E65</f>
        <v>-6.1170716909868084</v>
      </c>
      <c r="G129" s="64">
        <f>'Stmts RUS'!S65</f>
        <v>-7.9821752356804128</v>
      </c>
      <c r="H129" s="64">
        <f>'Stmts RUS'!AF65</f>
        <v>-9.8034660398964384</v>
      </c>
      <c r="I129" s="64">
        <f>'Stmts RUS'!AG65</f>
        <v>-6.2570983071537745</v>
      </c>
      <c r="J129" s="64">
        <f>'Stmts RUS'!AH65</f>
        <v>0</v>
      </c>
      <c r="K129" s="64">
        <f>'Stmts RUS'!AI65</f>
        <v>0</v>
      </c>
      <c r="L129" s="64">
        <f>'Stmts RUS'!AJ65</f>
        <v>0</v>
      </c>
      <c r="M129" s="64">
        <f>'Stmts RUS'!AK65</f>
        <v>0</v>
      </c>
      <c r="N129" s="64">
        <f>'Stmts RUS'!AL65</f>
        <v>0</v>
      </c>
      <c r="O129" s="64">
        <f>'Stmts RUS'!AM65</f>
        <v>0</v>
      </c>
      <c r="P129" s="64">
        <f>'Stmts RUS'!AN65</f>
        <v>0</v>
      </c>
      <c r="Q129" s="64">
        <f>'Stmts RUS'!AO65</f>
        <v>0</v>
      </c>
      <c r="R129" s="64">
        <f>'Stmts RUS'!AP65</f>
        <v>0</v>
      </c>
      <c r="S129" s="64">
        <f>'Stmts RUS'!AQ65</f>
        <v>0</v>
      </c>
      <c r="T129" s="364"/>
      <c r="U129" s="364"/>
    </row>
    <row r="130" spans="1:21">
      <c r="A130">
        <f t="shared" si="25"/>
        <v>127</v>
      </c>
      <c r="B130" s="412" t="s">
        <v>639</v>
      </c>
      <c r="C130" s="446"/>
      <c r="D130" s="558">
        <v>0</v>
      </c>
      <c r="E130" s="558">
        <v>0</v>
      </c>
      <c r="F130" s="65">
        <f>'Stmts RUS'!E66</f>
        <v>0</v>
      </c>
      <c r="G130" s="65">
        <f>'Stmts RUS'!S66</f>
        <v>0</v>
      </c>
      <c r="H130" s="65">
        <f>'Stmts RUS'!AF66</f>
        <v>0</v>
      </c>
      <c r="I130" s="65">
        <f>'Stmts RUS'!AG66</f>
        <v>-3.5287851046699568</v>
      </c>
      <c r="J130" s="65">
        <f>'Stmts RUS'!AH66</f>
        <v>-8.6750515787998097</v>
      </c>
      <c r="K130" s="65">
        <f>'Stmts RUS'!AI66</f>
        <v>-7.7152740845275067</v>
      </c>
      <c r="L130" s="65">
        <f>'Stmts RUS'!AJ66</f>
        <v>0</v>
      </c>
      <c r="M130" s="65">
        <f>'Stmts RUS'!AK66</f>
        <v>0</v>
      </c>
      <c r="N130" s="65">
        <f>'Stmts RUS'!AL66</f>
        <v>0</v>
      </c>
      <c r="O130" s="65">
        <f>'Stmts RUS'!AM66</f>
        <v>0</v>
      </c>
      <c r="P130" s="65">
        <f>'Stmts RUS'!AN66</f>
        <v>0</v>
      </c>
      <c r="Q130" s="65">
        <f>'Stmts RUS'!AO66</f>
        <v>0</v>
      </c>
      <c r="R130" s="65">
        <f>'Stmts RUS'!AP66</f>
        <v>0</v>
      </c>
      <c r="S130" s="65">
        <f>'Stmts RUS'!AQ66</f>
        <v>0</v>
      </c>
      <c r="T130" s="364"/>
      <c r="U130" s="364"/>
    </row>
    <row r="131" spans="1:21">
      <c r="A131">
        <f t="shared" si="25"/>
        <v>128</v>
      </c>
      <c r="B131" s="411" t="s">
        <v>31</v>
      </c>
      <c r="C131" s="413"/>
      <c r="D131" s="413">
        <f t="shared" ref="D131:S131" si="46">SUM(D122:D130)</f>
        <v>36.350000000000009</v>
      </c>
      <c r="E131" s="413">
        <f t="shared" si="46"/>
        <v>39.07</v>
      </c>
      <c r="F131" s="413">
        <f t="shared" ref="F131" si="47">SUM(F122:F130)</f>
        <v>42.287194712212013</v>
      </c>
      <c r="G131" s="413">
        <f t="shared" si="46"/>
        <v>48.582497647725958</v>
      </c>
      <c r="H131" s="413">
        <f t="shared" si="46"/>
        <v>60.081177932896892</v>
      </c>
      <c r="I131" s="413">
        <f t="shared" si="46"/>
        <v>62.376727242214749</v>
      </c>
      <c r="J131" s="413">
        <f t="shared" si="46"/>
        <v>65.650898399338203</v>
      </c>
      <c r="K131" s="413">
        <f t="shared" si="46"/>
        <v>67.423164885516528</v>
      </c>
      <c r="L131" s="413">
        <f t="shared" si="46"/>
        <v>76.007315888763301</v>
      </c>
      <c r="M131" s="413">
        <f t="shared" si="46"/>
        <v>76.453342710321635</v>
      </c>
      <c r="N131" s="413">
        <f t="shared" si="46"/>
        <v>69.611540067193545</v>
      </c>
      <c r="O131" s="413">
        <f t="shared" si="46"/>
        <v>67.131331167111114</v>
      </c>
      <c r="P131" s="413">
        <f t="shared" si="46"/>
        <v>68.157651348455047</v>
      </c>
      <c r="Q131" s="413">
        <f t="shared" si="46"/>
        <v>72.985821646085057</v>
      </c>
      <c r="R131" s="413">
        <f t="shared" si="46"/>
        <v>76.446733416104735</v>
      </c>
      <c r="S131" s="413">
        <f t="shared" si="46"/>
        <v>81.699581034592015</v>
      </c>
      <c r="T131" s="954"/>
      <c r="U131" s="954"/>
    </row>
    <row r="132" spans="1:21">
      <c r="A132">
        <f t="shared" si="25"/>
        <v>129</v>
      </c>
    </row>
    <row r="133" spans="1:21">
      <c r="A133">
        <f t="shared" si="25"/>
        <v>130</v>
      </c>
    </row>
    <row r="134" spans="1:21">
      <c r="A134">
        <f t="shared" ref="A134:A181" si="48">A133+1</f>
        <v>131</v>
      </c>
    </row>
    <row r="135" spans="1:21">
      <c r="A135">
        <f t="shared" si="48"/>
        <v>132</v>
      </c>
      <c r="B135" s="406" t="s">
        <v>27</v>
      </c>
      <c r="C135" s="407"/>
      <c r="D135" s="407">
        <f>D4</f>
        <v>2010</v>
      </c>
      <c r="E135" s="407">
        <f>E4</f>
        <v>2011</v>
      </c>
      <c r="F135" s="407">
        <f t="shared" ref="F135:S135" si="49">F120</f>
        <v>2012</v>
      </c>
      <c r="G135" s="407">
        <f t="shared" si="49"/>
        <v>2013</v>
      </c>
      <c r="H135" s="407">
        <f t="shared" si="49"/>
        <v>2014</v>
      </c>
      <c r="I135" s="407">
        <f t="shared" si="49"/>
        <v>2015</v>
      </c>
      <c r="J135" s="407">
        <f t="shared" si="49"/>
        <v>2016</v>
      </c>
      <c r="K135" s="407">
        <f t="shared" si="49"/>
        <v>2017</v>
      </c>
      <c r="L135" s="407">
        <f t="shared" si="49"/>
        <v>2018</v>
      </c>
      <c r="M135" s="407">
        <f t="shared" si="49"/>
        <v>2019</v>
      </c>
      <c r="N135" s="407">
        <f t="shared" si="49"/>
        <v>2020</v>
      </c>
      <c r="O135" s="407">
        <f t="shared" si="49"/>
        <v>2021</v>
      </c>
      <c r="P135" s="407">
        <f t="shared" si="49"/>
        <v>2022</v>
      </c>
      <c r="Q135" s="407">
        <f t="shared" si="49"/>
        <v>2023</v>
      </c>
      <c r="R135" s="407">
        <f t="shared" si="49"/>
        <v>2024</v>
      </c>
      <c r="S135" s="407">
        <f t="shared" si="49"/>
        <v>2025</v>
      </c>
      <c r="T135" s="950"/>
      <c r="U135" s="950"/>
    </row>
    <row r="136" spans="1:21">
      <c r="A136">
        <f t="shared" si="48"/>
        <v>133</v>
      </c>
      <c r="B136" s="33" t="s">
        <v>164</v>
      </c>
      <c r="C136" s="33"/>
      <c r="D136" s="33"/>
      <c r="E136" s="33"/>
      <c r="F136" s="33"/>
    </row>
    <row r="137" spans="1:21">
      <c r="A137">
        <f t="shared" si="48"/>
        <v>134</v>
      </c>
      <c r="B137" s="46" t="s">
        <v>36</v>
      </c>
      <c r="C137" s="46"/>
      <c r="D137" s="554">
        <f>D139-D138</f>
        <v>29.07</v>
      </c>
      <c r="E137" s="554">
        <v>34.700000000000003</v>
      </c>
      <c r="F137" s="567">
        <f>'Stmts RUS'!E71-F138</f>
        <v>38.86</v>
      </c>
      <c r="G137" s="64">
        <f>'Stmts RUS'!S71-G138</f>
        <v>40.770570244060984</v>
      </c>
      <c r="H137" s="64">
        <f>'Stmts RUS'!AF71-H138</f>
        <v>47.346938775510225</v>
      </c>
      <c r="I137" s="64">
        <f>'Stmts RUS'!AG71-I138</f>
        <v>47.34693877551021</v>
      </c>
      <c r="J137" s="64">
        <f>'Stmts RUS'!AH71-J138</f>
        <v>47.299542767926837</v>
      </c>
      <c r="K137" s="64">
        <f>'Stmts RUS'!AI71-K138</f>
        <v>47.34693877551021</v>
      </c>
      <c r="L137" s="64">
        <f>'Stmts RUS'!AJ71-L138</f>
        <v>47.34693877551021</v>
      </c>
      <c r="M137" s="64">
        <f>'Stmts RUS'!AK71-M138</f>
        <v>47.34693877551021</v>
      </c>
      <c r="N137" s="64">
        <f>'Stmts RUS'!AL71-N138</f>
        <v>47.299542767926837</v>
      </c>
      <c r="O137" s="64">
        <f>'Stmts RUS'!AM71-O138</f>
        <v>47.34693877551021</v>
      </c>
      <c r="P137" s="64">
        <f>'Stmts RUS'!AN71-P138</f>
        <v>47.34693877551021</v>
      </c>
      <c r="Q137" s="64">
        <f>'Stmts RUS'!AO71-Q138</f>
        <v>47.34693877551021</v>
      </c>
      <c r="R137" s="64">
        <f>'Stmts RUS'!AP71-R138</f>
        <v>47.299542767926837</v>
      </c>
      <c r="S137" s="64">
        <f>'Stmts RUS'!AQ71-S138</f>
        <v>47.34693877551021</v>
      </c>
      <c r="T137" s="364"/>
      <c r="U137" s="364"/>
    </row>
    <row r="138" spans="1:21">
      <c r="A138">
        <f t="shared" si="48"/>
        <v>135</v>
      </c>
      <c r="B138" s="46" t="s">
        <v>32</v>
      </c>
      <c r="C138" s="46"/>
      <c r="D138" s="554">
        <v>0.25</v>
      </c>
      <c r="E138" s="554">
        <v>0.25</v>
      </c>
      <c r="F138" s="567">
        <v>0.25</v>
      </c>
      <c r="G138" s="64">
        <v>0.25</v>
      </c>
      <c r="H138" s="64">
        <v>0.25</v>
      </c>
      <c r="I138" s="64">
        <v>0.25</v>
      </c>
      <c r="J138" s="64">
        <v>0.25</v>
      </c>
      <c r="K138" s="64">
        <v>0.25</v>
      </c>
      <c r="L138" s="64">
        <v>0.25</v>
      </c>
      <c r="M138" s="64">
        <v>0.25</v>
      </c>
      <c r="N138" s="64">
        <v>0.25</v>
      </c>
      <c r="O138" s="64">
        <v>0.25</v>
      </c>
      <c r="P138" s="64">
        <v>0.25</v>
      </c>
      <c r="Q138" s="64">
        <v>0.25</v>
      </c>
      <c r="R138" s="64">
        <v>0.25</v>
      </c>
      <c r="S138" s="64">
        <v>0.25</v>
      </c>
      <c r="T138" s="364"/>
      <c r="U138" s="364"/>
    </row>
    <row r="139" spans="1:21">
      <c r="A139">
        <f t="shared" si="48"/>
        <v>136</v>
      </c>
      <c r="B139" s="46" t="s">
        <v>165</v>
      </c>
      <c r="C139" s="46"/>
      <c r="D139" s="554">
        <v>29.32</v>
      </c>
      <c r="E139" s="554">
        <v>34.950000000000003</v>
      </c>
      <c r="F139" s="567">
        <f t="shared" ref="F139" si="50">SUM(F137:F138)</f>
        <v>39.11</v>
      </c>
      <c r="G139" s="64">
        <f t="shared" ref="G139:S139" si="51">SUM(G137:G138)</f>
        <v>41.020570244060984</v>
      </c>
      <c r="H139" s="64">
        <f t="shared" si="51"/>
        <v>47.596938775510225</v>
      </c>
      <c r="I139" s="64">
        <f t="shared" si="51"/>
        <v>47.59693877551021</v>
      </c>
      <c r="J139" s="64">
        <f t="shared" si="51"/>
        <v>47.549542767926837</v>
      </c>
      <c r="K139" s="64">
        <f t="shared" si="51"/>
        <v>47.59693877551021</v>
      </c>
      <c r="L139" s="64">
        <f t="shared" si="51"/>
        <v>47.59693877551021</v>
      </c>
      <c r="M139" s="64">
        <f t="shared" si="51"/>
        <v>47.59693877551021</v>
      </c>
      <c r="N139" s="64">
        <f t="shared" si="51"/>
        <v>47.549542767926837</v>
      </c>
      <c r="O139" s="64">
        <f t="shared" si="51"/>
        <v>47.59693877551021</v>
      </c>
      <c r="P139" s="64">
        <f t="shared" si="51"/>
        <v>47.59693877551021</v>
      </c>
      <c r="Q139" s="64">
        <f t="shared" si="51"/>
        <v>47.59693877551021</v>
      </c>
      <c r="R139" s="64">
        <f t="shared" si="51"/>
        <v>47.549542767926837</v>
      </c>
      <c r="S139" s="64">
        <f t="shared" si="51"/>
        <v>47.59693877551021</v>
      </c>
      <c r="T139" s="364"/>
      <c r="U139" s="364"/>
    </row>
    <row r="140" spans="1:21">
      <c r="A140">
        <f t="shared" si="48"/>
        <v>137</v>
      </c>
      <c r="B140" s="46" t="s">
        <v>166</v>
      </c>
      <c r="C140" s="46"/>
      <c r="D140" s="554">
        <v>1.95</v>
      </c>
      <c r="E140" s="554">
        <v>1.95</v>
      </c>
      <c r="F140" s="567">
        <f>'Stmts RUS'!E72</f>
        <v>2.75</v>
      </c>
      <c r="G140" s="64">
        <f>'Stmts RUS'!S72</f>
        <v>2.95</v>
      </c>
      <c r="H140" s="64">
        <f>'Stmts RUS'!AF72</f>
        <v>2.9370446903542859</v>
      </c>
      <c r="I140" s="64">
        <f>'Stmts RUS'!AG72</f>
        <v>2.3643831002009095</v>
      </c>
      <c r="J140" s="64">
        <f>'Stmts RUS'!AH72</f>
        <v>3.55</v>
      </c>
      <c r="K140" s="64">
        <f>'Stmts RUS'!AI72</f>
        <v>3.55</v>
      </c>
      <c r="L140" s="64">
        <f>'Stmts RUS'!AJ72</f>
        <v>4.1500000000000004</v>
      </c>
      <c r="M140" s="64">
        <f>'Stmts RUS'!AK72</f>
        <v>0</v>
      </c>
      <c r="N140" s="64">
        <f>'Stmts RUS'!AL72</f>
        <v>0</v>
      </c>
      <c r="O140" s="64">
        <f>'Stmts RUS'!AM72</f>
        <v>0</v>
      </c>
      <c r="P140" s="64">
        <f>'Stmts RUS'!AN72</f>
        <v>0</v>
      </c>
      <c r="Q140" s="64">
        <f>'Stmts RUS'!AO72</f>
        <v>0</v>
      </c>
      <c r="R140" s="64">
        <f>'Stmts RUS'!AP72</f>
        <v>0</v>
      </c>
      <c r="S140" s="64">
        <f>'Stmts RUS'!AQ72</f>
        <v>0</v>
      </c>
      <c r="T140" s="364"/>
      <c r="U140" s="364"/>
    </row>
    <row r="141" spans="1:21">
      <c r="A141">
        <f t="shared" si="48"/>
        <v>138</v>
      </c>
      <c r="B141" s="46" t="s">
        <v>34</v>
      </c>
      <c r="C141" s="46"/>
      <c r="D141" s="554">
        <v>-1.18</v>
      </c>
      <c r="E141" s="554">
        <v>-0.7</v>
      </c>
      <c r="F141" s="567">
        <f>'Stmts RUS'!E74</f>
        <v>-0.27</v>
      </c>
      <c r="G141" s="64">
        <f>'Stmts RUS'!S74</f>
        <v>-0.53218347788049569</v>
      </c>
      <c r="H141" s="64">
        <f>'Stmts RUS'!AF74</f>
        <v>-0.36476889290358067</v>
      </c>
      <c r="I141" s="64">
        <f>'Stmts RUS'!AG74</f>
        <v>1.0131421398017837</v>
      </c>
      <c r="J141" s="64">
        <f>'Stmts RUS'!AH74</f>
        <v>0.99924221133673552</v>
      </c>
      <c r="K141" s="64">
        <f>'Stmts RUS'!AI74</f>
        <v>0.99135611566123527</v>
      </c>
      <c r="L141" s="64">
        <f>'Stmts RUS'!AJ74</f>
        <v>1.0765746673305254</v>
      </c>
      <c r="M141" s="64">
        <f>'Stmts RUS'!AK74</f>
        <v>1.0686185000164423</v>
      </c>
      <c r="N141" s="64">
        <f>'Stmts RUS'!AL74</f>
        <v>1.0561807903917591</v>
      </c>
      <c r="O141" s="64">
        <f>'Stmts RUS'!AM74</f>
        <v>1.1448931705845138</v>
      </c>
      <c r="P141" s="64">
        <f>'Stmts RUS'!AN74</f>
        <v>1.134146890515384</v>
      </c>
      <c r="Q141" s="64">
        <f>'Stmts RUS'!AO74</f>
        <v>1.123291046116063</v>
      </c>
      <c r="R141" s="64">
        <f>'Stmts RUS'!AP74</f>
        <v>1.2088481793355568</v>
      </c>
      <c r="S141" s="64">
        <f>'Stmts RUS'!AQ74</f>
        <v>1.2002371025658123</v>
      </c>
      <c r="T141" s="364"/>
      <c r="U141" s="364"/>
    </row>
    <row r="142" spans="1:21">
      <c r="A142">
        <f t="shared" si="48"/>
        <v>139</v>
      </c>
      <c r="B142" s="46" t="s">
        <v>231</v>
      </c>
      <c r="C142" s="46"/>
      <c r="D142" s="554">
        <v>10.130000000000001</v>
      </c>
      <c r="E142" s="554">
        <v>4.53</v>
      </c>
      <c r="F142" s="567">
        <f>'Stmts RUS'!E75</f>
        <v>2.92</v>
      </c>
      <c r="G142" s="64">
        <f>'Stmts RUS'!S75</f>
        <v>4.1582675375958669</v>
      </c>
      <c r="H142" s="64">
        <f>'Stmts RUS'!AF75</f>
        <v>5.4077226041794884</v>
      </c>
      <c r="I142" s="64">
        <f>'Stmts RUS'!AG75</f>
        <v>6.4429337942454907</v>
      </c>
      <c r="J142" s="64">
        <f>'Stmts RUS'!AH75</f>
        <v>6.9344556727440256</v>
      </c>
      <c r="K142" s="64">
        <f>'Stmts RUS'!AI75</f>
        <v>8.1711410789152517</v>
      </c>
      <c r="L142" s="64">
        <f>'Stmts RUS'!AJ75</f>
        <v>9.089843981659989</v>
      </c>
      <c r="M142" s="64">
        <f>'Stmts RUS'!AK75</f>
        <v>9.6600154495524251</v>
      </c>
      <c r="N142" s="64">
        <f>'Stmts RUS'!AL75</f>
        <v>11.262019941767477</v>
      </c>
      <c r="O142" s="64">
        <f>'Stmts RUS'!AM75</f>
        <v>12.718998434024591</v>
      </c>
      <c r="P142" s="64">
        <f>'Stmts RUS'!AN75</f>
        <v>13.973213946999408</v>
      </c>
      <c r="Q142" s="64">
        <f>'Stmts RUS'!AO75</f>
        <v>15.594056537842711</v>
      </c>
      <c r="R142" s="64">
        <f>'Stmts RUS'!AP75</f>
        <v>16.312925925514492</v>
      </c>
      <c r="S142" s="64">
        <f>'Stmts RUS'!AQ75</f>
        <v>19.349098915653869</v>
      </c>
      <c r="T142" s="364"/>
      <c r="U142" s="364"/>
    </row>
    <row r="143" spans="1:21">
      <c r="A143">
        <f t="shared" si="48"/>
        <v>140</v>
      </c>
      <c r="B143" s="46" t="s">
        <v>232</v>
      </c>
      <c r="C143" s="46"/>
      <c r="D143" s="554">
        <v>2.2599999999999998</v>
      </c>
      <c r="E143" s="554">
        <v>2.1800000000000002</v>
      </c>
      <c r="F143" s="567">
        <f>'Stmts RUS'!E76</f>
        <v>2.14</v>
      </c>
      <c r="G143" s="64">
        <f>'Stmts RUS'!S76</f>
        <v>2.5583803060579315</v>
      </c>
      <c r="H143" s="64">
        <f>'Stmts RUS'!AF76</f>
        <v>3.0548445024516373</v>
      </c>
      <c r="I143" s="64">
        <f>'Stmts RUS'!AG76</f>
        <v>3.8988459545865926</v>
      </c>
      <c r="J143" s="64">
        <f>'Stmts RUS'!AH76</f>
        <v>4.0471960292399274</v>
      </c>
      <c r="K143" s="64">
        <f>'Stmts RUS'!AI76</f>
        <v>4.1363305084292668</v>
      </c>
      <c r="L143" s="64">
        <f>'Stmts RUS'!AJ76</f>
        <v>4.2116223990043533</v>
      </c>
      <c r="M143" s="64">
        <f>'Stmts RUS'!AK76</f>
        <v>4.2667436399347398</v>
      </c>
      <c r="N143" s="64">
        <f>'Stmts RUS'!AL76</f>
        <v>4.0897229327858593</v>
      </c>
      <c r="O143" s="64">
        <f>'Stmts RUS'!AM76</f>
        <v>3.962066961948286</v>
      </c>
      <c r="P143" s="64">
        <f>'Stmts RUS'!AN76</f>
        <v>4.0781162283384651</v>
      </c>
      <c r="Q143" s="64">
        <f>'Stmts RUS'!AO76</f>
        <v>4.2312651417704696</v>
      </c>
      <c r="R143" s="64">
        <f>'Stmts RUS'!AP76</f>
        <v>4.30061956715035</v>
      </c>
      <c r="S143" s="64">
        <f>'Stmts RUS'!AQ76</f>
        <v>4.4624164222096425</v>
      </c>
      <c r="T143" s="364"/>
      <c r="U143" s="364"/>
    </row>
    <row r="144" spans="1:21">
      <c r="A144">
        <f t="shared" si="48"/>
        <v>141</v>
      </c>
      <c r="B144" s="46" t="s">
        <v>660</v>
      </c>
      <c r="C144" s="46"/>
      <c r="D144" s="554">
        <v>1.57</v>
      </c>
      <c r="E144" s="554">
        <v>1.57</v>
      </c>
      <c r="F144" s="567">
        <f>'Stmts RUS'!E77</f>
        <v>1.87</v>
      </c>
      <c r="G144" s="64">
        <f>'Stmts RUS'!S77</f>
        <v>1.8686047761308633</v>
      </c>
      <c r="H144" s="64">
        <f>'Stmts RUS'!AF77</f>
        <v>1.8715040840636439</v>
      </c>
      <c r="I144" s="64">
        <f>'Stmts RUS'!AG77</f>
        <v>1.8715040840636434</v>
      </c>
      <c r="J144" s="64">
        <f>'Stmts RUS'!AH77</f>
        <v>1.8696693734514478</v>
      </c>
      <c r="K144" s="64">
        <f>'Stmts RUS'!AI77</f>
        <v>2.4310154854079808</v>
      </c>
      <c r="L144" s="64">
        <f>'Stmts RUS'!AJ77</f>
        <v>2.5954643799151582</v>
      </c>
      <c r="M144" s="64">
        <f>'Stmts RUS'!AK77</f>
        <v>2.5954643799151582</v>
      </c>
      <c r="N144" s="64">
        <f>'Stmts RUS'!AL77</f>
        <v>2.5916516357077399</v>
      </c>
      <c r="O144" s="64">
        <f>'Stmts RUS'!AM77</f>
        <v>2.5954643799151582</v>
      </c>
      <c r="P144" s="64">
        <f>'Stmts RUS'!AN77</f>
        <v>2.5954643799151582</v>
      </c>
      <c r="Q144" s="64">
        <f>'Stmts RUS'!AO77</f>
        <v>2.5954643799151582</v>
      </c>
      <c r="R144" s="64">
        <f>'Stmts RUS'!AP77</f>
        <v>2.5916516357077399</v>
      </c>
      <c r="S144" s="64">
        <f>'Stmts RUS'!AQ77</f>
        <v>2.5954643799151582</v>
      </c>
      <c r="T144" s="364"/>
      <c r="U144" s="364"/>
    </row>
    <row r="145" spans="1:22">
      <c r="A145">
        <f t="shared" si="48"/>
        <v>142</v>
      </c>
      <c r="B145" s="416" t="s">
        <v>33</v>
      </c>
      <c r="C145" s="450"/>
      <c r="D145" s="554">
        <v>0</v>
      </c>
      <c r="E145" s="554">
        <v>0</v>
      </c>
      <c r="F145" s="567">
        <f>'Stmts RUS'!E78</f>
        <v>0</v>
      </c>
      <c r="G145" s="64">
        <f>'Stmts RUS'!S78</f>
        <v>0</v>
      </c>
      <c r="H145" s="64">
        <f>'Stmts RUS'!AF78</f>
        <v>0</v>
      </c>
      <c r="I145" s="64">
        <f>'Stmts RUS'!AG78</f>
        <v>0</v>
      </c>
      <c r="J145" s="64">
        <f>'Stmts RUS'!AH78</f>
        <v>0</v>
      </c>
      <c r="K145" s="64">
        <f>'Stmts RUS'!AI78</f>
        <v>0</v>
      </c>
      <c r="L145" s="64">
        <f>'Stmts RUS'!AJ78</f>
        <v>0</v>
      </c>
      <c r="M145" s="64">
        <f>'Stmts RUS'!AK78</f>
        <v>-0.31314340031580845</v>
      </c>
      <c r="N145" s="64">
        <f>'Stmts RUS'!AL78</f>
        <v>-8.5329819294059579</v>
      </c>
      <c r="O145" s="64">
        <f>'Stmts RUS'!AM78</f>
        <v>-12.305029607254372</v>
      </c>
      <c r="P145" s="64">
        <f>'Stmts RUS'!AN78</f>
        <v>-12.794396322787293</v>
      </c>
      <c r="Q145" s="64">
        <f>'Stmts RUS'!AO78</f>
        <v>-9.7810665187727928</v>
      </c>
      <c r="R145" s="64">
        <f>'Stmts RUS'!AP78</f>
        <v>-7.1339082448434095</v>
      </c>
      <c r="S145" s="64">
        <f>'Stmts RUS'!AQ78</f>
        <v>-5.204190027287015</v>
      </c>
      <c r="T145" s="364"/>
      <c r="U145" s="364"/>
    </row>
    <row r="146" spans="1:22">
      <c r="A146">
        <f t="shared" si="48"/>
        <v>143</v>
      </c>
      <c r="B146" s="414" t="s">
        <v>163</v>
      </c>
      <c r="C146" s="414"/>
      <c r="D146" s="415">
        <f t="shared" ref="D146:S146" si="52">SUM(D139:D145)</f>
        <v>44.05</v>
      </c>
      <c r="E146" s="415">
        <f t="shared" si="52"/>
        <v>44.480000000000004</v>
      </c>
      <c r="F146" s="415">
        <f t="shared" ref="F146" si="53">SUM(F139:F145)</f>
        <v>48.519999999999996</v>
      </c>
      <c r="G146" s="415">
        <f t="shared" si="52"/>
        <v>52.023639385965161</v>
      </c>
      <c r="H146" s="415">
        <f t="shared" si="52"/>
        <v>60.503285763655697</v>
      </c>
      <c r="I146" s="415">
        <f t="shared" si="52"/>
        <v>63.187747848408634</v>
      </c>
      <c r="J146" s="415">
        <f t="shared" si="52"/>
        <v>64.950106054698963</v>
      </c>
      <c r="K146" s="415">
        <f t="shared" si="52"/>
        <v>66.876781963923946</v>
      </c>
      <c r="L146" s="415">
        <f t="shared" si="52"/>
        <v>68.720444203420229</v>
      </c>
      <c r="M146" s="415">
        <f t="shared" si="52"/>
        <v>64.874637344613163</v>
      </c>
      <c r="N146" s="415">
        <f t="shared" si="52"/>
        <v>58.016136139173717</v>
      </c>
      <c r="O146" s="415">
        <f t="shared" si="52"/>
        <v>55.713332114728388</v>
      </c>
      <c r="P146" s="415">
        <f t="shared" si="52"/>
        <v>56.583483898491323</v>
      </c>
      <c r="Q146" s="415">
        <f t="shared" si="52"/>
        <v>61.359949362381812</v>
      </c>
      <c r="R146" s="415">
        <f t="shared" si="52"/>
        <v>64.829679830791562</v>
      </c>
      <c r="S146" s="415">
        <f t="shared" si="52"/>
        <v>69.999965568567688</v>
      </c>
      <c r="T146" s="954"/>
      <c r="U146" s="954"/>
    </row>
    <row r="147" spans="1:22">
      <c r="A147">
        <f t="shared" si="48"/>
        <v>144</v>
      </c>
      <c r="F147" s="64"/>
    </row>
    <row r="148" spans="1:22">
      <c r="A148">
        <f t="shared" si="48"/>
        <v>145</v>
      </c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364"/>
      <c r="U148" s="364"/>
    </row>
    <row r="149" spans="1:22">
      <c r="A149">
        <f t="shared" si="48"/>
        <v>146</v>
      </c>
    </row>
    <row r="150" spans="1:22">
      <c r="A150">
        <f t="shared" si="48"/>
        <v>147</v>
      </c>
      <c r="B150" s="406" t="s">
        <v>848</v>
      </c>
      <c r="C150" s="406"/>
      <c r="D150" s="407">
        <f>D4</f>
        <v>2010</v>
      </c>
      <c r="E150" s="407">
        <f>E4</f>
        <v>2011</v>
      </c>
      <c r="F150" s="407">
        <f t="shared" ref="F150:S150" si="54">F135</f>
        <v>2012</v>
      </c>
      <c r="G150" s="407">
        <f t="shared" si="54"/>
        <v>2013</v>
      </c>
      <c r="H150" s="407">
        <f t="shared" si="54"/>
        <v>2014</v>
      </c>
      <c r="I150" s="407">
        <f t="shared" si="54"/>
        <v>2015</v>
      </c>
      <c r="J150" s="407">
        <f t="shared" si="54"/>
        <v>2016</v>
      </c>
      <c r="K150" s="407">
        <f t="shared" si="54"/>
        <v>2017</v>
      </c>
      <c r="L150" s="407">
        <f t="shared" si="54"/>
        <v>2018</v>
      </c>
      <c r="M150" s="407">
        <f t="shared" si="54"/>
        <v>2019</v>
      </c>
      <c r="N150" s="407">
        <f t="shared" si="54"/>
        <v>2020</v>
      </c>
      <c r="O150" s="407">
        <f t="shared" si="54"/>
        <v>2021</v>
      </c>
      <c r="P150" s="407">
        <f t="shared" si="54"/>
        <v>2022</v>
      </c>
      <c r="Q150" s="407">
        <f t="shared" si="54"/>
        <v>2023</v>
      </c>
      <c r="R150" s="407">
        <f t="shared" si="54"/>
        <v>2024</v>
      </c>
      <c r="S150" s="407">
        <f t="shared" si="54"/>
        <v>2025</v>
      </c>
      <c r="T150" s="950"/>
      <c r="U150" s="950"/>
    </row>
    <row r="151" spans="1:22">
      <c r="A151">
        <f t="shared" si="48"/>
        <v>148</v>
      </c>
      <c r="B151" s="427" t="s">
        <v>845</v>
      </c>
      <c r="C151" s="427"/>
      <c r="D151" s="427"/>
      <c r="E151" s="427"/>
      <c r="F151" s="427"/>
      <c r="G151" s="428"/>
      <c r="H151" s="428"/>
      <c r="I151" s="428"/>
      <c r="J151" s="428"/>
      <c r="K151" s="428"/>
      <c r="L151" s="428"/>
      <c r="M151" s="428"/>
      <c r="N151" s="428"/>
      <c r="O151" s="428"/>
      <c r="P151" s="428"/>
      <c r="Q151" s="428"/>
      <c r="R151" s="428"/>
      <c r="S151" s="428"/>
      <c r="T151" s="428"/>
      <c r="U151" s="428"/>
    </row>
    <row r="152" spans="1:22">
      <c r="A152">
        <f t="shared" si="48"/>
        <v>149</v>
      </c>
      <c r="B152" t="s">
        <v>133</v>
      </c>
      <c r="F152" s="566">
        <f>'Stmts RUS'!E7*1000000</f>
        <v>2321477.5979999998</v>
      </c>
      <c r="G152" s="105">
        <f>'Stmts RUS'!S7*1000000</f>
        <v>2409830</v>
      </c>
      <c r="H152" s="105">
        <f>'Stmts RUS'!AF7*1000000</f>
        <v>2448794.0000000005</v>
      </c>
      <c r="I152" s="105">
        <f>'Stmts RUS'!AG7*1000000</f>
        <v>2479656</v>
      </c>
      <c r="J152" s="105">
        <f>'Stmts RUS'!AH7*1000000</f>
        <v>2519437</v>
      </c>
      <c r="K152" s="105">
        <f>'Stmts RUS'!AI7*1000000</f>
        <v>2556535.6013638899</v>
      </c>
      <c r="L152" s="105">
        <f>'Stmts RUS'!AJ7*1000000</f>
        <v>2584016.4926056485</v>
      </c>
      <c r="M152" s="105">
        <f>'Stmts RUS'!AK7*1000000</f>
        <v>2611403.3762574792</v>
      </c>
      <c r="N152" s="105">
        <f>'Stmts RUS'!AL7*1000000</f>
        <v>2645605.8149199584</v>
      </c>
      <c r="O152" s="105">
        <f>'Stmts RUS'!AM7*1000000</f>
        <v>2680765.8009380656</v>
      </c>
      <c r="P152" s="105">
        <f>'Stmts RUS'!AN7*1000000</f>
        <v>2717067.5413719574</v>
      </c>
      <c r="Q152" s="105">
        <f>'Stmts RUS'!AO7*1000000</f>
        <v>2754136.0305730472</v>
      </c>
      <c r="R152" s="105">
        <f>'Stmts RUS'!AP7*1000000</f>
        <v>2792174.8894342924</v>
      </c>
      <c r="S152" s="105">
        <f>'Stmts RUS'!AQ7*1000000</f>
        <v>2829900.3046090975</v>
      </c>
      <c r="T152" s="946"/>
      <c r="U152" s="946"/>
    </row>
    <row r="153" spans="1:22">
      <c r="A153">
        <f t="shared" si="48"/>
        <v>150</v>
      </c>
      <c r="B153" t="s">
        <v>134</v>
      </c>
      <c r="F153" s="566">
        <f>'Stmts RUS'!E8*1000000</f>
        <v>961298.19400000002</v>
      </c>
      <c r="G153" s="105">
        <f>'Stmts RUS'!S8*1000000</f>
        <v>943027.44219999982</v>
      </c>
      <c r="H153" s="105">
        <f>'Stmts RUS'!AF8*1000000</f>
        <v>943698.67899999965</v>
      </c>
      <c r="I153" s="105">
        <f>'Stmts RUS'!AG8*1000000</f>
        <v>943698.679</v>
      </c>
      <c r="J153" s="105">
        <f>'Stmts RUS'!AH8*1000000</f>
        <v>944106.57820000011</v>
      </c>
      <c r="K153" s="105">
        <f>'Stmts RUS'!AI8*1000000</f>
        <v>943698.67900000012</v>
      </c>
      <c r="L153" s="105">
        <f>'Stmts RUS'!AJ8*1000000</f>
        <v>943698.67900000012</v>
      </c>
      <c r="M153" s="105">
        <f>'Stmts RUS'!AK8*1000000</f>
        <v>943698.67900000012</v>
      </c>
      <c r="N153" s="105">
        <f>'Stmts RUS'!AL8*1000000</f>
        <v>944106.57820000011</v>
      </c>
      <c r="O153" s="105">
        <f>'Stmts RUS'!AM8*1000000</f>
        <v>943698.67900000012</v>
      </c>
      <c r="P153" s="105">
        <f>'Stmts RUS'!AN8*1000000</f>
        <v>943698.67900000012</v>
      </c>
      <c r="Q153" s="105">
        <f>'Stmts RUS'!AO8*1000000</f>
        <v>943698.67900000012</v>
      </c>
      <c r="R153" s="105">
        <f>'Stmts RUS'!AP8*1000000</f>
        <v>944106.57820000011</v>
      </c>
      <c r="S153" s="105">
        <f>'Stmts RUS'!AQ8*1000000</f>
        <v>943698.67900000012</v>
      </c>
      <c r="T153" s="946"/>
      <c r="U153" s="946"/>
    </row>
    <row r="154" spans="1:22">
      <c r="A154">
        <f t="shared" si="48"/>
        <v>151</v>
      </c>
      <c r="B154" t="s">
        <v>164</v>
      </c>
      <c r="F154" s="566">
        <f>('Stmts RUS'!E9+'Stmts RUS'!E10)*1000000</f>
        <v>7424472.6439999994</v>
      </c>
      <c r="G154" s="105">
        <f>('Stmts RUS'!S9+'Stmts RUS'!S10)*1000000</f>
        <v>5820541.4399999995</v>
      </c>
      <c r="H154" s="105">
        <f>('Stmts RUS'!AF9+'Stmts RUS'!AF10)*1000000</f>
        <v>3159206.399999999</v>
      </c>
      <c r="I154" s="105">
        <f>('Stmts RUS'!AG9+'Stmts RUS'!AG10)*1000000</f>
        <v>3159206.4</v>
      </c>
      <c r="J154" s="105">
        <f>('Stmts RUS'!AH9+'Stmts RUS'!AH10)*1000000</f>
        <v>3167861.76</v>
      </c>
      <c r="K154" s="105">
        <f>('Stmts RUS'!AI9+'Stmts RUS'!AI10)*1000000</f>
        <v>3159206.4</v>
      </c>
      <c r="L154" s="105">
        <f>('Stmts RUS'!AJ9+'Stmts RUS'!AJ10)*1000000</f>
        <v>3159206.4</v>
      </c>
      <c r="M154" s="105">
        <f>('Stmts RUS'!AK9+'Stmts RUS'!AK10)*1000000</f>
        <v>3159206.4</v>
      </c>
      <c r="N154" s="105">
        <f>('Stmts RUS'!AL9+'Stmts RUS'!AL10)*1000000</f>
        <v>3167861.76</v>
      </c>
      <c r="O154" s="105">
        <f>('Stmts RUS'!AM9+'Stmts RUS'!AM10)*1000000</f>
        <v>3159206.4</v>
      </c>
      <c r="P154" s="105">
        <f>('Stmts RUS'!AN9+'Stmts RUS'!AN10)*1000000</f>
        <v>3159206.4</v>
      </c>
      <c r="Q154" s="105">
        <f>('Stmts RUS'!AO9+'Stmts RUS'!AO10)*1000000</f>
        <v>3159206.4</v>
      </c>
      <c r="R154" s="105">
        <f>('Stmts RUS'!AP9+'Stmts RUS'!AP10)*1000000</f>
        <v>3167861.76</v>
      </c>
      <c r="S154" s="105">
        <f>('Stmts RUS'!AQ9+'Stmts RUS'!AQ10)*1000000</f>
        <v>3159206.4</v>
      </c>
      <c r="T154" s="946"/>
      <c r="U154" s="946"/>
    </row>
    <row r="155" spans="1:22">
      <c r="A155">
        <f t="shared" si="48"/>
        <v>152</v>
      </c>
      <c r="B155" s="98" t="s">
        <v>846</v>
      </c>
      <c r="C155" s="98"/>
      <c r="D155" s="98"/>
      <c r="E155" s="98"/>
      <c r="F155" s="403">
        <f>('Stmts RUS'!E11)*1000000</f>
        <v>1536834.0079999999</v>
      </c>
      <c r="G155" s="403">
        <f>('Stmts RUS'!S11)*1000000</f>
        <v>1603328.547800001</v>
      </c>
      <c r="H155" s="403">
        <f>('Stmts RUS'!AF11)*1000000</f>
        <v>1766810.8509999993</v>
      </c>
      <c r="I155" s="403">
        <f>('Stmts RUS'!AG11)*1000000</f>
        <v>1708235.9210000001</v>
      </c>
      <c r="J155" s="403">
        <f>('Stmts RUS'!AH11)*1000000</f>
        <v>1627375.8318000003</v>
      </c>
      <c r="K155" s="403">
        <f>('Stmts RUS'!AI11)*1000000</f>
        <v>1555363.6296361089</v>
      </c>
      <c r="L155" s="403">
        <f>('Stmts RUS'!AJ11)*1000000</f>
        <v>1600764.8783943504</v>
      </c>
      <c r="M155" s="403">
        <f>('Stmts RUS'!AK11)*1000000</f>
        <v>4979112.2247425206</v>
      </c>
      <c r="N155" s="403">
        <f>('Stmts RUS'!AL11)*1000000</f>
        <v>5649703.5268800398</v>
      </c>
      <c r="O155" s="403">
        <f>('Stmts RUS'!AM11)*1000000</f>
        <v>5267832.4900619313</v>
      </c>
      <c r="P155" s="403">
        <f>('Stmts RUS'!AN11)*1000000</f>
        <v>5557671.9896280402</v>
      </c>
      <c r="Q155" s="403">
        <f>('Stmts RUS'!AO11)*1000000</f>
        <v>5109999.780426953</v>
      </c>
      <c r="R155" s="403">
        <f>('Stmts RUS'!AP11)*1000000</f>
        <v>5241905.6023657098</v>
      </c>
      <c r="S155" s="403">
        <f>('Stmts RUS'!AQ11)*1000000</f>
        <v>4858963.5963909011</v>
      </c>
      <c r="T155" s="946"/>
      <c r="U155" s="946"/>
    </row>
    <row r="156" spans="1:22">
      <c r="A156">
        <f t="shared" si="48"/>
        <v>153</v>
      </c>
      <c r="B156" s="429" t="s">
        <v>138</v>
      </c>
      <c r="C156" s="429"/>
      <c r="D156" s="431">
        <f>SUM(D152:D155)</f>
        <v>0</v>
      </c>
      <c r="E156" s="431">
        <f>SUM(E152:E155)</f>
        <v>0</v>
      </c>
      <c r="F156" s="431">
        <f t="shared" ref="F156" si="55">SUM(F152:F155)</f>
        <v>12244082.443999998</v>
      </c>
      <c r="G156" s="431">
        <f t="shared" ref="G156:S156" si="56">SUM(G152:G155)</f>
        <v>10776727.43</v>
      </c>
      <c r="H156" s="431">
        <f t="shared" si="56"/>
        <v>8318509.9299999978</v>
      </c>
      <c r="I156" s="431">
        <f t="shared" si="56"/>
        <v>8290797</v>
      </c>
      <c r="J156" s="431">
        <f t="shared" si="56"/>
        <v>8258781.1699999999</v>
      </c>
      <c r="K156" s="431">
        <f t="shared" si="56"/>
        <v>8214804.3099999987</v>
      </c>
      <c r="L156" s="431">
        <f t="shared" si="56"/>
        <v>8287686.4499999993</v>
      </c>
      <c r="M156" s="431">
        <f t="shared" si="56"/>
        <v>11693420.68</v>
      </c>
      <c r="N156" s="431">
        <f t="shared" si="56"/>
        <v>12407277.679999998</v>
      </c>
      <c r="O156" s="431">
        <f t="shared" si="56"/>
        <v>12051503.369999997</v>
      </c>
      <c r="P156" s="431">
        <f t="shared" si="56"/>
        <v>12377644.609999998</v>
      </c>
      <c r="Q156" s="431">
        <f t="shared" si="56"/>
        <v>11967040.890000001</v>
      </c>
      <c r="R156" s="431">
        <f t="shared" si="56"/>
        <v>12146048.830000002</v>
      </c>
      <c r="S156" s="431">
        <f t="shared" si="56"/>
        <v>11791768.979999999</v>
      </c>
      <c r="T156" s="946"/>
      <c r="U156" s="946"/>
    </row>
    <row r="157" spans="1:22">
      <c r="A157">
        <f t="shared" si="48"/>
        <v>154</v>
      </c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917"/>
      <c r="U157" s="917"/>
      <c r="V157" s="106"/>
    </row>
    <row r="158" spans="1:22">
      <c r="A158">
        <f t="shared" si="48"/>
        <v>155</v>
      </c>
      <c r="B158" s="33" t="s">
        <v>851</v>
      </c>
      <c r="C158" s="33"/>
      <c r="D158" s="33"/>
      <c r="E158" s="33"/>
      <c r="F158" s="33"/>
    </row>
    <row r="159" spans="1:22">
      <c r="A159">
        <f t="shared" si="48"/>
        <v>156</v>
      </c>
      <c r="B159" t="s">
        <v>133</v>
      </c>
      <c r="F159" s="567">
        <f>'Stmts RUS'!E37</f>
        <v>44.46</v>
      </c>
      <c r="G159" s="64">
        <f>'Stmts RUS'!S37</f>
        <v>51.353648145942195</v>
      </c>
      <c r="H159" s="64">
        <f>'Stmts RUS'!AF37</f>
        <v>64.253165719838762</v>
      </c>
      <c r="I159" s="64">
        <f>'Stmts RUS'!AG37</f>
        <v>65.451714794465062</v>
      </c>
      <c r="J159" s="64">
        <f>'Stmts RUS'!AH37</f>
        <v>66.769597625155768</v>
      </c>
      <c r="K159" s="64">
        <f>'Stmts RUS'!AI37</f>
        <v>68.884627779830467</v>
      </c>
      <c r="L159" s="64">
        <f>'Stmts RUS'!AJ37</f>
        <v>80.277419292900305</v>
      </c>
      <c r="M159" s="64">
        <f>'Stmts RUS'!AK37</f>
        <v>80.666236899028263</v>
      </c>
      <c r="N159" s="64">
        <f>'Stmts RUS'!AL37</f>
        <v>73.252097292285271</v>
      </c>
      <c r="O159" s="64">
        <f>'Stmts RUS'!AM37</f>
        <v>70.480836996060759</v>
      </c>
      <c r="P159" s="64">
        <f>'Stmts RUS'!AN37</f>
        <v>71.440507367889126</v>
      </c>
      <c r="Q159" s="64">
        <f>'Stmts RUS'!AO37</f>
        <v>76.412668694247458</v>
      </c>
      <c r="R159" s="64">
        <f>'Stmts RUS'!AP37</f>
        <v>79.993137608031518</v>
      </c>
      <c r="S159" s="64">
        <f>'Stmts RUS'!AQ37</f>
        <v>85.31102117491443</v>
      </c>
      <c r="T159" s="364"/>
      <c r="U159" s="364"/>
    </row>
    <row r="160" spans="1:22">
      <c r="A160">
        <f t="shared" si="48"/>
        <v>157</v>
      </c>
      <c r="B160" t="s">
        <v>134</v>
      </c>
      <c r="F160" s="567">
        <f>'Stmts RUS'!E54</f>
        <v>37.04</v>
      </c>
      <c r="G160" s="64">
        <f>'Stmts RUS'!S54</f>
        <v>41.501047727735035</v>
      </c>
      <c r="H160" s="64">
        <f>'Stmts RUS'!AF54</f>
        <v>49.255329716639622</v>
      </c>
      <c r="I160" s="64">
        <f>'Stmts RUS'!AG54</f>
        <v>54.29691161510943</v>
      </c>
      <c r="J160" s="64">
        <f>'Stmts RUS'!AH54</f>
        <v>62.665544535191032</v>
      </c>
      <c r="K160" s="64">
        <f>'Stmts RUS'!AI54</f>
        <v>63.463975366098012</v>
      </c>
      <c r="L160" s="64">
        <f>'Stmts RUS'!AJ54</f>
        <v>64.315005761643192</v>
      </c>
      <c r="M160" s="64">
        <f>'Stmts RUS'!AK54</f>
        <v>64.795420162563204</v>
      </c>
      <c r="N160" s="64">
        <f>'Stmts RUS'!AL54</f>
        <v>59.409853534498716</v>
      </c>
      <c r="O160" s="64">
        <f>'Stmts RUS'!AM54</f>
        <v>57.616386539016545</v>
      </c>
      <c r="P160" s="64">
        <f>'Stmts RUS'!AN54</f>
        <v>58.705755598369052</v>
      </c>
      <c r="Q160" s="64">
        <f>'Stmts RUS'!AO54</f>
        <v>62.984744886490574</v>
      </c>
      <c r="R160" s="64">
        <f>'Stmts RUS'!AP54</f>
        <v>65.958319331159288</v>
      </c>
      <c r="S160" s="64">
        <f>'Stmts RUS'!AQ54</f>
        <v>70.869836561487901</v>
      </c>
      <c r="T160" s="364"/>
      <c r="U160" s="364"/>
    </row>
    <row r="161" spans="1:22">
      <c r="A161">
        <f t="shared" si="48"/>
        <v>158</v>
      </c>
      <c r="B161" t="s">
        <v>164</v>
      </c>
      <c r="F161" s="567">
        <f>'Stmts RUS'!E79</f>
        <v>48.519999999999996</v>
      </c>
      <c r="G161" s="64">
        <f>'Stmts RUS'!S79</f>
        <v>52.02363938596514</v>
      </c>
      <c r="H161" s="64">
        <f>'Stmts RUS'!AF79</f>
        <v>60.503285763655697</v>
      </c>
      <c r="I161" s="64">
        <f>'Stmts RUS'!AG79</f>
        <v>63.187747848408634</v>
      </c>
      <c r="J161" s="64">
        <f>'Stmts RUS'!AH79</f>
        <v>64.950106054698963</v>
      </c>
      <c r="K161" s="64">
        <f>'Stmts RUS'!AI79</f>
        <v>66.876781963923946</v>
      </c>
      <c r="L161" s="64">
        <f>'Stmts RUS'!AJ79</f>
        <v>68.720444203420229</v>
      </c>
      <c r="M161" s="64">
        <f>'Stmts RUS'!AK79</f>
        <v>64.874637344613163</v>
      </c>
      <c r="N161" s="64">
        <f>'Stmts RUS'!AL79</f>
        <v>58.016136139173717</v>
      </c>
      <c r="O161" s="64">
        <f>'Stmts RUS'!AM79</f>
        <v>55.713332114728388</v>
      </c>
      <c r="P161" s="64">
        <f>'Stmts RUS'!AN79</f>
        <v>56.583483898491338</v>
      </c>
      <c r="Q161" s="64">
        <f>'Stmts RUS'!AO79</f>
        <v>61.359949362381826</v>
      </c>
      <c r="R161" s="64">
        <f>'Stmts RUS'!AP79</f>
        <v>64.829679830791576</v>
      </c>
      <c r="S161" s="64">
        <f>'Stmts RUS'!AQ79</f>
        <v>69.999965568567674</v>
      </c>
      <c r="T161" s="364"/>
      <c r="U161" s="364"/>
    </row>
    <row r="162" spans="1:22">
      <c r="A162">
        <f t="shared" si="48"/>
        <v>159</v>
      </c>
      <c r="B162" t="s">
        <v>846</v>
      </c>
      <c r="F162" s="567">
        <f>'Stmts RUS'!E81</f>
        <v>28.814705973112481</v>
      </c>
      <c r="G162" s="64">
        <f>'Stmts RUS'!S81</f>
        <v>30.778511443569016</v>
      </c>
      <c r="H162" s="64">
        <f>'Stmts RUS'!AF81</f>
        <v>31.692298807086363</v>
      </c>
      <c r="I162" s="64">
        <f>'Stmts RUS'!AG81</f>
        <v>34.384132258165153</v>
      </c>
      <c r="J162" s="64">
        <f>'Stmts RUS'!AH81</f>
        <v>35.562098758935107</v>
      </c>
      <c r="K162" s="64">
        <f>'Stmts RUS'!AI81</f>
        <v>38.020633509456623</v>
      </c>
      <c r="L162" s="64">
        <f>'Stmts RUS'!AJ81</f>
        <v>40.352919502700942</v>
      </c>
      <c r="M162" s="64">
        <f>'Stmts RUS'!AK81</f>
        <v>46.50406055078151</v>
      </c>
      <c r="N162" s="64">
        <f>'Stmts RUS'!AL81</f>
        <v>57.407079449718523</v>
      </c>
      <c r="O162" s="64">
        <f>'Stmts RUS'!AM81</f>
        <v>66.066469515730105</v>
      </c>
      <c r="P162" s="64">
        <f>'Stmts RUS'!AN81</f>
        <v>67.281217107295873</v>
      </c>
      <c r="Q162" s="64">
        <f>'Stmts RUS'!AO81</f>
        <v>68.486915409131257</v>
      </c>
      <c r="R162" s="64">
        <f>'Stmts RUS'!AP81</f>
        <v>69.026525458920162</v>
      </c>
      <c r="S162" s="64">
        <f>'Stmts RUS'!AQ81</f>
        <v>72.548398381810784</v>
      </c>
      <c r="T162" s="364"/>
      <c r="U162" s="364"/>
      <c r="V162" s="64"/>
    </row>
    <row r="163" spans="1:22">
      <c r="A163">
        <f t="shared" si="48"/>
        <v>160</v>
      </c>
    </row>
    <row r="164" spans="1:22">
      <c r="A164">
        <f t="shared" si="48"/>
        <v>161</v>
      </c>
      <c r="B164" s="33" t="s">
        <v>849</v>
      </c>
      <c r="C164" s="33"/>
      <c r="D164" s="33"/>
      <c r="E164" s="33"/>
      <c r="F164" s="33"/>
    </row>
    <row r="165" spans="1:22">
      <c r="A165">
        <f t="shared" si="48"/>
        <v>162</v>
      </c>
      <c r="B165" t="s">
        <v>133</v>
      </c>
      <c r="F165" s="898">
        <v>103.220195</v>
      </c>
      <c r="G165" s="364">
        <f t="shared" ref="G165:S165" si="57">G152*G159/1000000</f>
        <v>123.75356191153587</v>
      </c>
      <c r="H165" s="364">
        <f t="shared" si="57"/>
        <v>157.34276669574686</v>
      </c>
      <c r="I165" s="364">
        <f t="shared" si="57"/>
        <v>162.29773730038406</v>
      </c>
      <c r="J165" s="364">
        <f t="shared" si="57"/>
        <v>168.22179473192958</v>
      </c>
      <c r="K165" s="364">
        <f t="shared" si="57"/>
        <v>176.10600330583659</v>
      </c>
      <c r="L165" s="364">
        <f t="shared" si="57"/>
        <v>207.43817543667325</v>
      </c>
      <c r="M165" s="364">
        <f t="shared" si="57"/>
        <v>210.65208338810805</v>
      </c>
      <c r="N165" s="364">
        <f t="shared" si="57"/>
        <v>193.79617455155244</v>
      </c>
      <c r="O165" s="364">
        <f t="shared" si="57"/>
        <v>188.94261744053006</v>
      </c>
      <c r="P165" s="364">
        <f t="shared" si="57"/>
        <v>194.10868370843571</v>
      </c>
      <c r="Q165" s="364">
        <f t="shared" si="57"/>
        <v>210.45088404306804</v>
      </c>
      <c r="R165" s="364">
        <f t="shared" si="57"/>
        <v>223.35483015620753</v>
      </c>
      <c r="S165" s="364">
        <f t="shared" si="57"/>
        <v>241.4216848094035</v>
      </c>
      <c r="T165" s="364"/>
      <c r="U165" s="364"/>
    </row>
    <row r="166" spans="1:22">
      <c r="A166">
        <f t="shared" si="48"/>
        <v>163</v>
      </c>
      <c r="B166" t="s">
        <v>134</v>
      </c>
      <c r="F166" s="898">
        <v>35.60282642</v>
      </c>
      <c r="G166" s="364">
        <f t="shared" ref="G166:S166" si="58">G153*G160/1000000</f>
        <v>39.136626887306086</v>
      </c>
      <c r="H166" s="364">
        <f t="shared" si="58"/>
        <v>46.482189587302237</v>
      </c>
      <c r="I166" s="364">
        <f t="shared" si="58"/>
        <v>51.239923764958526</v>
      </c>
      <c r="J166" s="364">
        <f t="shared" si="58"/>
        <v>59.162952822158921</v>
      </c>
      <c r="K166" s="364">
        <f t="shared" si="58"/>
        <v>59.89086971707524</v>
      </c>
      <c r="L166" s="364">
        <f t="shared" si="58"/>
        <v>60.693985977140073</v>
      </c>
      <c r="M166" s="364">
        <f t="shared" si="58"/>
        <v>61.147352412660865</v>
      </c>
      <c r="N166" s="364">
        <f t="shared" si="58"/>
        <v>56.089233531818763</v>
      </c>
      <c r="O166" s="364">
        <f t="shared" si="58"/>
        <v>54.372507865623305</v>
      </c>
      <c r="P166" s="364">
        <f t="shared" si="58"/>
        <v>55.400544007877734</v>
      </c>
      <c r="Q166" s="364">
        <f t="shared" si="58"/>
        <v>59.438620546533166</v>
      </c>
      <c r="R166" s="364">
        <f t="shared" si="58"/>
        <v>62.271683167563715</v>
      </c>
      <c r="S166" s="364">
        <f t="shared" si="58"/>
        <v>66.879771144022044</v>
      </c>
      <c r="T166" s="364"/>
      <c r="U166" s="364"/>
    </row>
    <row r="167" spans="1:22">
      <c r="A167">
        <f t="shared" si="48"/>
        <v>164</v>
      </c>
      <c r="B167" t="s">
        <v>164</v>
      </c>
      <c r="F167" s="898">
        <v>360.20826049999999</v>
      </c>
      <c r="G167" s="364">
        <f t="shared" ref="G167:S167" si="59">G154*G161/1000000</f>
        <v>302.80574890562622</v>
      </c>
      <c r="H167" s="364">
        <f t="shared" si="59"/>
        <v>191.14236760556989</v>
      </c>
      <c r="I167" s="364">
        <f t="shared" si="59"/>
        <v>199.62313740427879</v>
      </c>
      <c r="J167" s="364">
        <f t="shared" si="59"/>
        <v>205.7529572786253</v>
      </c>
      <c r="K167" s="364">
        <f t="shared" si="59"/>
        <v>211.27755759183307</v>
      </c>
      <c r="L167" s="364">
        <f t="shared" si="59"/>
        <v>217.10206713828808</v>
      </c>
      <c r="M167" s="364">
        <f t="shared" si="59"/>
        <v>204.9523694967809</v>
      </c>
      <c r="N167" s="364">
        <f t="shared" si="59"/>
        <v>183.78709913824244</v>
      </c>
      <c r="O167" s="364">
        <f t="shared" si="59"/>
        <v>176.00991538217545</v>
      </c>
      <c r="P167" s="364">
        <f t="shared" si="59"/>
        <v>178.7589044664108</v>
      </c>
      <c r="Q167" s="364">
        <f t="shared" si="59"/>
        <v>193.84874472931256</v>
      </c>
      <c r="R167" s="364">
        <f t="shared" si="59"/>
        <v>205.37146364900789</v>
      </c>
      <c r="S167" s="364">
        <f t="shared" si="59"/>
        <v>221.14433922399863</v>
      </c>
      <c r="T167" s="364"/>
      <c r="U167" s="364"/>
    </row>
    <row r="168" spans="1:22">
      <c r="A168">
        <f t="shared" si="48"/>
        <v>165</v>
      </c>
      <c r="B168" t="s">
        <v>846</v>
      </c>
      <c r="F168" s="898">
        <v>44.283420069999998</v>
      </c>
      <c r="G168" s="364">
        <f>G155*G162/1000000</f>
        <v>49.348066056263221</v>
      </c>
      <c r="H168" s="364">
        <f>H155*H162/1000000</f>
        <v>55.994297425494523</v>
      </c>
      <c r="I168" s="364">
        <f>I155*I162/1000000</f>
        <v>58.736209835812559</v>
      </c>
      <c r="J168" s="364">
        <f>J155*J162/1000000</f>
        <v>57.872900048375776</v>
      </c>
      <c r="K168" s="364">
        <f t="shared" ref="K168:S168" si="60">K155*K162/1000000</f>
        <v>59.135910536332716</v>
      </c>
      <c r="L168" s="364">
        <f t="shared" si="60"/>
        <v>64.595536280598083</v>
      </c>
      <c r="M168" s="364">
        <f t="shared" si="60"/>
        <v>231.54893638856262</v>
      </c>
      <c r="N168" s="364">
        <f t="shared" si="60"/>
        <v>324.33297923495741</v>
      </c>
      <c r="O168" s="364">
        <f t="shared" si="60"/>
        <v>348.02709461864919</v>
      </c>
      <c r="P168" s="364">
        <f t="shared" si="60"/>
        <v>373.92693574530119</v>
      </c>
      <c r="Q168" s="364">
        <f t="shared" si="60"/>
        <v>349.96812270278002</v>
      </c>
      <c r="R168" s="364">
        <f t="shared" si="60"/>
        <v>361.8305305149529</v>
      </c>
      <c r="S168" s="364">
        <f t="shared" si="60"/>
        <v>352.5100267136832</v>
      </c>
      <c r="T168" s="364"/>
      <c r="U168" s="364"/>
    </row>
    <row r="169" spans="1:22">
      <c r="A169">
        <f t="shared" si="48"/>
        <v>166</v>
      </c>
      <c r="B169" s="98" t="s">
        <v>847</v>
      </c>
      <c r="C169" s="98"/>
      <c r="D169" s="98"/>
      <c r="E169" s="98"/>
      <c r="F169" s="558">
        <v>20.07042972</v>
      </c>
      <c r="G169" s="65">
        <f>'Stmts RUS'!S247</f>
        <v>26.76309564389561</v>
      </c>
      <c r="H169" s="65">
        <f>'Stmts RUS'!AF247</f>
        <v>33.25818676917379</v>
      </c>
      <c r="I169" s="65">
        <f>'Stmts RUS'!AG247</f>
        <v>33.500549766015254</v>
      </c>
      <c r="J169" s="65">
        <f>'Stmts RUS'!AH247</f>
        <v>30.046419186305851</v>
      </c>
      <c r="K169" s="65">
        <f>'Stmts RUS'!AI247</f>
        <v>27.005266833066308</v>
      </c>
      <c r="L169" s="65">
        <f>'Stmts RUS'!AJ247</f>
        <v>0</v>
      </c>
      <c r="M169" s="65">
        <f>'Stmts RUS'!AK247</f>
        <v>0</v>
      </c>
      <c r="N169" s="65">
        <f>'Stmts RUS'!AL247</f>
        <v>0</v>
      </c>
      <c r="O169" s="65">
        <f>'Stmts RUS'!AM247</f>
        <v>0</v>
      </c>
      <c r="P169" s="65">
        <f>'Stmts RUS'!AN247</f>
        <v>0</v>
      </c>
      <c r="Q169" s="65">
        <f>'Stmts RUS'!AO247</f>
        <v>0</v>
      </c>
      <c r="R169" s="65">
        <f>'Stmts RUS'!AP247</f>
        <v>0</v>
      </c>
      <c r="S169" s="65">
        <f>'Stmts RUS'!AQ247</f>
        <v>0</v>
      </c>
      <c r="T169" s="364"/>
      <c r="U169" s="364"/>
    </row>
    <row r="170" spans="1:22">
      <c r="A170">
        <f t="shared" si="48"/>
        <v>167</v>
      </c>
      <c r="B170" s="429" t="s">
        <v>850</v>
      </c>
      <c r="C170" s="429"/>
      <c r="D170" s="430">
        <f>SUM(D165:D169)</f>
        <v>0</v>
      </c>
      <c r="E170" s="430">
        <f>SUM(E165:E169)</f>
        <v>0</v>
      </c>
      <c r="F170" s="515">
        <f t="shared" ref="F170" si="61">SUM(F165:F169)</f>
        <v>563.38513171</v>
      </c>
      <c r="G170" s="515">
        <f t="shared" ref="G170:S170" si="62">SUM(G165:G169)</f>
        <v>541.80709940462702</v>
      </c>
      <c r="H170" s="515">
        <f t="shared" si="62"/>
        <v>484.21980808328726</v>
      </c>
      <c r="I170" s="515">
        <f t="shared" si="62"/>
        <v>505.39755807144917</v>
      </c>
      <c r="J170" s="515">
        <f t="shared" si="62"/>
        <v>521.05702406739533</v>
      </c>
      <c r="K170" s="515">
        <f t="shared" si="62"/>
        <v>533.415607984144</v>
      </c>
      <c r="L170" s="515">
        <f t="shared" si="62"/>
        <v>549.82976483269954</v>
      </c>
      <c r="M170" s="515">
        <f t="shared" si="62"/>
        <v>708.30074168611247</v>
      </c>
      <c r="N170" s="515">
        <f t="shared" si="62"/>
        <v>758.00548645657102</v>
      </c>
      <c r="O170" s="515">
        <f t="shared" si="62"/>
        <v>767.35213530697797</v>
      </c>
      <c r="P170" s="515">
        <f t="shared" si="62"/>
        <v>802.19506792802542</v>
      </c>
      <c r="Q170" s="515">
        <f t="shared" si="62"/>
        <v>813.70637202169382</v>
      </c>
      <c r="R170" s="515">
        <f t="shared" si="62"/>
        <v>852.82850748773205</v>
      </c>
      <c r="S170" s="515">
        <f t="shared" si="62"/>
        <v>881.95582189110746</v>
      </c>
      <c r="T170" s="364"/>
      <c r="U170" s="364"/>
    </row>
    <row r="171" spans="1:22">
      <c r="A171">
        <f t="shared" si="48"/>
        <v>168</v>
      </c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0"/>
      <c r="U171" s="780"/>
    </row>
    <row r="172" spans="1:22">
      <c r="A172">
        <f t="shared" si="48"/>
        <v>169</v>
      </c>
    </row>
    <row r="173" spans="1:22">
      <c r="A173">
        <f t="shared" si="48"/>
        <v>170</v>
      </c>
    </row>
    <row r="174" spans="1:22">
      <c r="A174">
        <f t="shared" si="48"/>
        <v>171</v>
      </c>
      <c r="B174" s="406" t="s">
        <v>852</v>
      </c>
      <c r="C174" s="406"/>
      <c r="D174" s="407">
        <f>D4</f>
        <v>2010</v>
      </c>
      <c r="E174" s="407">
        <f>E4</f>
        <v>2011</v>
      </c>
      <c r="F174" s="407">
        <f t="shared" ref="F174:S174" si="63">F150</f>
        <v>2012</v>
      </c>
      <c r="G174" s="407">
        <f t="shared" si="63"/>
        <v>2013</v>
      </c>
      <c r="H174" s="407">
        <f t="shared" si="63"/>
        <v>2014</v>
      </c>
      <c r="I174" s="407">
        <f t="shared" si="63"/>
        <v>2015</v>
      </c>
      <c r="J174" s="407">
        <f t="shared" si="63"/>
        <v>2016</v>
      </c>
      <c r="K174" s="407">
        <f t="shared" si="63"/>
        <v>2017</v>
      </c>
      <c r="L174" s="407">
        <f t="shared" si="63"/>
        <v>2018</v>
      </c>
      <c r="M174" s="407">
        <f t="shared" si="63"/>
        <v>2019</v>
      </c>
      <c r="N174" s="407">
        <f t="shared" si="63"/>
        <v>2020</v>
      </c>
      <c r="O174" s="407">
        <f t="shared" si="63"/>
        <v>2021</v>
      </c>
      <c r="P174" s="407">
        <f t="shared" si="63"/>
        <v>2022</v>
      </c>
      <c r="Q174" s="407">
        <f t="shared" si="63"/>
        <v>2023</v>
      </c>
      <c r="R174" s="407">
        <f t="shared" si="63"/>
        <v>2024</v>
      </c>
      <c r="S174" s="407">
        <f t="shared" si="63"/>
        <v>2025</v>
      </c>
      <c r="T174" s="950"/>
      <c r="U174" s="950"/>
    </row>
    <row r="175" spans="1:22">
      <c r="A175">
        <f t="shared" si="48"/>
        <v>172</v>
      </c>
      <c r="B175" t="s">
        <v>853</v>
      </c>
      <c r="F175" s="401">
        <f>'Stmts RUS'!E336</f>
        <v>558.08976008000002</v>
      </c>
      <c r="G175" s="401">
        <f>'Stmts RUS'!S336</f>
        <v>543.83755083851736</v>
      </c>
      <c r="H175" s="401">
        <f>'Stmts RUS'!AF336</f>
        <v>481.14794566605815</v>
      </c>
      <c r="I175" s="401">
        <f>'Stmts RUS'!AG336</f>
        <v>502.18977355841832</v>
      </c>
      <c r="J175" s="401">
        <f>'Stmts RUS'!AH336</f>
        <v>520.61162991848846</v>
      </c>
      <c r="K175" s="401">
        <f>'Stmts RUS'!AI336</f>
        <v>534.76913285659668</v>
      </c>
      <c r="L175" s="401">
        <f>'Stmts RUS'!AJ336</f>
        <v>550.40865368285404</v>
      </c>
      <c r="M175" s="401">
        <f>'Stmts RUS'!AK336</f>
        <v>704.94887989577421</v>
      </c>
      <c r="N175" s="401">
        <f>'Stmts RUS'!AL336</f>
        <v>754.99250676062172</v>
      </c>
      <c r="O175" s="401">
        <f>'Stmts RUS'!AM336</f>
        <v>764.75665746002619</v>
      </c>
      <c r="P175" s="401">
        <f>'Stmts RUS'!AN336</f>
        <v>799.77069847713642</v>
      </c>
      <c r="Q175" s="401">
        <f>'Stmts RUS'!AO336</f>
        <v>811.22723792845022</v>
      </c>
      <c r="R175" s="401">
        <f>'Stmts RUS'!AP336</f>
        <v>847.53833424367713</v>
      </c>
      <c r="S175" s="401">
        <f>'Stmts RUS'!AQ336</f>
        <v>876.79280527173239</v>
      </c>
      <c r="T175" s="409"/>
      <c r="U175" s="409"/>
    </row>
    <row r="176" spans="1:22">
      <c r="A176">
        <f t="shared" si="48"/>
        <v>173</v>
      </c>
      <c r="B176" t="s">
        <v>855</v>
      </c>
      <c r="D176" s="402"/>
      <c r="E176" s="402"/>
      <c r="F176" s="402">
        <f>'Stmts RUS'!E337</f>
        <v>50.623078410000005</v>
      </c>
      <c r="G176" s="402">
        <f>'Stmts RUS'!S337</f>
        <v>56.334858577777915</v>
      </c>
      <c r="H176" s="402">
        <f>'Stmts RUS'!AF337</f>
        <v>64.347013888657301</v>
      </c>
      <c r="I176" s="402">
        <f>'Stmts RUS'!AG337</f>
        <v>66.934799370704425</v>
      </c>
      <c r="J176" s="402">
        <f>'Stmts RUS'!AH337</f>
        <v>65.925029285515166</v>
      </c>
      <c r="K176" s="402">
        <f>'Stmts RUS'!AI337</f>
        <v>67.041438589574057</v>
      </c>
      <c r="L176" s="402">
        <f>'Stmts RUS'!AJ337</f>
        <v>72.340187736792544</v>
      </c>
      <c r="M176" s="402">
        <f>'Stmts RUS'!AK337</f>
        <v>239.12311301510061</v>
      </c>
      <c r="N176" s="402">
        <f>'Stmts RUS'!AL337</f>
        <v>331.71185304153227</v>
      </c>
      <c r="O176" s="402">
        <f>'Stmts RUS'!AM337</f>
        <v>355.187417908925</v>
      </c>
      <c r="P176" s="402">
        <f>'Stmts RUS'!AN337</f>
        <v>380.85196170798849</v>
      </c>
      <c r="Q176" s="402">
        <f>'Stmts RUS'!AO337</f>
        <v>356.66561028384729</v>
      </c>
      <c r="R176" s="402">
        <f>'Stmts RUS'!AP337</f>
        <v>368.4683793735706</v>
      </c>
      <c r="S176" s="402">
        <f>'Stmts RUS'!AQ337</f>
        <v>358.86909813943601</v>
      </c>
      <c r="T176" s="409"/>
      <c r="U176" s="409"/>
    </row>
    <row r="177" spans="1:21">
      <c r="A177">
        <f t="shared" si="48"/>
        <v>174</v>
      </c>
      <c r="B177" t="s">
        <v>856</v>
      </c>
      <c r="D177" s="401">
        <f>D175-D176</f>
        <v>0</v>
      </c>
      <c r="E177" s="401">
        <f>E175-E176</f>
        <v>0</v>
      </c>
      <c r="F177" s="401">
        <f t="shared" ref="F177" si="64">F175-F176</f>
        <v>507.46668167000001</v>
      </c>
      <c r="G177" s="401">
        <f t="shared" ref="G177:S177" si="65">G175-G176</f>
        <v>487.50269226073942</v>
      </c>
      <c r="H177" s="401">
        <f t="shared" si="65"/>
        <v>416.80093177740082</v>
      </c>
      <c r="I177" s="401">
        <f t="shared" si="65"/>
        <v>435.25497418771391</v>
      </c>
      <c r="J177" s="401">
        <f t="shared" si="65"/>
        <v>454.6866006329733</v>
      </c>
      <c r="K177" s="401">
        <f t="shared" si="65"/>
        <v>467.72769426702263</v>
      </c>
      <c r="L177" s="401">
        <f t="shared" si="65"/>
        <v>478.06846594606151</v>
      </c>
      <c r="M177" s="401">
        <f t="shared" si="65"/>
        <v>465.8257668806736</v>
      </c>
      <c r="N177" s="401">
        <f t="shared" si="65"/>
        <v>423.28065371908946</v>
      </c>
      <c r="O177" s="401">
        <f t="shared" si="65"/>
        <v>409.56923955110119</v>
      </c>
      <c r="P177" s="401">
        <f t="shared" si="65"/>
        <v>418.91873676914793</v>
      </c>
      <c r="Q177" s="401">
        <f t="shared" si="65"/>
        <v>454.56162764460294</v>
      </c>
      <c r="R177" s="401">
        <f t="shared" si="65"/>
        <v>479.06995487010653</v>
      </c>
      <c r="S177" s="401">
        <f t="shared" si="65"/>
        <v>517.92370713229639</v>
      </c>
      <c r="T177" s="409"/>
      <c r="U177" s="409"/>
    </row>
    <row r="178" spans="1:21">
      <c r="A178">
        <f t="shared" si="48"/>
        <v>175</v>
      </c>
      <c r="D178" s="564"/>
      <c r="E178" s="564"/>
      <c r="F178" s="569"/>
    </row>
    <row r="179" spans="1:21">
      <c r="A179">
        <f t="shared" si="48"/>
        <v>176</v>
      </c>
      <c r="B179" t="s">
        <v>854</v>
      </c>
      <c r="D179" s="566">
        <f>D152+D153+D154</f>
        <v>0</v>
      </c>
      <c r="E179" s="566">
        <f>E152+E153+E154</f>
        <v>0</v>
      </c>
      <c r="F179" s="566">
        <f t="shared" ref="F179" si="66">F152+F153+F154</f>
        <v>10707248.435999999</v>
      </c>
      <c r="G179" s="105">
        <f t="shared" ref="G179:S179" si="67">G152+G153+G154</f>
        <v>9173398.8821999989</v>
      </c>
      <c r="H179" s="105">
        <f t="shared" si="67"/>
        <v>6551699.078999999</v>
      </c>
      <c r="I179" s="105">
        <f t="shared" si="67"/>
        <v>6582561.0789999999</v>
      </c>
      <c r="J179" s="105">
        <f t="shared" si="67"/>
        <v>6631405.3382000001</v>
      </c>
      <c r="K179" s="105">
        <f t="shared" si="67"/>
        <v>6659440.6803638898</v>
      </c>
      <c r="L179" s="105">
        <f t="shared" si="67"/>
        <v>6686921.5716056488</v>
      </c>
      <c r="M179" s="105">
        <f t="shared" si="67"/>
        <v>6714308.4552574791</v>
      </c>
      <c r="N179" s="105">
        <f t="shared" si="67"/>
        <v>6757574.153119958</v>
      </c>
      <c r="O179" s="105">
        <f t="shared" si="67"/>
        <v>6783670.879938066</v>
      </c>
      <c r="P179" s="105">
        <f t="shared" si="67"/>
        <v>6819972.6203719573</v>
      </c>
      <c r="Q179" s="105">
        <f t="shared" si="67"/>
        <v>6857041.1095730476</v>
      </c>
      <c r="R179" s="105">
        <f t="shared" si="67"/>
        <v>6904143.2276342921</v>
      </c>
      <c r="S179" s="105">
        <f t="shared" si="67"/>
        <v>6932805.3836090975</v>
      </c>
      <c r="T179" s="946"/>
      <c r="U179" s="946"/>
    </row>
    <row r="180" spans="1:21">
      <c r="A180">
        <f t="shared" si="48"/>
        <v>177</v>
      </c>
      <c r="B180" t="s">
        <v>857</v>
      </c>
      <c r="D180" s="567" t="e">
        <f>D177*1000000/D179</f>
        <v>#DIV/0!</v>
      </c>
      <c r="E180" s="567" t="e">
        <f>E177*1000000/E179</f>
        <v>#DIV/0!</v>
      </c>
      <c r="F180" s="567">
        <f t="shared" ref="F180" si="68">F177*1000000/F179</f>
        <v>47.394686384953147</v>
      </c>
      <c r="G180" s="64">
        <f t="shared" ref="G180:S180" si="69">G177*1000000/G179</f>
        <v>53.143082353770353</v>
      </c>
      <c r="H180" s="64">
        <f t="shared" si="69"/>
        <v>63.617227646086896</v>
      </c>
      <c r="I180" s="64">
        <f t="shared" si="69"/>
        <v>66.122436079823871</v>
      </c>
      <c r="J180" s="64">
        <f t="shared" si="69"/>
        <v>68.565647467478058</v>
      </c>
      <c r="K180" s="64">
        <f t="shared" si="69"/>
        <v>70.23528201792837</v>
      </c>
      <c r="L180" s="64">
        <f t="shared" si="69"/>
        <v>71.493057130512867</v>
      </c>
      <c r="M180" s="64">
        <f t="shared" si="69"/>
        <v>69.378070725350696</v>
      </c>
      <c r="N180" s="64">
        <f t="shared" si="69"/>
        <v>62.637959144504784</v>
      </c>
      <c r="O180" s="64">
        <f t="shared" si="69"/>
        <v>60.375753305242974</v>
      </c>
      <c r="P180" s="64">
        <f t="shared" si="69"/>
        <v>61.425281315322984</v>
      </c>
      <c r="Q180" s="64">
        <f t="shared" si="69"/>
        <v>66.291221006389179</v>
      </c>
      <c r="R180" s="64">
        <f t="shared" si="69"/>
        <v>69.388762526333053</v>
      </c>
      <c r="S180" s="64">
        <f t="shared" si="69"/>
        <v>74.706223307061066</v>
      </c>
      <c r="T180" s="364"/>
      <c r="U180" s="364"/>
    </row>
    <row r="181" spans="1:21">
      <c r="A181">
        <f t="shared" si="48"/>
        <v>178</v>
      </c>
      <c r="B181" t="s">
        <v>858</v>
      </c>
      <c r="D181" s="424" t="e">
        <f>D180/1000</f>
        <v>#DIV/0!</v>
      </c>
      <c r="E181" s="424" t="e">
        <f>E180/1000</f>
        <v>#DIV/0!</v>
      </c>
      <c r="F181" s="424">
        <f t="shared" ref="F181" si="70">F180/1000</f>
        <v>4.7394686384953144E-2</v>
      </c>
      <c r="G181" s="424">
        <f t="shared" ref="G181:S181" si="71">G180/1000</f>
        <v>5.3143082353770354E-2</v>
      </c>
      <c r="H181" s="424">
        <f t="shared" si="71"/>
        <v>6.3617227646086891E-2</v>
      </c>
      <c r="I181" s="424">
        <f t="shared" si="71"/>
        <v>6.6122436079823876E-2</v>
      </c>
      <c r="J181" s="424">
        <f t="shared" si="71"/>
        <v>6.8565647467478064E-2</v>
      </c>
      <c r="K181" s="424">
        <f t="shared" si="71"/>
        <v>7.0235282017928363E-2</v>
      </c>
      <c r="L181" s="424">
        <f t="shared" si="71"/>
        <v>7.1493057130512863E-2</v>
      </c>
      <c r="M181" s="424">
        <f t="shared" si="71"/>
        <v>6.9378070725350696E-2</v>
      </c>
      <c r="N181" s="424">
        <f t="shared" si="71"/>
        <v>6.263795914450479E-2</v>
      </c>
      <c r="O181" s="424">
        <f t="shared" si="71"/>
        <v>6.0375753305242974E-2</v>
      </c>
      <c r="P181" s="424">
        <f t="shared" si="71"/>
        <v>6.1425281315322981E-2</v>
      </c>
      <c r="Q181" s="424">
        <f t="shared" si="71"/>
        <v>6.6291221006389178E-2</v>
      </c>
      <c r="R181" s="424">
        <f t="shared" si="71"/>
        <v>6.9388762526333053E-2</v>
      </c>
      <c r="S181" s="424">
        <f t="shared" si="71"/>
        <v>7.4706223307061059E-2</v>
      </c>
      <c r="T181" s="959"/>
      <c r="U181" s="959"/>
    </row>
  </sheetData>
  <phoneticPr fontId="6" type="noConversion"/>
  <pageMargins left="0.75" right="0.75" top="1" bottom="1" header="0.5" footer="0.5"/>
  <pageSetup scale="49" fitToHeight="0" orientation="landscape" blackAndWhite="1" horizontalDpi="300" verticalDpi="300" r:id="rId1"/>
  <headerFooter alignWithMargins="0">
    <oddFooter>Page &amp;P of &amp;N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activeCell="G27" sqref="G27"/>
    </sheetView>
  </sheetViews>
  <sheetFormatPr defaultRowHeight="12.75"/>
  <cols>
    <col min="1" max="1" width="33.28515625" customWidth="1"/>
    <col min="16" max="17" width="9.140625" style="547"/>
  </cols>
  <sheetData>
    <row r="1" spans="1:17">
      <c r="A1" s="33" t="s">
        <v>947</v>
      </c>
    </row>
    <row r="2" spans="1:17">
      <c r="A2" s="33"/>
    </row>
    <row r="3" spans="1:17">
      <c r="A3" s="33"/>
      <c r="B3" s="516" t="s">
        <v>958</v>
      </c>
    </row>
    <row r="4" spans="1:17">
      <c r="B4" s="512">
        <f>'Stmts RUS'!E2</f>
        <v>2012</v>
      </c>
      <c r="C4" s="512">
        <f>'Stmts RUS'!S2</f>
        <v>2013</v>
      </c>
      <c r="D4" s="512">
        <f>'Stmts RUS'!AF2</f>
        <v>2014</v>
      </c>
      <c r="E4" s="512">
        <f>'Stmts RUS'!AG2</f>
        <v>2015</v>
      </c>
      <c r="F4" s="512">
        <f>'Stmts RUS'!AH2</f>
        <v>2016</v>
      </c>
      <c r="G4" s="512">
        <f>'Stmts RUS'!AI2</f>
        <v>2017</v>
      </c>
      <c r="H4" s="512">
        <f>'Stmts RUS'!AJ2</f>
        <v>2018</v>
      </c>
      <c r="I4" s="512">
        <f>'Stmts RUS'!AK2</f>
        <v>2019</v>
      </c>
      <c r="J4" s="512">
        <f>'Stmts RUS'!AL2</f>
        <v>2020</v>
      </c>
      <c r="K4" s="512">
        <f>'Stmts RUS'!AM2</f>
        <v>2021</v>
      </c>
      <c r="L4" s="512">
        <f>'Stmts RUS'!AN2</f>
        <v>2022</v>
      </c>
      <c r="M4" s="512">
        <f>'Stmts RUS'!AO2</f>
        <v>2023</v>
      </c>
      <c r="N4" s="512">
        <f>'Stmts RUS'!AP2</f>
        <v>2024</v>
      </c>
      <c r="O4" s="512">
        <f>'Stmts RUS'!AQ2</f>
        <v>2025</v>
      </c>
      <c r="P4" s="512"/>
      <c r="Q4" s="512"/>
    </row>
    <row r="5" spans="1:17">
      <c r="A5" t="s">
        <v>948</v>
      </c>
    </row>
    <row r="6" spans="1:17">
      <c r="A6" t="s">
        <v>952</v>
      </c>
    </row>
    <row r="7" spans="1:17">
      <c r="A7" s="46" t="s">
        <v>949</v>
      </c>
      <c r="B7" s="567">
        <f>ROUND('Stmts RUS'!E91,2)</f>
        <v>226.37</v>
      </c>
      <c r="C7" s="64">
        <f>ROUND('Stmts RUS'!S91,2)</f>
        <v>227.18</v>
      </c>
      <c r="D7" s="64">
        <f>ROUND('Stmts RUS'!AF91,2)</f>
        <v>174.95</v>
      </c>
      <c r="E7" s="64">
        <f>ROUND('Stmts RUS'!AG91,2)</f>
        <v>185.62</v>
      </c>
      <c r="F7" s="64">
        <f>ROUND('Stmts RUS'!AH91,2)</f>
        <v>187.48</v>
      </c>
      <c r="G7" s="64">
        <f>ROUND('Stmts RUS'!AI91,2)</f>
        <v>190.35</v>
      </c>
      <c r="H7" s="64">
        <f>ROUND('Stmts RUS'!AJ91,2)</f>
        <v>200.76</v>
      </c>
      <c r="I7" s="64">
        <f>ROUND('Stmts RUS'!AK91,2)</f>
        <v>307.97000000000003</v>
      </c>
      <c r="J7" s="64">
        <f>ROUND('Stmts RUS'!AL91,2)</f>
        <v>345.4</v>
      </c>
      <c r="K7" s="64">
        <f>ROUND('Stmts RUS'!AM91,2)</f>
        <v>356.3</v>
      </c>
      <c r="L7" s="64">
        <f>ROUND('Stmts RUS'!AN91,2)</f>
        <v>374.85</v>
      </c>
      <c r="M7" s="64">
        <f>ROUND('Stmts RUS'!AO91,2)</f>
        <v>377.32</v>
      </c>
      <c r="N7" s="64">
        <f>ROUND('Stmts RUS'!AP91,2)</f>
        <v>390.83</v>
      </c>
      <c r="O7" s="64">
        <f>ROUND('Stmts RUS'!AQ91,2)</f>
        <v>409.06</v>
      </c>
      <c r="P7" s="364"/>
      <c r="Q7" s="364"/>
    </row>
    <row r="8" spans="1:17">
      <c r="A8" s="46" t="s">
        <v>950</v>
      </c>
      <c r="B8" s="567">
        <f>ROUND('Stmts RUS'!E90,2)</f>
        <v>48.05</v>
      </c>
      <c r="C8" s="64">
        <f>ROUND('Stmts RUS'!S90,2)</f>
        <v>51.28</v>
      </c>
      <c r="D8" s="64">
        <f>ROUND('Stmts RUS'!AF90,2)</f>
        <v>43.25</v>
      </c>
      <c r="E8" s="64">
        <f>ROUND('Stmts RUS'!AG90,2)</f>
        <v>47.95</v>
      </c>
      <c r="F8" s="64">
        <f>ROUND('Stmts RUS'!AH90,2)</f>
        <v>50.49</v>
      </c>
      <c r="G8" s="64">
        <f>ROUND('Stmts RUS'!AI90,2)</f>
        <v>55.63</v>
      </c>
      <c r="H8" s="64">
        <f>ROUND('Stmts RUS'!AJ90,2)</f>
        <v>57.79</v>
      </c>
      <c r="I8" s="64">
        <f>ROUND('Stmts RUS'!AK90,2)</f>
        <v>84.93</v>
      </c>
      <c r="J8" s="64">
        <f>ROUND('Stmts RUS'!AL90,2)</f>
        <v>89.88</v>
      </c>
      <c r="K8" s="64">
        <f>ROUND('Stmts RUS'!AM90,2)</f>
        <v>91.55</v>
      </c>
      <c r="L8" s="64">
        <f>ROUND('Stmts RUS'!AN90,2)</f>
        <v>94.78</v>
      </c>
      <c r="M8" s="64">
        <f>ROUND('Stmts RUS'!AO90,2)</f>
        <v>96.17</v>
      </c>
      <c r="N8" s="64">
        <f>ROUND('Stmts RUS'!AP90,2)</f>
        <v>99.14</v>
      </c>
      <c r="O8" s="64">
        <f>ROUND('Stmts RUS'!AQ90,2)</f>
        <v>101.12</v>
      </c>
      <c r="P8" s="364"/>
      <c r="Q8" s="364"/>
    </row>
    <row r="9" spans="1:17">
      <c r="A9" s="46" t="s">
        <v>951</v>
      </c>
      <c r="B9" s="567">
        <f>ROUND('Stmts RUS'!E102,2)</f>
        <v>41.17</v>
      </c>
      <c r="C9" s="64">
        <f>ROUND('Stmts RUS'!S102,2)</f>
        <v>41.73</v>
      </c>
      <c r="D9" s="64">
        <f>ROUND('Stmts RUS'!AF102,2)</f>
        <v>40.409999999999997</v>
      </c>
      <c r="E9" s="64">
        <f>ROUND('Stmts RUS'!AG102,2)</f>
        <v>37.75</v>
      </c>
      <c r="F9" s="64">
        <f>ROUND('Stmts RUS'!AH102,2)</f>
        <v>42.59</v>
      </c>
      <c r="G9" s="64">
        <f>ROUND('Stmts RUS'!AI102,2)</f>
        <v>43.84</v>
      </c>
      <c r="H9" s="64">
        <f>ROUND('Stmts RUS'!AJ102,2)</f>
        <v>44.82</v>
      </c>
      <c r="I9" s="64">
        <f>ROUND('Stmts RUS'!AK102,2)</f>
        <v>59.7</v>
      </c>
      <c r="J9" s="64">
        <f>ROUND('Stmts RUS'!AL102,2)</f>
        <v>61.49</v>
      </c>
      <c r="K9" s="64">
        <f>ROUND('Stmts RUS'!AM102,2)</f>
        <v>63.34</v>
      </c>
      <c r="L9" s="64">
        <f>ROUND('Stmts RUS'!AN102,2)</f>
        <v>65.239999999999995</v>
      </c>
      <c r="M9" s="64">
        <f>ROUND('Stmts RUS'!AO102,2)</f>
        <v>67.19</v>
      </c>
      <c r="N9" s="64">
        <f>ROUND('Stmts RUS'!AP102,2)</f>
        <v>69.209999999999994</v>
      </c>
      <c r="O9" s="64">
        <f>ROUND('Stmts RUS'!AQ102,2)</f>
        <v>71.290000000000006</v>
      </c>
      <c r="P9" s="364"/>
      <c r="Q9" s="364"/>
    </row>
    <row r="10" spans="1:17">
      <c r="A10" s="261" t="s">
        <v>953</v>
      </c>
      <c r="B10" s="567">
        <f>ROUND('Stmts RUS'!E92,2)</f>
        <v>111.47</v>
      </c>
      <c r="C10" s="64">
        <f>ROUND('Stmts RUS'!S92,2)</f>
        <v>88.93</v>
      </c>
      <c r="D10" s="64">
        <f>ROUND('Stmts RUS'!AF92,2)</f>
        <v>86.7</v>
      </c>
      <c r="E10" s="64">
        <f>ROUND('Stmts RUS'!AG92,2)</f>
        <v>90.54</v>
      </c>
      <c r="F10" s="64">
        <f>ROUND('Stmts RUS'!AH92,2)</f>
        <v>97.89</v>
      </c>
      <c r="G10" s="64">
        <f>ROUND('Stmts RUS'!AI92,2)</f>
        <v>101.44</v>
      </c>
      <c r="H10" s="64">
        <f>ROUND('Stmts RUS'!AJ92,2)</f>
        <v>101.71</v>
      </c>
      <c r="I10" s="64">
        <f>ROUND('Stmts RUS'!AK92,2)</f>
        <v>105.47</v>
      </c>
      <c r="J10" s="64">
        <f>ROUND('Stmts RUS'!AL92,2)</f>
        <v>111.14</v>
      </c>
      <c r="K10" s="64">
        <f>ROUND('Stmts RUS'!AM92,2)</f>
        <v>106.65</v>
      </c>
      <c r="L10" s="64">
        <f>ROUND('Stmts RUS'!AN92,2)</f>
        <v>117.11</v>
      </c>
      <c r="M10" s="64">
        <f>ROUND('Stmts RUS'!AO92,2)</f>
        <v>120.83</v>
      </c>
      <c r="N10" s="64">
        <f>ROUND('Stmts RUS'!AP92,2)</f>
        <v>124.16</v>
      </c>
      <c r="O10" s="64">
        <f>ROUND('Stmts RUS'!AQ92,2)</f>
        <v>130.01</v>
      </c>
      <c r="P10" s="364"/>
      <c r="Q10" s="364"/>
    </row>
    <row r="11" spans="1:17">
      <c r="A11" s="261" t="s">
        <v>294</v>
      </c>
      <c r="B11" s="567">
        <f>ROUND(SUM('Stmts RUS'!E96:E99)+'Stmts RUS'!E105,2)</f>
        <v>27.99</v>
      </c>
      <c r="C11" s="64">
        <f>ROUND(SUM('Stmts RUS'!S96:S99)+'Stmts RUS'!S105,2)</f>
        <v>30.22</v>
      </c>
      <c r="D11" s="64">
        <f>ROUND(SUM('Stmts RUS'!AF96:AF99)+'Stmts RUS'!AF105,2)</f>
        <v>30.11</v>
      </c>
      <c r="E11" s="567">
        <f>ROUND(SUM('Stmts RUS'!AG96:AG99)+'Stmts RUS'!AG105,2)</f>
        <v>30.75</v>
      </c>
      <c r="F11" s="567">
        <f>ROUND(SUM('Stmts RUS'!AH96:AH99)+'Stmts RUS'!AH105,2)</f>
        <v>31.56</v>
      </c>
      <c r="G11" s="567">
        <f>ROUND(SUM('Stmts RUS'!AI96:AI99)+'Stmts RUS'!AI105,2)</f>
        <v>32.130000000000003</v>
      </c>
      <c r="H11" s="567">
        <f>ROUND(SUM('Stmts RUS'!AJ96:AJ99)+'Stmts RUS'!AJ105,2)</f>
        <v>33.08</v>
      </c>
      <c r="I11" s="567">
        <f>ROUND(SUM('Stmts RUS'!AK96:AK99)+'Stmts RUS'!AK105,2)</f>
        <v>34.06</v>
      </c>
      <c r="J11" s="567">
        <f>ROUND(SUM('Stmts RUS'!AL96:AL99)+'Stmts RUS'!AL105,2)</f>
        <v>35.07</v>
      </c>
      <c r="K11" s="567">
        <f>ROUND(SUM('Stmts RUS'!AM96:AM99)+'Stmts RUS'!AM105,2)</f>
        <v>36.1</v>
      </c>
      <c r="L11" s="567">
        <f>ROUND(SUM('Stmts RUS'!AN96:AN99)+'Stmts RUS'!AN105,2)</f>
        <v>37.17</v>
      </c>
      <c r="M11" s="567">
        <f>ROUND(SUM('Stmts RUS'!AO96:AO99)+'Stmts RUS'!AO105,2)</f>
        <v>38.270000000000003</v>
      </c>
      <c r="N11" s="567">
        <f>ROUND(SUM('Stmts RUS'!AP96:AP99)+'Stmts RUS'!AP105,2)</f>
        <v>39.409999999999997</v>
      </c>
      <c r="O11" s="567">
        <f>ROUND(SUM('Stmts RUS'!AQ96:AQ99)+'Stmts RUS'!AQ105,2)</f>
        <v>40.58</v>
      </c>
      <c r="P11" s="364"/>
      <c r="Q11" s="364"/>
    </row>
    <row r="12" spans="1:17">
      <c r="A12" s="261" t="s">
        <v>286</v>
      </c>
      <c r="B12" s="567">
        <f>ROUND('Stmts RUS'!E93+'Stmts RUS'!E94+'Stmts RUS'!E103,2)</f>
        <v>16.989999999999998</v>
      </c>
      <c r="C12" s="64">
        <f>ROUND('Stmts RUS'!S93+'Stmts RUS'!S94+'Stmts RUS'!S103,2)</f>
        <v>16.07</v>
      </c>
      <c r="D12" s="64">
        <f>ROUND('Stmts RUS'!AF93+'Stmts RUS'!AF94+'Stmts RUS'!AF103,2)</f>
        <v>15.17</v>
      </c>
      <c r="E12" s="567">
        <f>ROUND('Stmts RUS'!AG93+'Stmts RUS'!AG94+'Stmts RUS'!AG103,2)</f>
        <v>15.55</v>
      </c>
      <c r="F12" s="567">
        <f>ROUND('Stmts RUS'!AH93+'Stmts RUS'!AH94+'Stmts RUS'!AH103,2)</f>
        <v>15.99</v>
      </c>
      <c r="G12" s="567">
        <f>ROUND('Stmts RUS'!AI93+'Stmts RUS'!AI94+'Stmts RUS'!AI103,2)</f>
        <v>16.47</v>
      </c>
      <c r="H12" s="567">
        <f>ROUND('Stmts RUS'!AJ93+'Stmts RUS'!AJ94+'Stmts RUS'!AJ103,2)</f>
        <v>16.97</v>
      </c>
      <c r="I12" s="567">
        <f>ROUND('Stmts RUS'!AK93+'Stmts RUS'!AK94+'Stmts RUS'!AK103,2)</f>
        <v>17.47</v>
      </c>
      <c r="J12" s="567">
        <f>ROUND('Stmts RUS'!AL93+'Stmts RUS'!AL94+'Stmts RUS'!AL103,2)</f>
        <v>18</v>
      </c>
      <c r="K12" s="567">
        <f>ROUND('Stmts RUS'!AM93+'Stmts RUS'!AM94+'Stmts RUS'!AM103,2)</f>
        <v>18.54</v>
      </c>
      <c r="L12" s="567">
        <f>ROUND('Stmts RUS'!AN93+'Stmts RUS'!AN94+'Stmts RUS'!AN103,2)</f>
        <v>19.09</v>
      </c>
      <c r="M12" s="567">
        <f>ROUND('Stmts RUS'!AO93+'Stmts RUS'!AO94+'Stmts RUS'!AO103,2)</f>
        <v>19.670000000000002</v>
      </c>
      <c r="N12" s="567">
        <f>ROUND('Stmts RUS'!AP93+'Stmts RUS'!AP94+'Stmts RUS'!AP103,2)</f>
        <v>20.260000000000002</v>
      </c>
      <c r="O12" s="567">
        <f>ROUND('Stmts RUS'!AQ93+'Stmts RUS'!AQ94+'Stmts RUS'!AQ103,2)</f>
        <v>20.86</v>
      </c>
      <c r="P12" s="364"/>
      <c r="Q12" s="364"/>
    </row>
    <row r="13" spans="1:17">
      <c r="A13" s="261" t="s">
        <v>954</v>
      </c>
      <c r="B13" s="567">
        <f>ROUND('Stmts RUS'!E108,2)</f>
        <v>41.09</v>
      </c>
      <c r="C13" s="64">
        <f>ROUND('Stmts RUS'!S108,2)</f>
        <v>42.31</v>
      </c>
      <c r="D13" s="64">
        <f>ROUND('Stmts RUS'!AF108,2)</f>
        <v>44.91</v>
      </c>
      <c r="E13" s="64">
        <f>ROUND('Stmts RUS'!AG108,2)</f>
        <v>46.85</v>
      </c>
      <c r="F13" s="64">
        <f>ROUND('Stmts RUS'!AH108,2)</f>
        <v>47.8</v>
      </c>
      <c r="G13" s="64">
        <f>ROUND('Stmts RUS'!AI108,2)</f>
        <v>48.65</v>
      </c>
      <c r="H13" s="64">
        <f>ROUND('Stmts RUS'!AJ108,2)</f>
        <v>49.53</v>
      </c>
      <c r="I13" s="64">
        <f>ROUND('Stmts RUS'!AK108,2)</f>
        <v>50.32</v>
      </c>
      <c r="J13" s="64">
        <f>ROUND('Stmts RUS'!AL108,2)</f>
        <v>51.22</v>
      </c>
      <c r="K13" s="64">
        <f>ROUND('Stmts RUS'!AM108,2)</f>
        <v>52.15</v>
      </c>
      <c r="L13" s="64">
        <f>ROUND('Stmts RUS'!AN108,2)</f>
        <v>53.11</v>
      </c>
      <c r="M13" s="64">
        <f>ROUND('Stmts RUS'!AO108,2)</f>
        <v>54.09</v>
      </c>
      <c r="N13" s="64">
        <f>ROUND('Stmts RUS'!AP108,2)</f>
        <v>55.11</v>
      </c>
      <c r="O13" s="64">
        <f>ROUND('Stmts RUS'!AQ108,2)</f>
        <v>56.15</v>
      </c>
      <c r="P13" s="364"/>
      <c r="Q13" s="364"/>
    </row>
    <row r="14" spans="1:17">
      <c r="A14" s="261" t="s">
        <v>306</v>
      </c>
      <c r="B14" s="567">
        <f>ROUND(SUM('Stmts RUS'!E110:E112),2)</f>
        <v>44.41</v>
      </c>
      <c r="C14" s="64">
        <f>ROUND(SUM('Stmts RUS'!S110:S112),2)</f>
        <v>45.53</v>
      </c>
      <c r="D14" s="64">
        <f>ROUND(SUM('Stmts RUS'!AF110:AF112),2)</f>
        <v>45.06</v>
      </c>
      <c r="E14" s="64">
        <f>ROUND(SUM('Stmts RUS'!AG110:AG112),2)</f>
        <v>46.59</v>
      </c>
      <c r="F14" s="64">
        <f>ROUND(SUM('Stmts RUS'!AH110:AH112),2)</f>
        <v>46.36</v>
      </c>
      <c r="G14" s="64">
        <f>ROUND(SUM('Stmts RUS'!AI110:AI112),2)</f>
        <v>45.81</v>
      </c>
      <c r="H14" s="64">
        <f>ROUND(SUM('Stmts RUS'!AJ110:AJ112),2)</f>
        <v>45.29</v>
      </c>
      <c r="I14" s="64">
        <f>ROUND(SUM('Stmts RUS'!AK110:AK112),2)</f>
        <v>44.58</v>
      </c>
      <c r="J14" s="64">
        <f>ROUND(SUM('Stmts RUS'!AL110:AL112),2)</f>
        <v>42.33</v>
      </c>
      <c r="K14" s="64">
        <f>ROUND(SUM('Stmts RUS'!AM110:AM112),2)</f>
        <v>39.67</v>
      </c>
      <c r="L14" s="64">
        <f>ROUND(SUM('Stmts RUS'!AN110:AN112),2)</f>
        <v>37.96</v>
      </c>
      <c r="M14" s="64">
        <f>ROUND(SUM('Stmts RUS'!AO110:AO112),2)</f>
        <v>37.22</v>
      </c>
      <c r="N14" s="64">
        <f>ROUND(SUM('Stmts RUS'!AP110:AP112),2)</f>
        <v>48.66</v>
      </c>
      <c r="O14" s="64">
        <f>ROUND(SUM('Stmts RUS'!AQ110:AQ112),2)</f>
        <v>46.95</v>
      </c>
      <c r="P14" s="364"/>
      <c r="Q14" s="364"/>
    </row>
    <row r="15" spans="1:17" ht="14.25">
      <c r="A15" s="506" t="s">
        <v>959</v>
      </c>
      <c r="B15" s="567">
        <f>ROUND('Stmts RUS'!E109+'Stmts RUS'!E114,2)</f>
        <v>0.55000000000000004</v>
      </c>
      <c r="C15" s="64">
        <f>ROUND('Stmts RUS'!S109+'Stmts RUS'!S114,2)</f>
        <v>0.57999999999999996</v>
      </c>
      <c r="D15" s="64">
        <f>ROUND('Stmts RUS'!AF109+'Stmts RUS'!AF114,2)</f>
        <v>0.59</v>
      </c>
      <c r="E15" s="64">
        <f>ROUND('Stmts RUS'!AG109+'Stmts RUS'!AG114,2)</f>
        <v>0.6</v>
      </c>
      <c r="F15" s="64">
        <f>ROUND('Stmts RUS'!AH109+'Stmts RUS'!AH114,2)</f>
        <v>0.45</v>
      </c>
      <c r="G15" s="64">
        <f>ROUND('Stmts RUS'!AI109+'Stmts RUS'!AI114,2)</f>
        <v>0.45</v>
      </c>
      <c r="H15" s="64">
        <f>ROUND('Stmts RUS'!AJ109+'Stmts RUS'!AJ114,2)</f>
        <v>0.45</v>
      </c>
      <c r="I15" s="64">
        <f>ROUND('Stmts RUS'!AK109+'Stmts RUS'!AK114,2)</f>
        <v>0.45</v>
      </c>
      <c r="J15" s="64">
        <f>ROUND('Stmts RUS'!AL109+'Stmts RUS'!AL114,2)</f>
        <v>0.46</v>
      </c>
      <c r="K15" s="64">
        <f>ROUND('Stmts RUS'!AM109+'Stmts RUS'!AM114,2)</f>
        <v>0.46</v>
      </c>
      <c r="L15" s="64">
        <f>ROUND('Stmts RUS'!AN109+'Stmts RUS'!AN114,2)</f>
        <v>0.46</v>
      </c>
      <c r="M15" s="64">
        <f>ROUND('Stmts RUS'!AO109+'Stmts RUS'!AO114,2)</f>
        <v>0.47</v>
      </c>
      <c r="N15" s="64">
        <f>ROUND('Stmts RUS'!AP109+'Stmts RUS'!AP114,2)</f>
        <v>0.76</v>
      </c>
      <c r="O15" s="64">
        <f>ROUND('Stmts RUS'!AQ109+'Stmts RUS'!AQ114,2)</f>
        <v>0.76</v>
      </c>
      <c r="P15" s="364"/>
      <c r="Q15" s="364"/>
    </row>
    <row r="16" spans="1:17">
      <c r="A16" s="509" t="s">
        <v>169</v>
      </c>
      <c r="B16" s="515">
        <f>SUM(B6:B15)</f>
        <v>558.09</v>
      </c>
      <c r="C16" s="515">
        <f>SUM(C6:C15)</f>
        <v>543.83000000000004</v>
      </c>
      <c r="D16" s="515">
        <f>SUM(D6:D15)</f>
        <v>481.15</v>
      </c>
      <c r="E16" s="515">
        <f t="shared" ref="E16:O16" si="0">SUM(E6:E15)</f>
        <v>502.20000000000005</v>
      </c>
      <c r="F16" s="515">
        <f t="shared" si="0"/>
        <v>520.61</v>
      </c>
      <c r="G16" s="515">
        <f t="shared" si="0"/>
        <v>534.77</v>
      </c>
      <c r="H16" s="515">
        <f t="shared" si="0"/>
        <v>550.4</v>
      </c>
      <c r="I16" s="515">
        <f t="shared" si="0"/>
        <v>704.95000000000027</v>
      </c>
      <c r="J16" s="515">
        <f t="shared" si="0"/>
        <v>754.99000000000012</v>
      </c>
      <c r="K16" s="515">
        <f t="shared" si="0"/>
        <v>764.76</v>
      </c>
      <c r="L16" s="515">
        <f t="shared" si="0"/>
        <v>799.7700000000001</v>
      </c>
      <c r="M16" s="515">
        <f t="shared" si="0"/>
        <v>811.23000000000013</v>
      </c>
      <c r="N16" s="515">
        <f t="shared" si="0"/>
        <v>847.53999999999985</v>
      </c>
      <c r="O16" s="517">
        <f t="shared" si="0"/>
        <v>876.78000000000009</v>
      </c>
      <c r="P16" s="364"/>
      <c r="Q16" s="364"/>
    </row>
    <row r="17" spans="1:17">
      <c r="B17" s="569"/>
    </row>
    <row r="18" spans="1:17">
      <c r="A18" s="510" t="s">
        <v>129</v>
      </c>
      <c r="B18" s="5">
        <f>ROUND('Stmts RUS'!E120,2)</f>
        <v>0.96</v>
      </c>
      <c r="C18" s="5">
        <f>ROUND('Stmts RUS'!S120,2)</f>
        <v>2.02</v>
      </c>
      <c r="D18" s="5">
        <f>ROUND('Stmts RUS'!AF120,2)</f>
        <v>1.95</v>
      </c>
      <c r="E18" s="5">
        <f>ROUND('Stmts RUS'!AG120,2)</f>
        <v>1.88</v>
      </c>
      <c r="F18" s="5">
        <f>ROUND('Stmts RUS'!AH120,2)</f>
        <v>1.82</v>
      </c>
      <c r="G18" s="5">
        <f>ROUND('Stmts RUS'!AI120,2)</f>
        <v>1.76</v>
      </c>
      <c r="H18" s="5">
        <f>ROUND('Stmts RUS'!AJ120,2)</f>
        <v>1.69</v>
      </c>
      <c r="I18" s="5">
        <f>ROUND('Stmts RUS'!AK120,2)</f>
        <v>1.62</v>
      </c>
      <c r="J18" s="5">
        <f>ROUND('Stmts RUS'!AL120,2)</f>
        <v>1.53</v>
      </c>
      <c r="K18" s="5">
        <f>ROUND('Stmts RUS'!AM120,2)</f>
        <v>1.43</v>
      </c>
      <c r="L18" s="5">
        <f>ROUND('Stmts RUS'!AN120,2)</f>
        <v>1.31</v>
      </c>
      <c r="M18" s="5">
        <f>ROUND('Stmts RUS'!AO120,2)</f>
        <v>1.21</v>
      </c>
      <c r="N18" s="5">
        <f>ROUND('Stmts RUS'!AP120,2)</f>
        <v>1.29</v>
      </c>
      <c r="O18" s="5">
        <f>ROUND('Stmts RUS'!AQ120,2)</f>
        <v>1.1499999999999999</v>
      </c>
      <c r="P18" s="368"/>
      <c r="Q18" s="368"/>
    </row>
    <row r="19" spans="1:17" ht="14.25">
      <c r="A19" s="71" t="s">
        <v>960</v>
      </c>
      <c r="B19" s="5">
        <f>ROUND('Stmts RUS'!E87+'Stmts RUS'!E123+'Stmts RUS'!E125+'Stmts RUS'!E11*'Stmts RUS'!E81,2)</f>
        <v>49.3</v>
      </c>
      <c r="C19" s="5">
        <f>ROUND('Stmts RUS'!S87+'Stmts RUS'!S123+'Stmts RUS'!S125+'Stmts RUS'!S11*'Stmts RUS'!S81,2)</f>
        <v>54.32</v>
      </c>
      <c r="D19" s="5">
        <f>ROUND('Stmts RUS'!AF87+'Stmts RUS'!AF123+'Stmts RUS'!AF125+'Stmts RUS'!AF11*'Stmts RUS'!AF81,2)</f>
        <v>62.4</v>
      </c>
      <c r="E19" s="5">
        <f>ROUND('Stmts RUS'!AG87+'Stmts RUS'!AG123+'Stmts RUS'!AG125+'Stmts RUS'!AG11*'Stmts RUS'!AG81,2)</f>
        <v>65.06</v>
      </c>
      <c r="F19" s="5">
        <f>ROUND('Stmts RUS'!AH87+'Stmts RUS'!AH123+'Stmts RUS'!AH125+'Stmts RUS'!AH11*'Stmts RUS'!AH81,2)</f>
        <v>64.11</v>
      </c>
      <c r="G19" s="5">
        <f>ROUND('Stmts RUS'!AI87+'Stmts RUS'!AI123+'Stmts RUS'!AI125+'Stmts RUS'!AI11*'Stmts RUS'!AI81,2)</f>
        <v>65.28</v>
      </c>
      <c r="H19" s="5">
        <f>ROUND('Stmts RUS'!AJ87+'Stmts RUS'!AJ123+'Stmts RUS'!AJ125+'Stmts RUS'!AJ11*'Stmts RUS'!AJ81,2)</f>
        <v>70.650000000000006</v>
      </c>
      <c r="I19" s="5">
        <f>ROUND('Stmts RUS'!AK87+'Stmts RUS'!AK123+'Stmts RUS'!AK125+'Stmts RUS'!AK11*'Stmts RUS'!AK81,2)</f>
        <v>237.5</v>
      </c>
      <c r="J19" s="5">
        <f>ROUND('Stmts RUS'!AL87+'Stmts RUS'!AL123+'Stmts RUS'!AL125+'Stmts RUS'!AL11*'Stmts RUS'!AL81,2)</f>
        <v>330.18</v>
      </c>
      <c r="K19" s="5">
        <f>ROUND('Stmts RUS'!AM87+'Stmts RUS'!AM123+'Stmts RUS'!AM125+'Stmts RUS'!AM11*'Stmts RUS'!AM81,2)</f>
        <v>353.76</v>
      </c>
      <c r="L19" s="5">
        <f>ROUND('Stmts RUS'!AN87+'Stmts RUS'!AN123+'Stmts RUS'!AN125+'Stmts RUS'!AN11*'Stmts RUS'!AN81,2)</f>
        <v>379.54</v>
      </c>
      <c r="M19" s="5">
        <f>ROUND('Stmts RUS'!AO87+'Stmts RUS'!AO123+'Stmts RUS'!AO125+'Stmts RUS'!AO11*'Stmts RUS'!AO81,2)</f>
        <v>355.45</v>
      </c>
      <c r="N19" s="5">
        <f>ROUND('Stmts RUS'!AP87+'Stmts RUS'!AP123+'Stmts RUS'!AP125+'Stmts RUS'!AP11*'Stmts RUS'!AP81,2)</f>
        <v>367.18</v>
      </c>
      <c r="O19" s="5">
        <f>ROUND('Stmts RUS'!AQ87+'Stmts RUS'!AQ123+'Stmts RUS'!AQ125+'Stmts RUS'!AQ11*'Stmts RUS'!AQ81,2)</f>
        <v>357.72</v>
      </c>
      <c r="P19" s="368"/>
      <c r="Q19" s="368"/>
    </row>
    <row r="20" spans="1:17">
      <c r="A20" s="511" t="s">
        <v>955</v>
      </c>
      <c r="B20" s="513">
        <f>B16-SUM(B17:B19)</f>
        <v>507.83000000000004</v>
      </c>
      <c r="C20" s="513">
        <f>C16-SUM(C17:C19)</f>
        <v>487.49</v>
      </c>
      <c r="D20" s="513">
        <f>D16-SUM(D17:D19)</f>
        <v>416.79999999999995</v>
      </c>
      <c r="E20" s="513">
        <f t="shared" ref="E20:O20" si="1">E16-SUM(E17:E19)</f>
        <v>435.26000000000005</v>
      </c>
      <c r="F20" s="513">
        <f t="shared" si="1"/>
        <v>454.68</v>
      </c>
      <c r="G20" s="513">
        <f t="shared" si="1"/>
        <v>467.72999999999996</v>
      </c>
      <c r="H20" s="513">
        <f t="shared" si="1"/>
        <v>478.05999999999995</v>
      </c>
      <c r="I20" s="513">
        <f t="shared" si="1"/>
        <v>465.83000000000027</v>
      </c>
      <c r="J20" s="513">
        <f t="shared" si="1"/>
        <v>423.28000000000014</v>
      </c>
      <c r="K20" s="513">
        <f t="shared" si="1"/>
        <v>409.57</v>
      </c>
      <c r="L20" s="513">
        <f t="shared" si="1"/>
        <v>418.92000000000007</v>
      </c>
      <c r="M20" s="513">
        <f t="shared" si="1"/>
        <v>454.57000000000016</v>
      </c>
      <c r="N20" s="513">
        <f t="shared" si="1"/>
        <v>479.06999999999982</v>
      </c>
      <c r="O20" s="514">
        <f t="shared" si="1"/>
        <v>517.91000000000008</v>
      </c>
      <c r="P20" s="368"/>
      <c r="Q20" s="368"/>
    </row>
    <row r="21" spans="1:17">
      <c r="B21" s="569"/>
    </row>
    <row r="22" spans="1:17" ht="14.25">
      <c r="A22" s="71" t="s">
        <v>962</v>
      </c>
      <c r="B22" s="567">
        <f>SUM('Stmts RUS'!E7:E10)</f>
        <v>10.707248436</v>
      </c>
      <c r="C22" s="64">
        <f>SUM('Stmts RUS'!S7:S10)</f>
        <v>9.173398882199999</v>
      </c>
      <c r="D22" s="64">
        <f>SUM('Stmts RUS'!AF7:AF10)</f>
        <v>6.5516990789999987</v>
      </c>
      <c r="E22" s="64">
        <f>SUM('Stmts RUS'!AG7:AG10)</f>
        <v>6.5825610789999995</v>
      </c>
      <c r="F22" s="64">
        <f>SUM('Stmts RUS'!AH7:AH10)</f>
        <v>6.6314053381999996</v>
      </c>
      <c r="G22" s="64">
        <f>SUM('Stmts RUS'!AI7:AI10)</f>
        <v>6.6594406803638897</v>
      </c>
      <c r="H22" s="64">
        <f>SUM('Stmts RUS'!AJ7:AJ10)</f>
        <v>6.686921571605648</v>
      </c>
      <c r="I22" s="64">
        <f>SUM('Stmts RUS'!AK7:AK10)</f>
        <v>6.7143084552574788</v>
      </c>
      <c r="J22" s="64">
        <f>SUM('Stmts RUS'!AL7:AL10)</f>
        <v>6.7575741531199576</v>
      </c>
      <c r="K22" s="64">
        <f>SUM('Stmts RUS'!AM7:AM10)</f>
        <v>6.7836708799380663</v>
      </c>
      <c r="L22" s="64">
        <f>SUM('Stmts RUS'!AN7:AN10)</f>
        <v>6.8199726203719582</v>
      </c>
      <c r="M22" s="64">
        <f>SUM('Stmts RUS'!AO7:AO10)</f>
        <v>6.8570411095730472</v>
      </c>
      <c r="N22" s="64">
        <f>SUM('Stmts RUS'!AP7:AP10)</f>
        <v>6.9041432276342922</v>
      </c>
      <c r="O22" s="64">
        <f>SUM('Stmts RUS'!AQ7:AQ10)</f>
        <v>6.9328053836090975</v>
      </c>
      <c r="P22" s="364"/>
      <c r="Q22" s="364"/>
    </row>
    <row r="23" spans="1:17">
      <c r="A23" s="510" t="s">
        <v>956</v>
      </c>
      <c r="B23" s="567">
        <f>B20/B22</f>
        <v>47.428618382718177</v>
      </c>
      <c r="C23" s="64">
        <f>C20/C22</f>
        <v>53.141698759651923</v>
      </c>
      <c r="D23" s="64">
        <f>D20/D22</f>
        <v>63.617085426887023</v>
      </c>
      <c r="E23" s="64">
        <f t="shared" ref="E23:O23" si="2">E20/E22</f>
        <v>66.123199583910775</v>
      </c>
      <c r="F23" s="64">
        <f t="shared" si="2"/>
        <v>68.564652107876796</v>
      </c>
      <c r="G23" s="64">
        <f t="shared" si="2"/>
        <v>70.235628253158637</v>
      </c>
      <c r="H23" s="64">
        <f t="shared" si="2"/>
        <v>71.491791085147909</v>
      </c>
      <c r="I23" s="64">
        <f t="shared" si="2"/>
        <v>69.378701187795926</v>
      </c>
      <c r="J23" s="64">
        <f t="shared" si="2"/>
        <v>62.637862405782506</v>
      </c>
      <c r="K23" s="64">
        <f t="shared" si="2"/>
        <v>60.375865405153512</v>
      </c>
      <c r="L23" s="64">
        <f t="shared" si="2"/>
        <v>61.425466540531708</v>
      </c>
      <c r="M23" s="64">
        <f t="shared" si="2"/>
        <v>66.29244199300183</v>
      </c>
      <c r="N23" s="64">
        <f t="shared" si="2"/>
        <v>69.388769062972258</v>
      </c>
      <c r="O23" s="64">
        <f t="shared" si="2"/>
        <v>74.704246166273478</v>
      </c>
      <c r="P23" s="364"/>
      <c r="Q23" s="364"/>
    </row>
    <row r="25" spans="1:17">
      <c r="A25" s="511" t="s">
        <v>957</v>
      </c>
      <c r="B25" s="514">
        <f>SUMPRODUCT(B22:O22,B23:O23)/SUM(B22:O22)</f>
        <v>63.684601763286977</v>
      </c>
      <c r="D25" s="5"/>
    </row>
    <row r="27" spans="1:17"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364"/>
      <c r="Q27" s="364"/>
    </row>
    <row r="28" spans="1:17">
      <c r="A28" s="435" t="s">
        <v>1012</v>
      </c>
    </row>
    <row r="29" spans="1:17">
      <c r="A29" s="435" t="s">
        <v>961</v>
      </c>
    </row>
    <row r="30" spans="1:17">
      <c r="A30" s="108" t="s">
        <v>963</v>
      </c>
    </row>
  </sheetData>
  <pageMargins left="0.7" right="0.7" top="0.75" bottom="0.75" header="0.3" footer="0.3"/>
  <pageSetup scale="69" orientation="landscape" blackAndWhite="1" horizontalDpi="4294967295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21"/>
  <sheetViews>
    <sheetView workbookViewId="0">
      <pane xSplit="6" ySplit="3" topLeftCell="AP4" activePane="bottomRight" state="frozen"/>
      <selection pane="topRight" activeCell="G1" sqref="G1"/>
      <selection pane="bottomLeft" activeCell="A4" sqref="A4"/>
      <selection pane="bottomRight" activeCell="BG33" sqref="BG33"/>
    </sheetView>
  </sheetViews>
  <sheetFormatPr defaultRowHeight="12.75"/>
  <cols>
    <col min="2" max="2" width="13.85546875" customWidth="1"/>
    <col min="3" max="5" width="9.140625" hidden="1" customWidth="1"/>
    <col min="19" max="19" width="9.5703125" style="88" customWidth="1"/>
    <col min="20" max="20" width="9.7109375" bestFit="1" customWidth="1"/>
    <col min="32" max="32" width="10" style="88" customWidth="1"/>
    <col min="33" max="33" width="11.7109375" bestFit="1" customWidth="1"/>
    <col min="34" max="34" width="10.7109375" bestFit="1" customWidth="1"/>
  </cols>
  <sheetData>
    <row r="1" spans="1:51" s="1" customFormat="1">
      <c r="G1" s="180">
        <f>'Stmts RUS'!G1</f>
        <v>2013</v>
      </c>
      <c r="H1" s="180">
        <f>'Stmts RUS'!H1</f>
        <v>2013</v>
      </c>
      <c r="I1" s="180">
        <f>'Stmts RUS'!I1</f>
        <v>2013</v>
      </c>
      <c r="J1" s="180">
        <f>'Stmts RUS'!J1</f>
        <v>2013</v>
      </c>
      <c r="K1" s="180">
        <f>'Stmts RUS'!K1</f>
        <v>2013</v>
      </c>
      <c r="L1" s="180">
        <f>'Stmts RUS'!L1</f>
        <v>2013</v>
      </c>
      <c r="M1" s="180">
        <f>'Stmts RUS'!M1</f>
        <v>2013</v>
      </c>
      <c r="N1" s="180">
        <f>'Stmts RUS'!N1</f>
        <v>2013</v>
      </c>
      <c r="O1" s="180">
        <f>'Stmts RUS'!O1</f>
        <v>2013</v>
      </c>
      <c r="P1" s="180">
        <f>'Stmts RUS'!P1</f>
        <v>2013</v>
      </c>
      <c r="Q1" s="180">
        <f>'Stmts RUS'!Q1</f>
        <v>2013</v>
      </c>
      <c r="R1" s="180">
        <f>'Stmts RUS'!R1</f>
        <v>2013</v>
      </c>
      <c r="S1" s="181"/>
      <c r="T1" s="180">
        <f>'Stmts RUS'!T1</f>
        <v>2014</v>
      </c>
      <c r="U1" s="180">
        <f>'Stmts RUS'!U1</f>
        <v>2014</v>
      </c>
      <c r="V1" s="180">
        <f>'Stmts RUS'!V1</f>
        <v>2014</v>
      </c>
      <c r="W1" s="180">
        <f>'Stmts RUS'!W1</f>
        <v>2014</v>
      </c>
      <c r="X1" s="180">
        <f>'Stmts RUS'!X1</f>
        <v>2014</v>
      </c>
      <c r="Y1" s="180">
        <f>'Stmts RUS'!Y1</f>
        <v>2014</v>
      </c>
      <c r="Z1" s="180">
        <f>'Stmts RUS'!Z1</f>
        <v>2014</v>
      </c>
      <c r="AA1" s="180">
        <f>'Stmts RUS'!AA1</f>
        <v>2014</v>
      </c>
      <c r="AB1" s="180">
        <f>'Stmts RUS'!AB1</f>
        <v>2014</v>
      </c>
      <c r="AC1" s="180">
        <f>'Stmts RUS'!AC1</f>
        <v>2014</v>
      </c>
      <c r="AD1" s="180">
        <f>'Stmts RUS'!AD1</f>
        <v>2014</v>
      </c>
      <c r="AE1" s="180">
        <f>'Stmts RUS'!AE1</f>
        <v>2014</v>
      </c>
      <c r="AF1" s="181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</row>
    <row r="2" spans="1:51" s="1" customFormat="1">
      <c r="G2" s="180" t="str">
        <f>'Stmts RUS'!G2</f>
        <v>January</v>
      </c>
      <c r="H2" s="180" t="str">
        <f>'Stmts RUS'!H2</f>
        <v>February</v>
      </c>
      <c r="I2" s="180" t="str">
        <f>'Stmts RUS'!I2</f>
        <v>March</v>
      </c>
      <c r="J2" s="180" t="str">
        <f>'Stmts RUS'!J2</f>
        <v>April</v>
      </c>
      <c r="K2" s="180" t="str">
        <f>'Stmts RUS'!K2</f>
        <v>May</v>
      </c>
      <c r="L2" s="180" t="str">
        <f>'Stmts RUS'!L2</f>
        <v>June</v>
      </c>
      <c r="M2" s="180" t="str">
        <f>'Stmts RUS'!M2</f>
        <v>July</v>
      </c>
      <c r="N2" s="180" t="str">
        <f>'Stmts RUS'!N2</f>
        <v>August</v>
      </c>
      <c r="O2" s="180" t="str">
        <f>'Stmts RUS'!O2</f>
        <v>September</v>
      </c>
      <c r="P2" s="180" t="str">
        <f>'Stmts RUS'!P2</f>
        <v>October</v>
      </c>
      <c r="Q2" s="180" t="str">
        <f>'Stmts RUS'!Q2</f>
        <v>November</v>
      </c>
      <c r="R2" s="180" t="str">
        <f>'Stmts RUS'!R2</f>
        <v>December</v>
      </c>
      <c r="S2" s="181">
        <f>'Stmts RUS'!S2</f>
        <v>2013</v>
      </c>
      <c r="T2" s="180" t="str">
        <f>'Stmts RUS'!T2</f>
        <v>January</v>
      </c>
      <c r="U2" s="180" t="str">
        <f>'Stmts RUS'!U2</f>
        <v>February</v>
      </c>
      <c r="V2" s="180" t="str">
        <f>'Stmts RUS'!V2</f>
        <v>March</v>
      </c>
      <c r="W2" s="180" t="str">
        <f>'Stmts RUS'!W2</f>
        <v>April</v>
      </c>
      <c r="X2" s="180" t="str">
        <f>'Stmts RUS'!X2</f>
        <v>May</v>
      </c>
      <c r="Y2" s="180" t="str">
        <f>'Stmts RUS'!Y2</f>
        <v>June</v>
      </c>
      <c r="Z2" s="180" t="str">
        <f>'Stmts RUS'!Z2</f>
        <v>July</v>
      </c>
      <c r="AA2" s="180" t="str">
        <f>'Stmts RUS'!AA2</f>
        <v>August</v>
      </c>
      <c r="AB2" s="180" t="str">
        <f>'Stmts RUS'!AB2</f>
        <v>September</v>
      </c>
      <c r="AC2" s="180" t="str">
        <f>'Stmts RUS'!AC2</f>
        <v>October</v>
      </c>
      <c r="AD2" s="180" t="str">
        <f>'Stmts RUS'!AD2</f>
        <v>November</v>
      </c>
      <c r="AE2" s="180" t="str">
        <f>'Stmts RUS'!AE2</f>
        <v>December</v>
      </c>
      <c r="AF2" s="181">
        <f>'Stmts RUS'!AF2</f>
        <v>2014</v>
      </c>
      <c r="AG2" s="180">
        <f>'Stmts RUS'!AG2</f>
        <v>2015</v>
      </c>
      <c r="AH2" s="180">
        <f>'Stmts RUS'!AH2</f>
        <v>2016</v>
      </c>
      <c r="AI2" s="180">
        <f>'Stmts RUS'!AI2</f>
        <v>2017</v>
      </c>
      <c r="AJ2" s="180">
        <f>'Stmts RUS'!AJ2</f>
        <v>2018</v>
      </c>
      <c r="AK2" s="180">
        <f>'Stmts RUS'!AK2</f>
        <v>2019</v>
      </c>
      <c r="AL2" s="180">
        <f>'Stmts RUS'!AL2</f>
        <v>2020</v>
      </c>
      <c r="AM2" s="180">
        <f>'Stmts RUS'!AM2</f>
        <v>2021</v>
      </c>
      <c r="AN2" s="180">
        <f>'Stmts RUS'!AN2</f>
        <v>2022</v>
      </c>
      <c r="AO2" s="180">
        <f>'Stmts RUS'!AO2</f>
        <v>2023</v>
      </c>
      <c r="AP2" s="180">
        <f>'Stmts RUS'!AP2</f>
        <v>2024</v>
      </c>
      <c r="AQ2" s="180">
        <f>'Stmts RUS'!AQ2</f>
        <v>2025</v>
      </c>
      <c r="AR2" s="180"/>
      <c r="AS2" s="180"/>
      <c r="AT2" s="180"/>
      <c r="AU2" s="180"/>
      <c r="AV2" s="180"/>
      <c r="AW2" s="180"/>
      <c r="AX2" s="180"/>
      <c r="AY2" s="180"/>
    </row>
    <row r="5" spans="1:51" s="88" customFormat="1">
      <c r="A5" s="305" t="s">
        <v>119</v>
      </c>
    </row>
    <row r="6" spans="1:51" s="88" customFormat="1"/>
    <row r="7" spans="1:51" s="88" customFormat="1">
      <c r="A7" s="845" t="s">
        <v>1024</v>
      </c>
      <c r="S7" s="224">
        <f>SUM(G7:R7)</f>
        <v>0</v>
      </c>
      <c r="AF7" s="224">
        <f>SUM(T7:AE7)</f>
        <v>0</v>
      </c>
      <c r="AK7" s="304">
        <v>11.057373719043333</v>
      </c>
    </row>
    <row r="8" spans="1:51" s="88" customFormat="1">
      <c r="S8" s="224"/>
      <c r="AF8" s="224"/>
    </row>
    <row r="9" spans="1:51" s="88" customFormat="1">
      <c r="S9" s="211">
        <f t="shared" ref="S9:S21" si="0">SUM(G9:R9)</f>
        <v>0</v>
      </c>
      <c r="AF9" s="211">
        <f t="shared" ref="AF9:AF21" si="1">SUM(T9:AE9)</f>
        <v>0</v>
      </c>
    </row>
    <row r="10" spans="1:51" s="88" customFormat="1">
      <c r="S10" s="224"/>
      <c r="AF10" s="224"/>
    </row>
    <row r="11" spans="1:51" s="88" customFormat="1">
      <c r="A11" s="497"/>
      <c r="S11" s="224">
        <f t="shared" si="0"/>
        <v>0</v>
      </c>
      <c r="AF11" s="224">
        <f t="shared" si="1"/>
        <v>0</v>
      </c>
    </row>
    <row r="12" spans="1:51" s="88" customFormat="1">
      <c r="S12" s="224"/>
      <c r="AF12" s="224"/>
    </row>
    <row r="13" spans="1:51" s="88" customFormat="1">
      <c r="S13" s="224">
        <f t="shared" si="0"/>
        <v>0</v>
      </c>
      <c r="AF13" s="224">
        <f t="shared" si="1"/>
        <v>0</v>
      </c>
    </row>
    <row r="14" spans="1:51" s="88" customFormat="1">
      <c r="S14" s="224"/>
      <c r="AF14" s="224"/>
    </row>
    <row r="15" spans="1:51" s="88" customFormat="1">
      <c r="S15" s="224">
        <f t="shared" si="0"/>
        <v>0</v>
      </c>
      <c r="AF15" s="224">
        <f t="shared" si="1"/>
        <v>0</v>
      </c>
    </row>
    <row r="16" spans="1:51" s="88" customFormat="1">
      <c r="S16" s="224"/>
      <c r="AF16" s="224"/>
    </row>
    <row r="17" spans="1:37" s="88" customFormat="1">
      <c r="S17" s="224">
        <f t="shared" si="0"/>
        <v>0</v>
      </c>
      <c r="AF17" s="224">
        <f t="shared" si="1"/>
        <v>0</v>
      </c>
    </row>
    <row r="18" spans="1:37" s="88" customFormat="1">
      <c r="S18" s="224"/>
      <c r="AF18" s="224"/>
    </row>
    <row r="19" spans="1:37" s="88" customFormat="1">
      <c r="S19" s="224">
        <f t="shared" si="0"/>
        <v>0</v>
      </c>
      <c r="AF19" s="224">
        <f t="shared" si="1"/>
        <v>0</v>
      </c>
    </row>
    <row r="20" spans="1:37" s="496" customFormat="1"/>
    <row r="21" spans="1:37" s="496" customFormat="1">
      <c r="A21" s="843" t="s">
        <v>1025</v>
      </c>
      <c r="S21" s="224">
        <f t="shared" si="0"/>
        <v>0</v>
      </c>
      <c r="AF21" s="224">
        <f t="shared" si="1"/>
        <v>0</v>
      </c>
      <c r="AK21" s="844">
        <v>28.336028486921784</v>
      </c>
    </row>
  </sheetData>
  <phoneticPr fontId="6" type="noConversion"/>
  <pageMargins left="0.75" right="0.75" top="1" bottom="1" header="0.5" footer="0.5"/>
  <pageSetup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11</vt:i4>
      </vt:variant>
    </vt:vector>
  </HeadingPairs>
  <TitlesOfParts>
    <vt:vector size="29" baseType="lpstr">
      <vt:lpstr>RiskSwappedFuncs</vt:lpstr>
      <vt:lpstr>Stmts RUS</vt:lpstr>
      <vt:lpstr>Trial Bal</vt:lpstr>
      <vt:lpstr>Regulatory Charge</vt:lpstr>
      <vt:lpstr>Fuel</vt:lpstr>
      <vt:lpstr>PCM</vt:lpstr>
      <vt:lpstr>Interest</vt:lpstr>
      <vt:lpstr>O&amp;M</vt:lpstr>
      <vt:lpstr>Capex &amp; Depr</vt:lpstr>
      <vt:lpstr>Debt</vt:lpstr>
      <vt:lpstr>Pat.</vt:lpstr>
      <vt:lpstr>Rates</vt:lpstr>
      <vt:lpstr>Rates - Cash</vt:lpstr>
      <vt:lpstr>FAC, PPA, ES, SC</vt:lpstr>
      <vt:lpstr>ECP</vt:lpstr>
      <vt:lpstr>Charts</vt:lpstr>
      <vt:lpstr>Member Power Cost</vt:lpstr>
      <vt:lpstr>Bud. Adj.</vt:lpstr>
      <vt:lpstr>AG</vt:lpstr>
      <vt:lpstr>Arb</vt:lpstr>
      <vt:lpstr>Ins</vt:lpstr>
      <vt:lpstr>NPLabor</vt:lpstr>
      <vt:lpstr>'Stmts RUS'!Print_Area</vt:lpstr>
      <vt:lpstr>Charts!Print_Titles</vt:lpstr>
      <vt:lpstr>'Stmts RUS'!Print_Titles</vt:lpstr>
      <vt:lpstr>Prod</vt:lpstr>
      <vt:lpstr>Tax</vt:lpstr>
      <vt:lpstr>Tran</vt:lpstr>
      <vt:lpstr>TranUp</vt:lpstr>
    </vt:vector>
  </TitlesOfParts>
  <Company>Big Rivers Electric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DeAnna Speed</cp:lastModifiedBy>
  <cp:lastPrinted>2012-09-25T14:53:17Z</cp:lastPrinted>
  <dcterms:created xsi:type="dcterms:W3CDTF">2007-11-09T16:54:54Z</dcterms:created>
  <dcterms:modified xsi:type="dcterms:W3CDTF">2013-06-20T20:14:52Z</dcterms:modified>
</cp:coreProperties>
</file>